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8 May/"/>
    </mc:Choice>
  </mc:AlternateContent>
  <xr:revisionPtr revIDLastSave="2" documentId="8_{3D7E792C-285F-47F2-970A-291A3CBD654A}" xr6:coauthVersionLast="47" xr6:coauthVersionMax="47" xr10:uidLastSave="{80679B02-3ED4-4584-B593-A6CD1E9C5D2B}"/>
  <bookViews>
    <workbookView xWindow="25095" yWindow="0" windowWidth="12810" windowHeight="15135" tabRatio="778" activeTab="3" xr2:uid="{00000000-000D-0000-FFFF-FFFF00000000}"/>
  </bookViews>
  <sheets>
    <sheet name="Title" sheetId="11" r:id="rId1"/>
    <sheet name="Soil&amp;Crop Data_" sheetId="20" r:id="rId2"/>
    <sheet name="Input_" sheetId="15" r:id="rId3"/>
    <sheet name="Budget_" sheetId="14" r:id="rId4"/>
    <sheet name="Mgmt Chart_" sheetId="17" r:id="rId5"/>
    <sheet name="Weather_" sheetId="21" r:id="rId6"/>
    <sheet name="Crop Coeff_" sheetId="19" r:id="rId7"/>
    <sheet name="Summary_" sheetId="18" r:id="rId8"/>
    <sheet name="Budget (2)" sheetId="13" r:id="rId9"/>
    <sheet name="Input" sheetId="1" r:id="rId10"/>
    <sheet name="Budget" sheetId="2" r:id="rId11"/>
    <sheet name="Mgmt Chart" sheetId="6" r:id="rId12"/>
    <sheet name="Summary" sheetId="10" r:id="rId13"/>
    <sheet name="Crop Coeff" sheetId="3" r:id="rId14"/>
    <sheet name="Soil&amp;Crop Data" sheetId="8" r:id="rId15"/>
    <sheet name="Wthr Sta." sheetId="5" r:id="rId16"/>
    <sheet name="Sheet1" sheetId="12" r:id="rId17"/>
  </sheets>
  <definedNames>
    <definedName name="_xlnm.Print_Area" localSheetId="10">Budget!$A$1:$I$36</definedName>
    <definedName name="_xlnm.Print_Area" localSheetId="8">'Budget (2)'!$A$1:$I$36</definedName>
    <definedName name="_xlnm.Print_Area" localSheetId="9">Input!$A$1:$C$32</definedName>
    <definedName name="_xlnm.Print_Area" localSheetId="12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14" l="1"/>
  <c r="C122" i="14"/>
  <c r="C116" i="14"/>
  <c r="C111" i="14"/>
  <c r="C91" i="14"/>
  <c r="C79" i="14"/>
  <c r="C72" i="14"/>
  <c r="C66" i="14"/>
  <c r="C53" i="14"/>
  <c r="C43" i="14"/>
  <c r="C26" i="14"/>
  <c r="V17" i="14"/>
  <c r="D18" i="14" l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7" i="14"/>
  <c r="X17" i="14" l="1"/>
  <c r="H17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W128" i="14" s="1"/>
  <c r="W129" i="14" s="1"/>
  <c r="W130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Y128" i="14" s="1"/>
  <c r="Y129" i="14" s="1"/>
  <c r="Y130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Z128" i="14" s="1"/>
  <c r="Z129" i="14" s="1"/>
  <c r="Z130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E7" i="14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J167" i="14"/>
  <c r="I167" i="14"/>
  <c r="H167" i="14"/>
  <c r="D167" i="14"/>
  <c r="K166" i="14"/>
  <c r="J166" i="14"/>
  <c r="I166" i="14"/>
  <c r="H166" i="14"/>
  <c r="D166" i="14"/>
  <c r="K165" i="14"/>
  <c r="J165" i="14"/>
  <c r="I165" i="14"/>
  <c r="H165" i="14"/>
  <c r="D165" i="14"/>
  <c r="K164" i="14"/>
  <c r="J164" i="14"/>
  <c r="I164" i="14"/>
  <c r="H164" i="14"/>
  <c r="D164" i="14"/>
  <c r="K163" i="14"/>
  <c r="K162" i="14"/>
  <c r="K161" i="14"/>
  <c r="K160" i="14"/>
  <c r="K159" i="14"/>
  <c r="K158" i="14"/>
  <c r="K157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31" i="14"/>
  <c r="K130" i="14"/>
  <c r="K129" i="14"/>
  <c r="K128" i="14"/>
  <c r="K127" i="14"/>
  <c r="K126" i="14"/>
  <c r="K125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P17" i="14" l="1"/>
  <c r="K132" i="14"/>
  <c r="K133" i="14"/>
  <c r="K137" i="14"/>
  <c r="K138" i="14"/>
  <c r="K154" i="14"/>
  <c r="K139" i="14"/>
  <c r="K155" i="14"/>
  <c r="K140" i="14"/>
  <c r="K156" i="14"/>
  <c r="C13" i="19"/>
  <c r="C14" i="19" s="1"/>
  <c r="C15" i="19" s="1"/>
  <c r="A18" i="14"/>
  <c r="A14" i="19"/>
  <c r="B13" i="19"/>
  <c r="B12" i="19"/>
  <c r="E12" i="19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D13" i="19"/>
  <c r="D14" i="19"/>
  <c r="P18" i="14"/>
  <c r="A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K18" i="14" s="1"/>
  <c r="T17" i="14"/>
  <c r="A20" i="14"/>
  <c r="P19" i="14"/>
  <c r="O19" i="14"/>
  <c r="R18" i="14"/>
  <c r="Q18" i="14" s="1"/>
  <c r="S18" i="14" s="1"/>
  <c r="A16" i="19"/>
  <c r="B15" i="19"/>
  <c r="C17" i="19"/>
  <c r="D16" i="19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T18" i="14" l="1"/>
  <c r="U18" i="14"/>
  <c r="R19" i="14"/>
  <c r="Q19" i="14" s="1"/>
  <c r="A21" i="14"/>
  <c r="P20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A22" i="14"/>
  <c r="P21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X19" i="14" s="1"/>
  <c r="V19" i="14"/>
  <c r="J19" i="14"/>
  <c r="K20" i="14" s="1"/>
  <c r="H19" i="14"/>
  <c r="S20" i="14"/>
  <c r="T20" i="14" s="1"/>
  <c r="U20" i="14"/>
  <c r="R21" i="14"/>
  <c r="Q21" i="14" s="1"/>
  <c r="P22" i="14"/>
  <c r="A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3" i="14"/>
  <c r="A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X21" i="14" s="1"/>
  <c r="V21" i="14"/>
  <c r="J21" i="14"/>
  <c r="K22" i="14" s="1"/>
  <c r="H21" i="14"/>
  <c r="S22" i="14"/>
  <c r="T22" i="14" s="1"/>
  <c r="U22" i="14"/>
  <c r="A25" i="14"/>
  <c r="P24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5" i="14"/>
  <c r="A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X23" i="14" s="1"/>
  <c r="V23" i="14"/>
  <c r="H23" i="14"/>
  <c r="J23" i="14"/>
  <c r="K24" i="14" s="1"/>
  <c r="S24" i="14"/>
  <c r="T24" i="14" s="1"/>
  <c r="U24" i="14"/>
  <c r="I24" i="14" s="1"/>
  <c r="X24" i="14" s="1"/>
  <c r="A27" i="14"/>
  <c r="P26" i="14"/>
  <c r="O26" i="14"/>
  <c r="R25" i="14"/>
  <c r="Q25" i="14" s="1"/>
  <c r="S25" i="14" s="1"/>
  <c r="T25" i="14" s="1"/>
  <c r="D23" i="19"/>
  <c r="C24" i="19"/>
  <c r="A23" i="19"/>
  <c r="B22" i="19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J24" i="14" l="1"/>
  <c r="K25" i="14" s="1"/>
  <c r="H24" i="14"/>
  <c r="V24" i="14"/>
  <c r="R26" i="14"/>
  <c r="Q26" i="14" s="1"/>
  <c r="S26" i="14" s="1"/>
  <c r="T26" i="14" s="1"/>
  <c r="A28" i="14"/>
  <c r="P27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A29" i="14"/>
  <c r="P28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A30" i="14"/>
  <c r="P29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A31" i="14"/>
  <c r="P30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1" i="14"/>
  <c r="A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A33" i="14" l="1"/>
  <c r="P32" i="14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 s="1"/>
  <c r="S32" i="14" s="1"/>
  <c r="T32" i="14" s="1"/>
  <c r="P33" i="14"/>
  <c r="A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4" i="14"/>
  <c r="A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A36" i="14" l="1"/>
  <c r="P35" i="14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A37" i="14"/>
  <c r="P36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A38" i="14"/>
  <c r="P37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8" i="14"/>
  <c r="A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39" i="14"/>
  <c r="A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A41" i="14" l="1"/>
  <c r="P40" i="14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1" i="14"/>
  <c r="A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2" i="14" l="1"/>
  <c r="A43" i="14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A44" i="14" l="1"/>
  <c r="P43" i="14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/>
  <c r="S43" i="14" s="1"/>
  <c r="T43" i="14" s="1"/>
  <c r="A45" i="14"/>
  <c r="P44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K33" i="14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R44" i="14" l="1"/>
  <c r="Q44" i="14" s="1"/>
  <c r="S44" i="14" s="1"/>
  <c r="T44" i="14" s="1"/>
  <c r="A46" i="14"/>
  <c r="P45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A47" i="14"/>
  <c r="P46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7" i="14"/>
  <c r="A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A49" i="14" l="1"/>
  <c r="P48" i="14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49" i="14"/>
  <c r="A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A51" i="14" l="1"/>
  <c r="P50" i="14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A52" i="14"/>
  <c r="P51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A53" i="14"/>
  <c r="P52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A54" i="14"/>
  <c r="P53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K38" i="14" s="1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4" i="14"/>
  <c r="A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P55" i="14" l="1"/>
  <c r="A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K39" i="14" s="1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A57" i="14" l="1"/>
  <c r="P56" i="14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R56" i="14" l="1"/>
  <c r="Q56" i="14" s="1"/>
  <c r="S56" i="14" s="1"/>
  <c r="T56" i="14" s="1"/>
  <c r="P57" i="14"/>
  <c r="A58" i="14"/>
  <c r="O57" i="14"/>
  <c r="A54" i="19"/>
  <c r="B53" i="19"/>
  <c r="C55" i="19"/>
  <c r="D54" i="19"/>
  <c r="I39" i="14"/>
  <c r="X39" i="14" s="1"/>
  <c r="H39" i="14"/>
  <c r="J39" i="14"/>
  <c r="K40" i="14" s="1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8" i="14" l="1"/>
  <c r="A59" i="14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A60" i="14" l="1"/>
  <c r="P59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A61" i="14"/>
  <c r="P60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A62" i="14"/>
  <c r="P61" i="14"/>
  <c r="O61" i="14"/>
  <c r="A58" i="19"/>
  <c r="B57" i="19"/>
  <c r="C59" i="19"/>
  <c r="D58" i="19"/>
  <c r="H41" i="13"/>
  <c r="V41" i="13" s="1"/>
  <c r="I41" i="13"/>
  <c r="G41" i="13"/>
  <c r="H41" i="14"/>
  <c r="J41" i="14"/>
  <c r="K42" i="14" s="1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A63" i="14"/>
  <c r="P62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P63" i="14" l="1"/>
  <c r="A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A65" i="14" l="1"/>
  <c r="P64" i="14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A66" i="14"/>
  <c r="P65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6" i="14"/>
  <c r="A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A68" i="14"/>
  <c r="P67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A69" i="14"/>
  <c r="P68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A70" i="14"/>
  <c r="P69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/>
  <c r="S69" i="14" s="1"/>
  <c r="T69" i="14" s="1"/>
  <c r="A71" i="14"/>
  <c r="P70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/>
  <c r="S70" i="14" s="1"/>
  <c r="T70" i="14" s="1"/>
  <c r="P71" i="14"/>
  <c r="A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A73" i="14" l="1"/>
  <c r="P72" i="14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3" i="14"/>
  <c r="A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A75" i="14" l="1"/>
  <c r="P74" i="14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A76" i="14"/>
  <c r="P75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A77" i="14"/>
  <c r="P76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A78" i="14" l="1"/>
  <c r="P77" i="14"/>
  <c r="O77" i="14"/>
  <c r="R76" i="14"/>
  <c r="Q76" i="14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K50" i="14" s="1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/>
  <c r="S77" i="14" s="1"/>
  <c r="T77" i="14" s="1"/>
  <c r="P78" i="14"/>
  <c r="A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P79" i="14" l="1"/>
  <c r="A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A81" i="14" l="1"/>
  <c r="P80" i="14"/>
  <c r="O80" i="14"/>
  <c r="R79" i="14"/>
  <c r="Q79" i="14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1" i="14"/>
  <c r="A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2" i="14" l="1"/>
  <c r="A83" i="14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A84" i="14" l="1"/>
  <c r="P83" i="14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K53" i="14" s="1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A85" i="14"/>
  <c r="P84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R84" i="14" l="1"/>
  <c r="Q84" i="14" s="1"/>
  <c r="S84" i="14" s="1"/>
  <c r="T84" i="14" s="1"/>
  <c r="A86" i="14"/>
  <c r="P85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A87" i="14" l="1"/>
  <c r="P86" i="14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7" i="14"/>
  <c r="A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A89" i="14" l="1"/>
  <c r="P88" i="14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89" i="14"/>
  <c r="A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0" i="14"/>
  <c r="A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A92" i="14" l="1"/>
  <c r="P91" i="14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A93" i="14"/>
  <c r="P92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A94" i="14"/>
  <c r="P93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/>
  <c r="S93" i="14" s="1"/>
  <c r="T93" i="14" s="1"/>
  <c r="A95" i="14"/>
  <c r="P94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5" i="14" l="1"/>
  <c r="A96" i="14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A97" i="14" l="1"/>
  <c r="P96" i="14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/>
  <c r="S96" i="14" s="1"/>
  <c r="T96" i="14" s="1"/>
  <c r="P97" i="14"/>
  <c r="A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A99" i="14" l="1"/>
  <c r="P98" i="14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A100" i="14"/>
  <c r="P99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 s="1"/>
  <c r="S99" i="14" s="1"/>
  <c r="T99" i="14" s="1"/>
  <c r="A101" i="14"/>
  <c r="P100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A102" i="14" l="1"/>
  <c r="P101" i="14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A103" i="14"/>
  <c r="P102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/>
  <c r="S102" i="14" s="1"/>
  <c r="T102" i="14" s="1"/>
  <c r="P103" i="14"/>
  <c r="A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A105" i="14"/>
  <c r="P104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5" i="14"/>
  <c r="A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6" i="14" l="1"/>
  <c r="A107" i="14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A108" i="14" l="1"/>
  <c r="P107" i="14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A109" i="14"/>
  <c r="P108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A110" i="14" l="1"/>
  <c r="P109" i="14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A111" i="14"/>
  <c r="P110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1" i="14"/>
  <c r="A112" i="14"/>
  <c r="O111" i="14"/>
  <c r="A108" i="19"/>
  <c r="B107" i="19"/>
  <c r="C109" i="19"/>
  <c r="D108" i="19"/>
  <c r="I66" i="14"/>
  <c r="X66" i="14" s="1"/>
  <c r="H66" i="14"/>
  <c r="J66" i="14"/>
  <c r="K67" i="14" s="1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A113" i="14"/>
  <c r="P112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R112" i="14" l="1"/>
  <c r="Q112" i="14"/>
  <c r="S112" i="14" s="1"/>
  <c r="T112" i="14" s="1"/>
  <c r="P113" i="14"/>
  <c r="A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4" i="14"/>
  <c r="A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A116" i="14" l="1"/>
  <c r="P115" i="14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A117" i="14"/>
  <c r="P116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A118" i="14"/>
  <c r="P117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K70" i="14" s="1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A119" i="14" l="1"/>
  <c r="P118" i="14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R118" i="14" l="1"/>
  <c r="Q118" i="14" s="1"/>
  <c r="S118" i="14" s="1"/>
  <c r="T118" i="14" s="1"/>
  <c r="P119" i="14"/>
  <c r="A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A121" i="14" l="1"/>
  <c r="P120" i="14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A122" i="14"/>
  <c r="P121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A123" i="14"/>
  <c r="P122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A124" i="14"/>
  <c r="A125" i="14" s="1"/>
  <c r="A126" i="14" s="1"/>
  <c r="A127" i="14" s="1"/>
  <c r="P123" i="14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R123" i="14" l="1"/>
  <c r="Q123" i="14"/>
  <c r="S123" i="14" s="1"/>
  <c r="T123" i="14" s="1"/>
  <c r="P124" i="14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/>
  <c r="S124" i="14" s="1"/>
  <c r="T124" i="14" s="1"/>
  <c r="P125" i="14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P126" i="14"/>
  <c r="O126" i="14"/>
  <c r="A123" i="19"/>
  <c r="B122" i="19"/>
  <c r="C124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P127" i="14"/>
  <c r="A128" i="14"/>
  <c r="O127" i="14"/>
  <c r="C125" i="19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A129" i="14" l="1"/>
  <c r="P128" i="14"/>
  <c r="O128" i="14"/>
  <c r="R127" i="14"/>
  <c r="Q127" i="14" s="1"/>
  <c r="S127" i="14" s="1"/>
  <c r="T127" i="14" s="1"/>
  <c r="A125" i="19"/>
  <c r="B124" i="19"/>
  <c r="C126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R128" i="14" l="1"/>
  <c r="Q128" i="14"/>
  <c r="S128" i="14" s="1"/>
  <c r="T128" i="14" s="1"/>
  <c r="P129" i="14"/>
  <c r="O129" i="14"/>
  <c r="C127" i="19"/>
  <c r="D126" i="19"/>
  <c r="A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P130" i="14" l="1"/>
  <c r="A131" i="14"/>
  <c r="O130" i="14"/>
  <c r="R129" i="14"/>
  <c r="Q129" i="14" s="1"/>
  <c r="S129" i="14" s="1"/>
  <c r="T129" i="14" s="1"/>
  <c r="A127" i="19"/>
  <c r="B126" i="19"/>
  <c r="D127" i="19"/>
  <c r="C128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A132" i="14"/>
  <c r="O131" i="14"/>
  <c r="R130" i="14"/>
  <c r="Q130" i="14" s="1"/>
  <c r="S130" i="14" s="1"/>
  <c r="T130" i="14" s="1"/>
  <c r="C129" i="19"/>
  <c r="D128" i="19"/>
  <c r="A128" i="19"/>
  <c r="B127" i="19"/>
  <c r="I76" i="2"/>
  <c r="H76" i="2"/>
  <c r="V76" i="2" s="1"/>
  <c r="G76" i="2"/>
  <c r="E72" i="3" s="1"/>
  <c r="I76" i="14"/>
  <c r="H76" i="14"/>
  <c r="J76" i="14"/>
  <c r="K77" i="14" s="1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A133" i="14" l="1"/>
  <c r="O132" i="14"/>
  <c r="B128" i="19"/>
  <c r="A129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A134" i="14" l="1"/>
  <c r="O133" i="14"/>
  <c r="C131" i="19"/>
  <c r="D130" i="19"/>
  <c r="A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A135" i="14" l="1"/>
  <c r="O134" i="14"/>
  <c r="A131" i="19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A136" i="14" l="1"/>
  <c r="O135" i="14"/>
  <c r="C133" i="19"/>
  <c r="D132" i="19"/>
  <c r="A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A137" i="14" l="1"/>
  <c r="O136" i="14"/>
  <c r="A133" i="19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A138" i="14"/>
  <c r="O137" i="14"/>
  <c r="C135" i="19"/>
  <c r="D134" i="19"/>
  <c r="A134" i="19"/>
  <c r="B133" i="19"/>
  <c r="H79" i="13"/>
  <c r="V79" i="13" s="1"/>
  <c r="I79" i="13"/>
  <c r="G79" i="13"/>
  <c r="I79" i="14"/>
  <c r="X79" i="14" s="1"/>
  <c r="J79" i="14"/>
  <c r="K80" i="14" s="1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A139" i="14" l="1"/>
  <c r="O138" i="14"/>
  <c r="A135" i="19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A14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A141" i="14" l="1"/>
  <c r="O140" i="14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A142" i="14" l="1"/>
  <c r="O141" i="14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A143" i="14" l="1"/>
  <c r="O142" i="14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A144" i="14" l="1"/>
  <c r="O143" i="14"/>
  <c r="A140" i="19"/>
  <c r="B139" i="19"/>
  <c r="C141" i="19"/>
  <c r="D141" i="19" s="1"/>
  <c r="D140" i="19"/>
  <c r="I82" i="14"/>
  <c r="X82" i="14" s="1"/>
  <c r="H82" i="14"/>
  <c r="J82" i="14"/>
  <c r="K83" i="14" s="1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A145" i="14" l="1"/>
  <c r="O144" i="14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A146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A147" i="14" l="1"/>
  <c r="O146" i="14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A148" i="14" l="1"/>
  <c r="O147" i="14"/>
  <c r="A144" i="19"/>
  <c r="B143" i="19"/>
  <c r="J84" i="14"/>
  <c r="K85" i="14" s="1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A149" i="14" l="1"/>
  <c r="O148" i="14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A150" i="14" l="1"/>
  <c r="O149" i="14"/>
  <c r="A146" i="19"/>
  <c r="B145" i="19"/>
  <c r="J85" i="14"/>
  <c r="K86" i="14" s="1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A151" i="14" l="1"/>
  <c r="O150" i="14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A152" i="14" l="1"/>
  <c r="O151" i="14"/>
  <c r="A148" i="19"/>
  <c r="B147" i="19"/>
  <c r="H86" i="14"/>
  <c r="I86" i="14"/>
  <c r="X86" i="14" s="1"/>
  <c r="J86" i="14"/>
  <c r="K87" i="14" s="1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A153" i="14" l="1"/>
  <c r="O152" i="14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A154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A155" i="14" l="1"/>
  <c r="O154" i="14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A156" i="14" l="1"/>
  <c r="O155" i="14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A157" i="14" l="1"/>
  <c r="O156" i="14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A158" i="14" l="1"/>
  <c r="O157" i="14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A159" i="14" l="1"/>
  <c r="O158" i="14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A160" i="14" l="1"/>
  <c r="O159" i="14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A161" i="14" l="1"/>
  <c r="O160" i="14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A162" i="14" l="1"/>
  <c r="O161" i="14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A163" i="14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A164" i="14" l="1"/>
  <c r="O163" i="14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A165" i="14" l="1"/>
  <c r="O164" i="14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A166" i="14" l="1"/>
  <c r="O165" i="14"/>
  <c r="A162" i="19"/>
  <c r="B162" i="19" s="1"/>
  <c r="B161" i="19"/>
  <c r="H93" i="14"/>
  <c r="I93" i="14"/>
  <c r="X93" i="14" s="1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A167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H97" i="14"/>
  <c r="J97" i="14"/>
  <c r="K98" i="14" s="1"/>
  <c r="I97" i="14"/>
  <c r="X97" i="14" s="1"/>
  <c r="H97" i="13"/>
  <c r="G97" i="13"/>
  <c r="I97" i="13"/>
  <c r="I97" i="2"/>
  <c r="G97" i="2"/>
  <c r="E93" i="3" s="1"/>
  <c r="C98" i="2" s="1"/>
  <c r="C4" i="10" s="1"/>
  <c r="H97" i="2"/>
  <c r="V97" i="2" s="1"/>
  <c r="K97" i="14"/>
  <c r="H98" i="14" l="1"/>
  <c r="I98" i="14"/>
  <c r="J98" i="14"/>
  <c r="K99" i="14" s="1"/>
  <c r="U99" i="14"/>
  <c r="V99" i="14" s="1"/>
  <c r="V97" i="13"/>
  <c r="X98" i="14" l="1"/>
  <c r="I99" i="14"/>
  <c r="X99" i="14" s="1"/>
  <c r="J99" i="14"/>
  <c r="K100" i="14" s="1"/>
  <c r="U100" i="14"/>
  <c r="V100" i="14" s="1"/>
  <c r="H99" i="14"/>
  <c r="H100" i="14" l="1"/>
  <c r="I100" i="14"/>
  <c r="X100" i="14" s="1"/>
  <c r="J100" i="14"/>
  <c r="K101" i="14" s="1"/>
  <c r="U101" i="14"/>
  <c r="V101" i="14" s="1"/>
  <c r="H101" i="14"/>
  <c r="I101" i="14" l="1"/>
  <c r="X101" i="14" s="1"/>
  <c r="J101" i="14"/>
  <c r="K102" i="14" s="1"/>
  <c r="U102" i="14"/>
  <c r="V102" i="14" s="1"/>
  <c r="I102" i="14"/>
  <c r="H102" i="14"/>
  <c r="U103" i="14"/>
  <c r="V103" i="14" s="1"/>
  <c r="J102" i="14" l="1"/>
  <c r="K103" i="14" s="1"/>
  <c r="X102" i="14"/>
  <c r="J103" i="14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H106" i="14"/>
  <c r="X106" i="14" l="1"/>
  <c r="H107" i="14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s="1"/>
  <c r="U110" i="14" l="1"/>
  <c r="V110" i="14" s="1"/>
  <c r="J109" i="14"/>
  <c r="K110" i="14" s="1"/>
  <c r="I109" i="14"/>
  <c r="H109" i="14"/>
  <c r="X109" i="14" l="1"/>
  <c r="U111" i="14"/>
  <c r="V111" i="14" s="1"/>
  <c r="J110" i="14"/>
  <c r="K111" i="14" s="1"/>
  <c r="I110" i="14"/>
  <c r="H110" i="14"/>
  <c r="X110" i="14" l="1"/>
  <c r="J111" i="14"/>
  <c r="K112" i="14" s="1"/>
  <c r="I111" i="14"/>
  <c r="H111" i="14"/>
  <c r="U112" i="14"/>
  <c r="V112" i="14" s="1"/>
  <c r="X111" i="14" l="1"/>
  <c r="J112" i="14"/>
  <c r="K113" i="14" s="1"/>
  <c r="I112" i="14"/>
  <c r="H112" i="14"/>
  <c r="U113" i="14"/>
  <c r="V113" i="14" s="1"/>
  <c r="X112" i="14" l="1"/>
  <c r="U114" i="14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H114" i="14"/>
  <c r="X114" i="14" l="1"/>
  <c r="U116" i="14"/>
  <c r="V116" i="14" s="1"/>
  <c r="J115" i="14"/>
  <c r="K116" i="14" s="1"/>
  <c r="I115" i="14"/>
  <c r="H115" i="14"/>
  <c r="X115" i="14" l="1"/>
  <c r="I116" i="14"/>
  <c r="J116" i="14"/>
  <c r="K117" i="14" s="1"/>
  <c r="H116" i="14"/>
  <c r="U117" i="14"/>
  <c r="V117" i="14" s="1"/>
  <c r="X116" i="14" l="1"/>
  <c r="H117" i="14"/>
  <c r="U118" i="14"/>
  <c r="V118" i="14" s="1"/>
  <c r="I117" i="14"/>
  <c r="J117" i="14"/>
  <c r="K118" i="14" s="1"/>
  <c r="X117" i="14" l="1"/>
  <c r="U119" i="14"/>
  <c r="V119" i="14" s="1"/>
  <c r="J118" i="14"/>
  <c r="K119" i="14" s="1"/>
  <c r="I118" i="14"/>
  <c r="H118" i="14"/>
  <c r="X118" i="14" l="1"/>
  <c r="U120" i="14"/>
  <c r="V120" i="14" s="1"/>
  <c r="J119" i="14"/>
  <c r="K120" i="14" s="1"/>
  <c r="I119" i="14"/>
  <c r="H119" i="14"/>
  <c r="X119" i="14" l="1"/>
  <c r="U121" i="14"/>
  <c r="V121" i="14" s="1"/>
  <c r="J120" i="14"/>
  <c r="K121" i="14" s="1"/>
  <c r="I120" i="14"/>
  <c r="H120" i="14"/>
  <c r="X120" i="14" l="1"/>
  <c r="J121" i="14"/>
  <c r="K122" i="14" s="1"/>
  <c r="I121" i="14"/>
  <c r="H121" i="14"/>
  <c r="U122" i="14"/>
  <c r="V122" i="14" s="1"/>
  <c r="X121" i="14" l="1"/>
  <c r="U123" i="14"/>
  <c r="V123" i="14" s="1"/>
  <c r="J122" i="14"/>
  <c r="K123" i="14" s="1"/>
  <c r="I122" i="14"/>
  <c r="H122" i="14"/>
  <c r="X122" i="14" l="1"/>
  <c r="U124" i="14"/>
  <c r="V124" i="14" s="1"/>
  <c r="J123" i="14"/>
  <c r="K124" i="14" s="1"/>
  <c r="I123" i="14"/>
  <c r="H123" i="14"/>
  <c r="X123" i="14" l="1"/>
  <c r="U125" i="14"/>
  <c r="V125" i="14" s="1"/>
  <c r="J124" i="14"/>
  <c r="I124" i="14"/>
  <c r="H124" i="14"/>
  <c r="X124" i="14" l="1"/>
  <c r="J125" i="14"/>
  <c r="I125" i="14"/>
  <c r="H125" i="14"/>
  <c r="U126" i="14"/>
  <c r="V126" i="14" s="1"/>
  <c r="X125" i="14" l="1"/>
  <c r="I126" i="14"/>
  <c r="H126" i="14"/>
  <c r="J126" i="14"/>
  <c r="U127" i="14"/>
  <c r="V127" i="14" s="1"/>
  <c r="X126" i="14" l="1"/>
  <c r="U128" i="14"/>
  <c r="V128" i="14" s="1"/>
  <c r="J127" i="14"/>
  <c r="I127" i="14"/>
  <c r="H127" i="14"/>
  <c r="X127" i="14" l="1"/>
  <c r="U129" i="14"/>
  <c r="V129" i="14" s="1"/>
  <c r="J128" i="14"/>
  <c r="I128" i="14"/>
  <c r="H128" i="14"/>
  <c r="X128" i="14" l="1"/>
  <c r="U130" i="14"/>
  <c r="J129" i="14"/>
  <c r="I129" i="14"/>
  <c r="H129" i="14"/>
  <c r="X129" i="14" l="1"/>
  <c r="J130" i="14"/>
  <c r="I130" i="14"/>
  <c r="X130" i="14" s="1"/>
  <c r="H130" i="14"/>
  <c r="J131" i="14" l="1"/>
  <c r="I131" i="14"/>
  <c r="H131" i="14"/>
  <c r="J132" i="14" l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I136" i="14"/>
  <c r="H136" i="14"/>
  <c r="J137" i="14" l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I156" i="14"/>
  <c r="H156" i="14"/>
  <c r="J157" i="14" l="1"/>
  <c r="I157" i="14"/>
  <c r="H157" i="14"/>
  <c r="I158" i="14" l="1"/>
  <c r="H158" i="14"/>
  <c r="J158" i="14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3" i="14" l="1"/>
  <c r="I163" i="14"/>
  <c r="H163" i="14"/>
</calcChain>
</file>

<file path=xl/sharedStrings.xml><?xml version="1.0" encoding="utf-8"?>
<sst xmlns="http://schemas.openxmlformats.org/spreadsheetml/2006/main" count="1127" uniqueCount="464">
  <si>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</si>
  <si>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</si>
  <si>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</si>
  <si>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</si>
  <si>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</si>
  <si>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</si>
  <si>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</si>
  <si>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</si>
  <si>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</si>
  <si>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</si>
  <si>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</si>
  <si>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</si>
  <si>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</si>
  <si>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</si>
  <si>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</si>
  <si>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</si>
  <si>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</si>
  <si>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</si>
  <si>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</si>
  <si>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</si>
  <si>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</si>
  <si>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</si>
  <si>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</si>
  <si>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</si>
  <si>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</si>
  <si>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</si>
  <si>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</si>
  <si>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</si>
  <si>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</si>
  <si>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</si>
  <si>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</si>
  <si>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</si>
  <si>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</si>
  <si>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</si>
  <si>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</si>
  <si>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</si>
  <si>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</si>
  <si>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</si>
  <si>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</si>
  <si>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</si>
  <si>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</si>
  <si>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</si>
  <si>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</si>
  <si>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</si>
  <si>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</si>
  <si>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</si>
  <si>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</si>
  <si>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</si>
  <si>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</si>
  <si>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</si>
  <si>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</si>
  <si>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</si>
  <si>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</si>
  <si>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</si>
  <si>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</si>
  <si>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</si>
  <si>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</si>
  <si>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</si>
  <si>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</si>
  <si>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</si>
  <si>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</si>
  <si>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</si>
  <si>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</si>
  <si>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</si>
  <si>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</si>
  <si>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</si>
  <si>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</si>
  <si>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</si>
  <si>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</si>
  <si>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</si>
  <si>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</si>
  <si>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</si>
  <si>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</si>
  <si>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</si>
  <si>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</si>
  <si>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</si>
  <si>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</si>
  <si>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</si>
  <si>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</si>
  <si>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</si>
  <si>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</si>
  <si>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</si>
  <si>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</si>
  <si>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</si>
  <si>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</si>
  <si>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</si>
  <si>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</si>
  <si>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</si>
  <si>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</si>
  <si>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</si>
  <si>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</si>
  <si>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</si>
  <si>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</si>
  <si>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</si>
  <si>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</si>
  <si>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</si>
  <si>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</si>
  <si>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</si>
  <si>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</si>
  <si>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</si>
  <si>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</si>
  <si>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</si>
  <si>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</si>
  <si>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</si>
  <si>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</si>
  <si>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</si>
  <si>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</si>
  <si>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</si>
  <si>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</si>
  <si>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</si>
  <si>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</si>
  <si>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</si>
  <si>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</si>
  <si>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</si>
  <si>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</si>
  <si>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</si>
  <si>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</si>
  <si>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</si>
  <si>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</si>
  <si>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</si>
  <si>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</si>
  <si>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</si>
  <si>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</si>
  <si>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</si>
  <si>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</si>
  <si>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</si>
  <si>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</si>
  <si>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</si>
  <si>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</si>
  <si>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</si>
  <si>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</si>
  <si>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</si>
  <si>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</si>
  <si>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</si>
  <si>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</si>
  <si>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</si>
  <si>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</si>
  <si>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</si>
  <si>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</si>
  <si>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</si>
  <si>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</si>
  <si>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</si>
  <si>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</si>
  <si>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</si>
  <si>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</si>
  <si>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</si>
  <si>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</si>
  <si>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</si>
  <si>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</si>
  <si>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</si>
  <si>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</si>
  <si>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</si>
  <si>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</si>
  <si>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</si>
  <si>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</si>
  <si>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</si>
  <si>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</si>
  <si>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</si>
  <si>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</si>
  <si>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</si>
  <si>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</si>
  <si>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</si>
  <si>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</si>
  <si>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</si>
  <si>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</si>
  <si>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</si>
  <si>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</si>
  <si>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</si>
  <si>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</si>
  <si>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</si>
  <si>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</si>
  <si>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</si>
  <si>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</si>
  <si>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</si>
  <si>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</si>
  <si>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</si>
  <si>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</si>
  <si>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</si>
  <si>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</si>
  <si>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</si>
  <si>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</si>
  <si>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</si>
  <si>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</si>
  <si>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</si>
  <si>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</si>
  <si>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</si>
  <si>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</si>
  <si>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</si>
  <si>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</si>
  <si>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</si>
  <si>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</si>
  <si>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</si>
  <si>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</si>
  <si>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</si>
  <si>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</si>
  <si>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</si>
  <si>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</si>
  <si>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</si>
  <si>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</si>
  <si>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</si>
  <si>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</si>
  <si>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</si>
  <si>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</si>
  <si>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</si>
  <si>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</si>
  <si>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</si>
  <si>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</si>
  <si>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</si>
  <si>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</si>
  <si>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</si>
  <si>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</si>
  <si>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</si>
  <si>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</si>
  <si>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</si>
  <si>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</si>
  <si>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</si>
  <si>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</si>
  <si>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</si>
  <si>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</si>
  <si>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</si>
  <si>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</si>
  <si>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</si>
  <si>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</si>
  <si>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</si>
  <si>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</si>
  <si>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</si>
  <si>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</si>
  <si>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</si>
  <si>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</si>
  <si>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</si>
  <si>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</si>
  <si>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</si>
  <si>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</si>
  <si>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</si>
  <si>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</si>
  <si>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</si>
  <si>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</si>
  <si>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</si>
  <si>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</si>
  <si>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</si>
  <si>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</si>
  <si>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</si>
  <si>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</si>
  <si>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</si>
  <si>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</si>
  <si>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</si>
  <si>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</si>
  <si>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</si>
  <si>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</si>
  <si>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</si>
  <si>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</si>
  <si>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</si>
  <si>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</si>
  <si>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</si>
  <si>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</si>
  <si>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</si>
  <si>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</si>
  <si>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</si>
  <si>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</si>
  <si>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</si>
  <si>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</si>
  <si>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</si>
  <si>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</si>
  <si>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</si>
  <si>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</si>
  <si>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</si>
  <si>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</si>
  <si>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</si>
  <si>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</si>
  <si>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</si>
  <si>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</si>
  <si>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</si>
  <si>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</si>
  <si>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</si>
  <si>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</si>
  <si>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</si>
  <si>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</si>
  <si>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</si>
  <si>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</si>
  <si>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</si>
  <si>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</si>
  <si>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</si>
  <si>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</si>
  <si>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</si>
  <si>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</si>
  <si>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</si>
  <si>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</si>
  <si>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</si>
  <si>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</si>
  <si>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</si>
  <si>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</si>
  <si>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</si>
  <si>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</si>
  <si>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</si>
  <si>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</si>
  <si>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</si>
  <si>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</si>
  <si>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</si>
  <si>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</si>
  <si>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</si>
  <si>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</si>
  <si>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</si>
  <si>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</si>
  <si>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</si>
  <si>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</si>
  <si>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</si>
  <si>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</si>
  <si>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</si>
  <si>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</si>
  <si>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</si>
  <si>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</si>
  <si>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</si>
  <si>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</si>
  <si>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</si>
  <si>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</si>
  <si>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</si>
  <si>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</si>
  <si>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</si>
  <si>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</si>
  <si>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</si>
  <si>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</si>
  <si>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</si>
  <si>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</si>
  <si>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</si>
  <si>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</si>
  <si>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</si>
  <si>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</si>
  <si>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</si>
  <si>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</si>
  <si>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</si>
  <si>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</si>
  <si>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</si>
  <si>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</si>
  <si>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</si>
  <si>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</si>
  <si>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</si>
  <si>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</si>
  <si>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</si>
  <si>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</si>
  <si>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</si>
  <si>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</si>
  <si>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</si>
  <si>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</si>
  <si>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</si>
  <si>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</si>
  <si>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</si>
  <si>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</si>
  <si>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</si>
  <si>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</si>
  <si>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</si>
  <si>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</si>
  <si>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</si>
  <si>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</si>
  <si>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</si>
  <si>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</si>
  <si>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</si>
  <si>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</si>
  <si>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</si>
  <si>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</si>
  <si>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</si>
  <si>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</si>
  <si>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</si>
  <si>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</si>
  <si>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</si>
  <si>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</si>
  <si>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</si>
  <si>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</si>
  <si>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</si>
  <si>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</si>
  <si>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</si>
  <si>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</si>
  <si>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</si>
  <si>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</si>
  <si>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</si>
  <si>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</si>
  <si>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</si>
  <si>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</si>
  <si>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</si>
  <si>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</si>
  <si>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</si>
  <si>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</si>
  <si>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</si>
  <si>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</si>
  <si>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</si>
  <si>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</si>
  <si>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</si>
  <si>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</si>
  <si>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</si>
  <si>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</si>
  <si>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</si>
  <si>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</si>
  <si>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</si>
  <si>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</si>
  <si>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</si>
  <si>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</si>
  <si>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</si>
  <si>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</si>
  <si>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</si>
  <si>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</si>
  <si>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</si>
  <si>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</si>
  <si>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</si>
  <si>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</si>
  <si>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</si>
  <si>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</si>
  <si>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</si>
  <si>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</si>
  <si>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</si>
  <si>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</si>
  <si>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</si>
  <si>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</si>
  <si>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</si>
  <si>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</si>
  <si>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</si>
  <si>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</si>
  <si>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</si>
  <si>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</si>
  <si>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</si>
  <si>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</si>
  <si>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</si>
  <si>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</si>
  <si>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</si>
  <si>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</si>
  <si>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</si>
  <si>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</si>
  <si>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</si>
  <si>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</si>
  <si>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</si>
  <si>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</si>
  <si>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</si>
  <si>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</si>
  <si>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</si>
  <si>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</si>
  <si>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</si>
  <si>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</si>
  <si>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</si>
  <si>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</si>
  <si>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</si>
  <si>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</si>
  <si>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</si>
  <si>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</si>
  <si>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</si>
  <si>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</si>
  <si>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</si>
  <si>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</si>
  <si>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</si>
  <si>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</si>
  <si>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</si>
  <si>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</si>
  <si>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</si>
  <si>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</si>
  <si>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</si>
  <si>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</si>
  <si>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</si>
  <si>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</si>
  <si>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</si>
  <si>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</si>
  <si>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</si>
  <si>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</si>
  <si>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</si>
  <si>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</si>
  <si>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Emergence Date (Approx 10 days after planting)</t>
  </si>
  <si>
    <t>Water Budget Calculation Sheet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</si>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</sst>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0.000"/>
    <numFmt numFmtId="166" formatCode="0.0"/>
    <numFmt numFmtId="167" formatCode="0.0%"/>
  </numFmts>
  <fonts count="38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2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1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167" fontId="5" fillId="0" borderId="0" xfId="0" applyNumberFormat="1" applyFont="1" applyAlignment="1" applyProtection="1">
      <alignment horizontal="center"/>
      <protection locked="0"/>
    </xf>
    <xf numFmtId="10" fontId="0" fillId="0" borderId="60" xfId="0" applyNumberFormat="1" applyBorder="1"/>
    <xf numFmtId="14" fontId="0" fillId="0" borderId="60" xfId="0" applyNumberFormat="1" applyBorder="1"/>
    <xf numFmtId="0" fontId="1" fillId="0" borderId="10" xfId="0" applyFont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10" xfId="0" applyBorder="1"/>
    <xf numFmtId="0" fontId="35" fillId="0" borderId="17" xfId="0" applyFont="1" applyBorder="1" applyAlignment="1" applyProtection="1">
      <alignment horizontal="center"/>
      <protection locked="0"/>
    </xf>
    <xf numFmtId="0" fontId="35" fillId="0" borderId="18" xfId="0" applyFont="1" applyBorder="1" applyAlignment="1" applyProtection="1">
      <alignment horizontal="center"/>
      <protection locked="0"/>
    </xf>
    <xf numFmtId="0" fontId="35" fillId="0" borderId="19" xfId="0" applyFont="1" applyBorder="1" applyAlignment="1" applyProtection="1">
      <alignment horizontal="center"/>
      <protection locked="0"/>
    </xf>
    <xf numFmtId="10" fontId="36" fillId="0" borderId="10" xfId="0" applyNumberFormat="1" applyFont="1" applyBorder="1" applyAlignment="1">
      <alignment horizontal="center" vertical="center"/>
    </xf>
    <xf numFmtId="10" fontId="36" fillId="0" borderId="9" xfId="0" applyNumberFormat="1" applyFont="1" applyBorder="1" applyAlignment="1">
      <alignment horizontal="center" vertical="center"/>
    </xf>
    <xf numFmtId="0" fontId="37" fillId="0" borderId="59" xfId="0" applyFont="1" applyBorder="1" applyAlignment="1">
      <alignment horizontal="center"/>
    </xf>
    <xf numFmtId="0" fontId="37" fillId="0" borderId="4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55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36" fillId="0" borderId="61" xfId="0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36" fillId="0" borderId="7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Budget_!$V$17:$V$129</c:f>
              <c:numCache>
                <c:formatCode>General</c:formatCode>
                <c:ptCount val="113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0.37157393454934934</c:v>
                </c:pt>
                <c:pt idx="10">
                  <c:v>0.36833204872995151</c:v>
                </c:pt>
                <c:pt idx="11">
                  <c:v>0.38422601098524267</c:v>
                </c:pt>
                <c:pt idx="12">
                  <c:v>0.38175433254775898</c:v>
                </c:pt>
                <c:pt idx="13">
                  <c:v>0.38199133534970831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0.36880209083955706</c:v>
                </c:pt>
                <c:pt idx="27">
                  <c:v>0.36467003344941074</c:v>
                </c:pt>
                <c:pt idx="28">
                  <c:v>0.36060113549161393</c:v>
                </c:pt>
                <c:pt idx="29">
                  <c:v>0.35417487573466527</c:v>
                </c:pt>
                <c:pt idx="30">
                  <c:v>0.34996973923855607</c:v>
                </c:pt>
                <c:pt idx="31">
                  <c:v>0.34919963938578674</c:v>
                </c:pt>
                <c:pt idx="32">
                  <c:v>0.34418931726726748</c:v>
                </c:pt>
                <c:pt idx="33">
                  <c:v>0.33783630283922833</c:v>
                </c:pt>
                <c:pt idx="34">
                  <c:v>0.33309561643030933</c:v>
                </c:pt>
                <c:pt idx="35">
                  <c:v>0.32644034805136424</c:v>
                </c:pt>
                <c:pt idx="36">
                  <c:v>0.32378174223521522</c:v>
                </c:pt>
                <c:pt idx="37">
                  <c:v>0.31748166456225724</c:v>
                </c:pt>
                <c:pt idx="38">
                  <c:v>0.33864440932740253</c:v>
                </c:pt>
                <c:pt idx="39">
                  <c:v>0.33367899294996517</c:v>
                </c:pt>
                <c:pt idx="40">
                  <c:v>0.3277330795540952</c:v>
                </c:pt>
                <c:pt idx="41">
                  <c:v>0.32354419171578791</c:v>
                </c:pt>
                <c:pt idx="42">
                  <c:v>0.32434152131755567</c:v>
                </c:pt>
                <c:pt idx="43">
                  <c:v>0.32001484522814372</c:v>
                </c:pt>
                <c:pt idx="44">
                  <c:v>0.31905174515336038</c:v>
                </c:pt>
                <c:pt idx="45">
                  <c:v>0.34687166431045757</c:v>
                </c:pt>
                <c:pt idx="46">
                  <c:v>0.34163977515134097</c:v>
                </c:pt>
                <c:pt idx="47">
                  <c:v>0.34261620417354682</c:v>
                </c:pt>
                <c:pt idx="48">
                  <c:v>0.33785428491605551</c:v>
                </c:pt>
                <c:pt idx="49">
                  <c:v>0.34115164920516033</c:v>
                </c:pt>
                <c:pt idx="50">
                  <c:v>0.33927719357548125</c:v>
                </c:pt>
                <c:pt idx="51">
                  <c:v>0.3349571039680837</c:v>
                </c:pt>
                <c:pt idx="52">
                  <c:v>0.32814426974348482</c:v>
                </c:pt>
                <c:pt idx="53">
                  <c:v>0.32133143551888593</c:v>
                </c:pt>
                <c:pt idx="54">
                  <c:v>0.31347047295204106</c:v>
                </c:pt>
                <c:pt idx="55">
                  <c:v>0.30842153471511596</c:v>
                </c:pt>
                <c:pt idx="56">
                  <c:v>0.30056057214827103</c:v>
                </c:pt>
                <c:pt idx="57">
                  <c:v>0.29269960958142616</c:v>
                </c:pt>
                <c:pt idx="58">
                  <c:v>0.28693490369907321</c:v>
                </c:pt>
                <c:pt idx="59">
                  <c:v>0.28169426198784331</c:v>
                </c:pt>
                <c:pt idx="60">
                  <c:v>0.27540549193436736</c:v>
                </c:pt>
                <c:pt idx="61">
                  <c:v>0.27104172972313745</c:v>
                </c:pt>
                <c:pt idx="62">
                  <c:v>0.2683234412211154</c:v>
                </c:pt>
                <c:pt idx="63">
                  <c:v>0.29989832698715813</c:v>
                </c:pt>
                <c:pt idx="64">
                  <c:v>0.29518174944705117</c:v>
                </c:pt>
                <c:pt idx="65">
                  <c:v>0.29046517190694415</c:v>
                </c:pt>
                <c:pt idx="66">
                  <c:v>0.30736624201523294</c:v>
                </c:pt>
                <c:pt idx="67">
                  <c:v>0.30081543987619547</c:v>
                </c:pt>
                <c:pt idx="68">
                  <c:v>0.2924304131382276</c:v>
                </c:pt>
                <c:pt idx="69">
                  <c:v>0.28430741848582114</c:v>
                </c:pt>
                <c:pt idx="70">
                  <c:v>0.27801864843234519</c:v>
                </c:pt>
                <c:pt idx="71">
                  <c:v>0.27172987837886925</c:v>
                </c:pt>
                <c:pt idx="72">
                  <c:v>0.26517907623983183</c:v>
                </c:pt>
                <c:pt idx="73">
                  <c:v>0.28072631331648068</c:v>
                </c:pt>
                <c:pt idx="74">
                  <c:v>0.27556429118289782</c:v>
                </c:pt>
                <c:pt idx="75">
                  <c:v>0.26875145695829894</c:v>
                </c:pt>
                <c:pt idx="76">
                  <c:v>0.26167659064813859</c:v>
                </c:pt>
                <c:pt idx="77">
                  <c:v>0.25342578256733028</c:v>
                </c:pt>
                <c:pt idx="78">
                  <c:v>0.24611792398147164</c:v>
                </c:pt>
                <c:pt idx="79">
                  <c:v>0.24308385769359281</c:v>
                </c:pt>
                <c:pt idx="80">
                  <c:v>0.24542308686636036</c:v>
                </c:pt>
                <c:pt idx="81">
                  <c:v>0.25703984265958674</c:v>
                </c:pt>
                <c:pt idx="82">
                  <c:v>0.25887578804505912</c:v>
                </c:pt>
                <c:pt idx="83">
                  <c:v>0.25834828583828551</c:v>
                </c:pt>
                <c:pt idx="84">
                  <c:v>0.25729671946038885</c:v>
                </c:pt>
                <c:pt idx="85">
                  <c:v>0.25498378239745179</c:v>
                </c:pt>
                <c:pt idx="86">
                  <c:v>0.2555716772553977</c:v>
                </c:pt>
                <c:pt idx="87">
                  <c:v>0.27692397452620532</c:v>
                </c:pt>
                <c:pt idx="88">
                  <c:v>0.27153044144009536</c:v>
                </c:pt>
                <c:pt idx="89">
                  <c:v>0.26655687089299535</c:v>
                </c:pt>
                <c:pt idx="90">
                  <c:v>0.26122552576753255</c:v>
                </c:pt>
                <c:pt idx="91">
                  <c:v>0.25866227573363015</c:v>
                </c:pt>
                <c:pt idx="92">
                  <c:v>0.25444960605037226</c:v>
                </c:pt>
                <c:pt idx="93">
                  <c:v>0.24989931810302554</c:v>
                </c:pt>
                <c:pt idx="94">
                  <c:v>0.26810333998894575</c:v>
                </c:pt>
                <c:pt idx="95">
                  <c:v>0.26376469334147556</c:v>
                </c:pt>
                <c:pt idx="96">
                  <c:v>0.26154749877133976</c:v>
                </c:pt>
                <c:pt idx="97">
                  <c:v>0.26006093244781037</c:v>
                </c:pt>
                <c:pt idx="98">
                  <c:v>0.25655545455068307</c:v>
                </c:pt>
                <c:pt idx="99">
                  <c:v>0.25085539185757144</c:v>
                </c:pt>
                <c:pt idx="100">
                  <c:v>0.24759006894518967</c:v>
                </c:pt>
                <c:pt idx="101">
                  <c:v>0.26894564636219914</c:v>
                </c:pt>
                <c:pt idx="102">
                  <c:v>0.2680250960270833</c:v>
                </c:pt>
                <c:pt idx="103">
                  <c:v>0.2653644625429204</c:v>
                </c:pt>
                <c:pt idx="104">
                  <c:v>0.26246195328746996</c:v>
                </c:pt>
                <c:pt idx="105">
                  <c:v>0.25851421705397398</c:v>
                </c:pt>
                <c:pt idx="106">
                  <c:v>0.25533959755582497</c:v>
                </c:pt>
                <c:pt idx="107">
                  <c:v>0.2515401323151833</c:v>
                </c:pt>
                <c:pt idx="108">
                  <c:v>0.26984878444736482</c:v>
                </c:pt>
                <c:pt idx="109">
                  <c:v>0.26808006786982469</c:v>
                </c:pt>
                <c:pt idx="110">
                  <c:v>0.26598381118533271</c:v>
                </c:pt>
                <c:pt idx="111">
                  <c:v>0.26235560149839754</c:v>
                </c:pt>
                <c:pt idx="112">
                  <c:v>0.25947324855722115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9-4819-943A-905CC3BA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24319"/>
        <c:axId val="772222879"/>
      </c:lineChart>
      <c:dateAx>
        <c:axId val="77222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2879"/>
        <c:crosses val="autoZero"/>
        <c:auto val="1"/>
        <c:lblOffset val="100"/>
        <c:baseTimeUnit val="days"/>
      </c:dateAx>
      <c:valAx>
        <c:axId val="7722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5.1868688006480603</c:v>
                </c:pt>
                <c:pt idx="10">
                  <c:v>5.4347769639133663</c:v>
                </c:pt>
                <c:pt idx="11">
                  <c:v>5.9751065381786717</c:v>
                </c:pt>
                <c:pt idx="12">
                  <c:v>6.2405147014439777</c:v>
                </c:pt>
                <c:pt idx="13">
                  <c:v>6.5484228917092846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10.138294211446599</c:v>
                </c:pt>
                <c:pt idx="27">
                  <c:v>10.314952374711904</c:v>
                </c:pt>
                <c:pt idx="28">
                  <c:v>10.486869756643875</c:v>
                </c:pt>
                <c:pt idx="29">
                  <c:v>10.581877919909182</c:v>
                </c:pt>
                <c:pt idx="30">
                  <c:v>10.734786083174486</c:v>
                </c:pt>
                <c:pt idx="31">
                  <c:v>10.989098855773126</c:v>
                </c:pt>
                <c:pt idx="32">
                  <c:v>11.105373685705098</c:v>
                </c:pt>
                <c:pt idx="33">
                  <c:v>11.169281848970407</c:v>
                </c:pt>
                <c:pt idx="34">
                  <c:v>11.277665870569045</c:v>
                </c:pt>
                <c:pt idx="35">
                  <c:v>11.312157367167684</c:v>
                </c:pt>
                <c:pt idx="36">
                  <c:v>11.477732372705486</c:v>
                </c:pt>
                <c:pt idx="37">
                  <c:v>11.507090535970793</c:v>
                </c:pt>
                <c:pt idx="38">
                  <c:v>12.543665365902768</c:v>
                </c:pt>
                <c:pt idx="39">
                  <c:v>12.625323529168071</c:v>
                </c:pt>
                <c:pt idx="40">
                  <c:v>12.661198359100045</c:v>
                </c:pt>
                <c:pt idx="41">
                  <c:v>12.756885273365352</c:v>
                </c:pt>
                <c:pt idx="42">
                  <c:v>13.046472214630658</c:v>
                </c:pt>
                <c:pt idx="43">
                  <c:v>13.127139569562631</c:v>
                </c:pt>
                <c:pt idx="44">
                  <c:v>13.341571955494601</c:v>
                </c:pt>
                <c:pt idx="45">
                  <c:v>14.780980307759908</c:v>
                </c:pt>
                <c:pt idx="46">
                  <c:v>14.829955137691883</c:v>
                </c:pt>
                <c:pt idx="47">
                  <c:v>15.14503465795719</c:v>
                </c:pt>
                <c:pt idx="48">
                  <c:v>15.203442821222499</c:v>
                </c:pt>
                <c:pt idx="49">
                  <c:v>15.623353077885302</c:v>
                </c:pt>
                <c:pt idx="50">
                  <c:v>15.537510660885303</c:v>
                </c:pt>
                <c:pt idx="51">
                  <c:v>15.339668189885302</c:v>
                </c:pt>
                <c:pt idx="52">
                  <c:v>15.027668189885304</c:v>
                </c:pt>
                <c:pt idx="53">
                  <c:v>14.715668189885307</c:v>
                </c:pt>
                <c:pt idx="54">
                  <c:v>14.355668189885307</c:v>
                </c:pt>
                <c:pt idx="55">
                  <c:v>14.124447426545309</c:v>
                </c:pt>
                <c:pt idx="56">
                  <c:v>13.76444742654531</c:v>
                </c:pt>
                <c:pt idx="57">
                  <c:v>13.40444742654531</c:v>
                </c:pt>
                <c:pt idx="58">
                  <c:v>13.140447426545311</c:v>
                </c:pt>
                <c:pt idx="59">
                  <c:v>12.900447426545313</c:v>
                </c:pt>
                <c:pt idx="60">
                  <c:v>12.612447426545312</c:v>
                </c:pt>
                <c:pt idx="61">
                  <c:v>12.412604928545313</c:v>
                </c:pt>
                <c:pt idx="62">
                  <c:v>12.288118410207815</c:v>
                </c:pt>
                <c:pt idx="63">
                  <c:v>13.734119301207812</c:v>
                </c:pt>
                <c:pt idx="64">
                  <c:v>13.518119301207811</c:v>
                </c:pt>
                <c:pt idx="65">
                  <c:v>13.30211930120781</c:v>
                </c:pt>
                <c:pt idx="66">
                  <c:v>14.07611932820781</c:v>
                </c:pt>
                <c:pt idx="67">
                  <c:v>13.776119328207809</c:v>
                </c:pt>
                <c:pt idx="68">
                  <c:v>13.392119328207809</c:v>
                </c:pt>
                <c:pt idx="69">
                  <c:v>13.020119328207809</c:v>
                </c:pt>
                <c:pt idx="70">
                  <c:v>12.732119328207808</c:v>
                </c:pt>
                <c:pt idx="71">
                  <c:v>12.444119328207808</c:v>
                </c:pt>
                <c:pt idx="72">
                  <c:v>12.144119328207807</c:v>
                </c:pt>
                <c:pt idx="73">
                  <c:v>12.856119328207807</c:v>
                </c:pt>
                <c:pt idx="74">
                  <c:v>12.61971978396781</c:v>
                </c:pt>
                <c:pt idx="75">
                  <c:v>12.307719783967812</c:v>
                </c:pt>
                <c:pt idx="76">
                  <c:v>11.983719783967814</c:v>
                </c:pt>
                <c:pt idx="77">
                  <c:v>11.605866450634473</c:v>
                </c:pt>
                <c:pt idx="78">
                  <c:v>11.271196355396373</c:v>
                </c:pt>
                <c:pt idx="79">
                  <c:v>11.132248503355555</c:v>
                </c:pt>
                <c:pt idx="80">
                  <c:v>11.239375651594134</c:v>
                </c:pt>
                <c:pt idx="81">
                  <c:v>11.771375651594134</c:v>
                </c:pt>
                <c:pt idx="82">
                  <c:v>11.855454456594135</c:v>
                </c:pt>
                <c:pt idx="83">
                  <c:v>11.831297008594134</c:v>
                </c:pt>
                <c:pt idx="84">
                  <c:v>11.783139560594133</c:v>
                </c:pt>
                <c:pt idx="85">
                  <c:v>11.677216483671057</c:v>
                </c:pt>
                <c:pt idx="86">
                  <c:v>11.704139668594131</c:v>
                </c:pt>
                <c:pt idx="87">
                  <c:v>12.68198773136336</c:v>
                </c:pt>
                <c:pt idx="88">
                  <c:v>12.434985930440284</c:v>
                </c:pt>
                <c:pt idx="89">
                  <c:v>12.207216699671051</c:v>
                </c:pt>
                <c:pt idx="90">
                  <c:v>11.963062853517204</c:v>
                </c:pt>
                <c:pt idx="91">
                  <c:v>11.845676464209511</c:v>
                </c:pt>
                <c:pt idx="92">
                  <c:v>11.652753387286435</c:v>
                </c:pt>
                <c:pt idx="93">
                  <c:v>11.444368771901821</c:v>
                </c:pt>
                <c:pt idx="94">
                  <c:v>12.27803867214682</c:v>
                </c:pt>
                <c:pt idx="95">
                  <c:v>12.079346364454512</c:v>
                </c:pt>
                <c:pt idx="96">
                  <c:v>11.977807902916048</c:v>
                </c:pt>
                <c:pt idx="97">
                  <c:v>11.90972923291605</c:v>
                </c:pt>
                <c:pt idx="98">
                  <c:v>11.749192653300668</c:v>
                </c:pt>
                <c:pt idx="99">
                  <c:v>11.488153047518168</c:v>
                </c:pt>
                <c:pt idx="100">
                  <c:v>11.338614585979705</c:v>
                </c:pt>
                <c:pt idx="101">
                  <c:v>12.31661286605663</c:v>
                </c:pt>
                <c:pt idx="102">
                  <c:v>12.274455418056629</c:v>
                </c:pt>
                <c:pt idx="103">
                  <c:v>12.152609264210476</c:v>
                </c:pt>
                <c:pt idx="104">
                  <c:v>12.019686187287398</c:v>
                </c:pt>
                <c:pt idx="105">
                  <c:v>11.838895981002398</c:v>
                </c:pt>
                <c:pt idx="106">
                  <c:v>11.69351136561778</c:v>
                </c:pt>
                <c:pt idx="107">
                  <c:v>11.519511365617781</c:v>
                </c:pt>
                <c:pt idx="108">
                  <c:v>12.357972904079318</c:v>
                </c:pt>
                <c:pt idx="109">
                  <c:v>12.276972904079319</c:v>
                </c:pt>
                <c:pt idx="110">
                  <c:v>12.180972904079319</c:v>
                </c:pt>
                <c:pt idx="111">
                  <c:v>12.014815709436817</c:v>
                </c:pt>
                <c:pt idx="112">
                  <c:v>11.882815709436819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  <c:pt idx="113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  <c:pt idx="113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General</c:formatCode>
                <c:ptCount val="151"/>
                <c:pt idx="5">
                  <c:v>0</c:v>
                </c:pt>
                <c:pt idx="24">
                  <c:v>0</c:v>
                </c:pt>
                <c:pt idx="31">
                  <c:v>0</c:v>
                </c:pt>
                <c:pt idx="38">
                  <c:v>1</c:v>
                </c:pt>
                <c:pt idx="45">
                  <c:v>1</c:v>
                </c:pt>
                <c:pt idx="52">
                  <c:v>0</c:v>
                </c:pt>
                <c:pt idx="53">
                  <c:v>0</c:v>
                </c:pt>
                <c:pt idx="59">
                  <c:v>0</c:v>
                </c:pt>
                <c:pt idx="60">
                  <c:v>0</c:v>
                </c:pt>
                <c:pt idx="66">
                  <c:v>1</c:v>
                </c:pt>
                <c:pt idx="73">
                  <c:v>1</c:v>
                </c:pt>
                <c:pt idx="80">
                  <c:v>0.3</c:v>
                </c:pt>
                <c:pt idx="81">
                  <c:v>0.7</c:v>
                </c:pt>
                <c:pt idx="87">
                  <c:v>1</c:v>
                </c:pt>
                <c:pt idx="94">
                  <c:v>1</c:v>
                </c:pt>
                <c:pt idx="101">
                  <c:v>1</c:v>
                </c:pt>
                <c:pt idx="10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  <c:pt idx="113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693964</xdr:colOff>
      <xdr:row>6</xdr:row>
      <xdr:rowOff>9524</xdr:rowOff>
    </xdr:from>
    <xdr:to>
      <xdr:col>15</xdr:col>
      <xdr:colOff>693964</xdr:colOff>
      <xdr:row>22</xdr:row>
      <xdr:rowOff>99331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185E3-A7D9-374C-D8BF-62CB26587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32" sqref="C32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K9" sqref="K9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N19" sqref="N19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E26" sqref="E2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136</v>
      </c>
      <c r="B1" t="s">
        <v>193</v>
      </c>
    </row>
    <row r="2" spans="1:3" x14ac:dyDescent="0.2">
      <c r="B2" t="s">
        <v>216</v>
      </c>
    </row>
    <row r="3" spans="1:3" x14ac:dyDescent="0.2">
      <c r="B3" t="s">
        <v>91</v>
      </c>
    </row>
    <row r="4" spans="1:3" x14ac:dyDescent="0.2">
      <c r="B4" t="s">
        <v>89</v>
      </c>
    </row>
    <row r="5" spans="1:3" x14ac:dyDescent="0.2">
      <c r="B5" t="s">
        <v>90</v>
      </c>
    </row>
    <row r="6" spans="1:3" x14ac:dyDescent="0.2">
      <c r="B6" t="s">
        <v>137</v>
      </c>
    </row>
    <row r="8" spans="1:3" x14ac:dyDescent="0.2">
      <c r="B8" t="s">
        <v>229</v>
      </c>
      <c r="C8">
        <v>1</v>
      </c>
    </row>
    <row r="9" spans="1:3" x14ac:dyDescent="0.2">
      <c r="B9" t="s">
        <v>230</v>
      </c>
      <c r="C9">
        <v>15</v>
      </c>
    </row>
    <row r="10" spans="1:3" x14ac:dyDescent="0.2">
      <c r="B10" t="s">
        <v>231</v>
      </c>
      <c r="C10">
        <v>2502</v>
      </c>
    </row>
    <row r="11" spans="1:3" x14ac:dyDescent="0.2">
      <c r="B11" t="s">
        <v>232</v>
      </c>
      <c r="C11" s="249">
        <v>45420</v>
      </c>
    </row>
    <row r="12" spans="1:3" x14ac:dyDescent="0.2">
      <c r="B12" t="s">
        <v>233</v>
      </c>
      <c r="C12" s="265" t="s">
        <v>234</v>
      </c>
    </row>
    <row r="13" spans="1:3" x14ac:dyDescent="0.2">
      <c r="B13" t="s">
        <v>235</v>
      </c>
      <c r="C13">
        <v>28000</v>
      </c>
    </row>
    <row r="14" spans="1:3" x14ac:dyDescent="0.2">
      <c r="B14" t="s">
        <v>236</v>
      </c>
      <c r="C14" s="249">
        <v>45434</v>
      </c>
    </row>
    <row r="15" spans="1:3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461</v>
      </c>
      <c r="C21" s="260">
        <v>45430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60">
        <v>45430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45449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52" t="s">
        <v>116</v>
      </c>
      <c r="C32" s="263">
        <v>45479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45515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45543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237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238</v>
      </c>
      <c r="C44" s="266">
        <v>0.5</v>
      </c>
    </row>
    <row r="46" spans="1:4" x14ac:dyDescent="0.2">
      <c r="A46">
        <v>15</v>
      </c>
      <c r="B46" t="s">
        <v>239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A167"/>
  <sheetViews>
    <sheetView tabSelected="1" zoomScale="70" zoomScaleNormal="70" workbookViewId="0">
      <selection activeCell="L5" sqref="L5:AA5"/>
    </sheetView>
  </sheetViews>
  <sheetFormatPr defaultColWidth="11.42578125" defaultRowHeight="12.75" x14ac:dyDescent="0.2"/>
  <cols>
    <col min="4" max="4" width="21.28515625" customWidth="1"/>
  </cols>
  <sheetData>
    <row r="1" spans="1:27" ht="28.5" thickBot="1" x14ac:dyDescent="0.45">
      <c r="A1" s="278" t="s">
        <v>462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80"/>
    </row>
    <row r="4" spans="1:27" ht="15.75" x14ac:dyDescent="0.25">
      <c r="A4" s="285" t="s">
        <v>111</v>
      </c>
      <c r="B4" s="286"/>
      <c r="C4" s="286"/>
      <c r="D4" s="286"/>
      <c r="E4" s="287"/>
      <c r="F4" s="281">
        <v>0.5</v>
      </c>
      <c r="L4" s="249">
        <v>45420</v>
      </c>
      <c r="M4" s="249">
        <v>45428</v>
      </c>
      <c r="N4" s="249">
        <v>45439</v>
      </c>
      <c r="O4" s="249">
        <v>45456</v>
      </c>
      <c r="P4" s="249">
        <v>45466</v>
      </c>
      <c r="Q4" s="249">
        <v>45479</v>
      </c>
      <c r="R4" s="249">
        <v>45485</v>
      </c>
      <c r="S4" s="249">
        <v>45492</v>
      </c>
      <c r="T4" s="249">
        <v>45504</v>
      </c>
      <c r="U4" s="249">
        <v>45524</v>
      </c>
      <c r="V4" s="249">
        <v>45529</v>
      </c>
      <c r="W4" s="249">
        <v>45535</v>
      </c>
      <c r="X4" s="249">
        <v>45541</v>
      </c>
      <c r="Y4" s="249">
        <v>45548</v>
      </c>
      <c r="Z4" s="249">
        <v>45555</v>
      </c>
      <c r="AA4" s="249">
        <v>45565</v>
      </c>
    </row>
    <row r="5" spans="1:27" ht="15" x14ac:dyDescent="0.2">
      <c r="A5" s="288" t="s">
        <v>112</v>
      </c>
      <c r="B5" s="289"/>
      <c r="C5" s="289"/>
      <c r="D5" s="289"/>
      <c r="E5" s="290"/>
      <c r="F5" s="282"/>
      <c r="L5">
        <v>0.21039011575</v>
      </c>
      <c r="M5">
        <v>0.25120800375000002</v>
      </c>
      <c r="N5">
        <v>0.2625535765</v>
      </c>
      <c r="O5">
        <v>0.28007827750000003</v>
      </c>
      <c r="P5">
        <v>0.43888835674999999</v>
      </c>
      <c r="Q5">
        <v>0.78243626224999996</v>
      </c>
      <c r="R5">
        <v>0.8257884405</v>
      </c>
      <c r="S5">
        <v>0.82991012225000005</v>
      </c>
      <c r="T5">
        <v>0.98499810100000007</v>
      </c>
      <c r="U5">
        <v>0.97841235150000005</v>
      </c>
      <c r="V5">
        <v>0.96681335474999996</v>
      </c>
      <c r="W5">
        <v>0.95152740150000004</v>
      </c>
      <c r="X5">
        <v>0.87451155075000009</v>
      </c>
      <c r="Y5">
        <v>0.69057276925</v>
      </c>
      <c r="Z5">
        <v>0.63188256124999997</v>
      </c>
      <c r="AA5">
        <v>0.53015814549999996</v>
      </c>
    </row>
    <row r="6" spans="1:27" x14ac:dyDescent="0.2">
      <c r="G6" s="250"/>
    </row>
    <row r="7" spans="1:27" ht="15.75" x14ac:dyDescent="0.25">
      <c r="A7" s="283" t="s">
        <v>113</v>
      </c>
      <c r="B7" s="284"/>
      <c r="C7" s="284"/>
      <c r="D7" s="284"/>
      <c r="E7" s="272">
        <f>+Input_!C23</f>
        <v>45430</v>
      </c>
      <c r="F7" s="271">
        <v>1</v>
      </c>
    </row>
    <row r="9" spans="1:27" x14ac:dyDescent="0.2">
      <c r="D9" t="s">
        <v>99</v>
      </c>
    </row>
    <row r="10" spans="1:27" x14ac:dyDescent="0.2">
      <c r="B10" s="273" t="s">
        <v>228</v>
      </c>
      <c r="C10" s="273" t="s">
        <v>459</v>
      </c>
      <c r="D10" s="277" t="s">
        <v>77</v>
      </c>
      <c r="E10" s="277" t="s">
        <v>228</v>
      </c>
      <c r="F10" s="277" t="s">
        <v>228</v>
      </c>
      <c r="G10" s="277" t="s">
        <v>228</v>
      </c>
      <c r="H10" s="277"/>
      <c r="I10" s="277" t="s">
        <v>5</v>
      </c>
      <c r="J10" s="277" t="s">
        <v>107</v>
      </c>
      <c r="K10" s="277" t="s">
        <v>138</v>
      </c>
      <c r="P10" s="277"/>
      <c r="Q10" s="277" t="s">
        <v>8</v>
      </c>
      <c r="R10" s="277" t="s">
        <v>8</v>
      </c>
      <c r="S10" s="277" t="s">
        <v>5</v>
      </c>
      <c r="T10" s="277" t="s">
        <v>8</v>
      </c>
      <c r="U10" s="277" t="s">
        <v>76</v>
      </c>
      <c r="V10" s="273" t="s">
        <v>463</v>
      </c>
      <c r="W10" s="277"/>
      <c r="X10" s="277"/>
      <c r="Y10" s="277"/>
      <c r="Z10" s="277"/>
    </row>
    <row r="11" spans="1:27" x14ac:dyDescent="0.2">
      <c r="B11" s="274" t="s">
        <v>78</v>
      </c>
      <c r="C11" s="276" t="s">
        <v>460</v>
      </c>
      <c r="D11" s="274" t="s">
        <v>78</v>
      </c>
      <c r="E11" s="274" t="s">
        <v>79</v>
      </c>
      <c r="F11" s="274" t="s">
        <v>79</v>
      </c>
      <c r="G11" s="274" t="s">
        <v>27</v>
      </c>
      <c r="H11" s="274" t="s">
        <v>77</v>
      </c>
      <c r="I11" s="274" t="s">
        <v>9</v>
      </c>
      <c r="J11" s="274" t="s">
        <v>8</v>
      </c>
      <c r="K11" s="274" t="s">
        <v>16</v>
      </c>
      <c r="P11" s="274"/>
      <c r="Q11" s="274" t="s">
        <v>10</v>
      </c>
      <c r="R11" s="274" t="s">
        <v>10</v>
      </c>
      <c r="S11" s="274" t="s">
        <v>8</v>
      </c>
      <c r="T11" s="274" t="s">
        <v>10</v>
      </c>
      <c r="U11" s="274" t="s">
        <v>109</v>
      </c>
      <c r="V11" s="274"/>
      <c r="W11" s="274"/>
      <c r="X11" s="274"/>
      <c r="Y11" s="274"/>
      <c r="Z11" s="274"/>
    </row>
    <row r="12" spans="1:27" x14ac:dyDescent="0.2">
      <c r="B12" s="274" t="s">
        <v>11</v>
      </c>
      <c r="C12" s="274"/>
      <c r="D12" s="274" t="s">
        <v>12</v>
      </c>
      <c r="E12" s="274" t="s">
        <v>26</v>
      </c>
      <c r="F12" s="274" t="s">
        <v>82</v>
      </c>
      <c r="G12" s="274" t="s">
        <v>9</v>
      </c>
      <c r="H12" s="274" t="s">
        <v>9</v>
      </c>
      <c r="I12" s="274" t="s">
        <v>75</v>
      </c>
      <c r="J12" s="274" t="s">
        <v>108</v>
      </c>
      <c r="K12" s="274"/>
      <c r="P12" s="274" t="s">
        <v>13</v>
      </c>
      <c r="Q12" s="274" t="s">
        <v>7</v>
      </c>
      <c r="R12" s="274" t="s">
        <v>71</v>
      </c>
      <c r="S12" s="274" t="s">
        <v>70</v>
      </c>
      <c r="T12" s="274" t="s">
        <v>6</v>
      </c>
      <c r="U12" s="274" t="s">
        <v>110</v>
      </c>
      <c r="V12" s="274"/>
      <c r="W12" s="274" t="s">
        <v>33</v>
      </c>
      <c r="X12" s="274" t="s">
        <v>33</v>
      </c>
      <c r="Y12" s="274" t="s">
        <v>33</v>
      </c>
      <c r="Z12" s="274" t="s">
        <v>33</v>
      </c>
    </row>
    <row r="13" spans="1:27" x14ac:dyDescent="0.2">
      <c r="B13" s="274" t="s">
        <v>14</v>
      </c>
      <c r="C13" s="274"/>
      <c r="D13" s="274" t="s">
        <v>15</v>
      </c>
      <c r="E13" s="274" t="s">
        <v>16</v>
      </c>
      <c r="F13" s="274" t="s">
        <v>17</v>
      </c>
      <c r="G13" s="274" t="s">
        <v>105</v>
      </c>
      <c r="H13" s="274" t="s">
        <v>105</v>
      </c>
      <c r="I13" s="274" t="s">
        <v>74</v>
      </c>
      <c r="J13" s="274"/>
      <c r="K13" s="274"/>
      <c r="P13" s="274" t="s">
        <v>19</v>
      </c>
      <c r="Q13" s="274" t="s">
        <v>20</v>
      </c>
      <c r="R13" s="274" t="s">
        <v>72</v>
      </c>
      <c r="S13" s="274"/>
      <c r="T13" s="274"/>
      <c r="U13" s="274" t="s">
        <v>80</v>
      </c>
      <c r="V13" s="274"/>
      <c r="W13" s="274" t="s">
        <v>34</v>
      </c>
      <c r="X13" s="274" t="s">
        <v>35</v>
      </c>
      <c r="Y13" s="274" t="s">
        <v>16</v>
      </c>
      <c r="Z13" s="274" t="s">
        <v>36</v>
      </c>
    </row>
    <row r="14" spans="1:27" x14ac:dyDescent="0.2">
      <c r="B14" s="274" t="s">
        <v>100</v>
      </c>
      <c r="C14" s="274"/>
      <c r="D14" s="274" t="s">
        <v>101</v>
      </c>
      <c r="E14" s="274" t="s">
        <v>102</v>
      </c>
      <c r="F14" s="274" t="s">
        <v>103</v>
      </c>
      <c r="G14" s="274" t="s">
        <v>106</v>
      </c>
      <c r="H14" s="274" t="s">
        <v>106</v>
      </c>
      <c r="I14" s="274" t="s">
        <v>104</v>
      </c>
      <c r="J14" s="274"/>
      <c r="K14" s="274"/>
      <c r="P14" s="274"/>
      <c r="Q14" s="274"/>
      <c r="R14" s="274"/>
      <c r="S14" s="274"/>
      <c r="T14" s="274"/>
      <c r="U14" s="274" t="s">
        <v>18</v>
      </c>
      <c r="V14" s="274"/>
      <c r="W14" s="274"/>
      <c r="X14" s="274"/>
      <c r="Y14" s="274"/>
      <c r="Z14" s="274"/>
    </row>
    <row r="15" spans="1:27" x14ac:dyDescent="0.2">
      <c r="A15" t="s">
        <v>21</v>
      </c>
      <c r="B15" s="275" t="s">
        <v>22</v>
      </c>
      <c r="C15" s="275"/>
      <c r="D15" s="275" t="s">
        <v>22</v>
      </c>
      <c r="E15" s="275" t="s">
        <v>24</v>
      </c>
      <c r="F15" s="275" t="s">
        <v>24</v>
      </c>
      <c r="G15" s="275" t="s">
        <v>73</v>
      </c>
      <c r="H15" s="275" t="s">
        <v>73</v>
      </c>
      <c r="I15" s="275" t="s">
        <v>24</v>
      </c>
      <c r="J15" s="275" t="s">
        <v>24</v>
      </c>
      <c r="K15" s="275" t="s">
        <v>81</v>
      </c>
      <c r="O15" t="str">
        <f t="shared" ref="O15:O78" si="0">+A15</f>
        <v xml:space="preserve">Day </v>
      </c>
      <c r="P15" s="275" t="s">
        <v>24</v>
      </c>
      <c r="Q15" s="275" t="s">
        <v>24</v>
      </c>
      <c r="R15" s="275" t="s">
        <v>24</v>
      </c>
      <c r="S15" s="275" t="s">
        <v>24</v>
      </c>
      <c r="T15" s="275" t="s">
        <v>24</v>
      </c>
      <c r="U15" s="275" t="s">
        <v>81</v>
      </c>
      <c r="V15" s="275"/>
      <c r="W15" s="275"/>
      <c r="X15" s="275"/>
      <c r="Y15" s="275"/>
      <c r="Z15" s="275"/>
    </row>
    <row r="17" spans="1:26" x14ac:dyDescent="0.2">
      <c r="A17" s="249">
        <f>+Input_!C23</f>
        <v>45430</v>
      </c>
      <c r="B17">
        <v>0.25</v>
      </c>
      <c r="C17">
        <v>0.25</v>
      </c>
      <c r="D17">
        <f>IF(B18="","",IF(B18&lt;0.0001,0,IF(B18&gt;0.0001,C17*B18,"")))</f>
        <v>0.03</v>
      </c>
      <c r="E17">
        <v>0</v>
      </c>
      <c r="H17" s="250">
        <f>IF(F7&gt;0.0001,F7,"")</f>
        <v>1</v>
      </c>
      <c r="I17">
        <f>IF(B18&gt;-0.0001,IF((+H17*S17)&lt;0,0,+H17*S17),"")</f>
        <v>1.3591836734693878</v>
      </c>
      <c r="J17">
        <f>IF(B18&gt;-0.0001,Q17-U17,"")</f>
        <v>0</v>
      </c>
      <c r="O17" s="249">
        <f t="shared" si="0"/>
        <v>45430</v>
      </c>
      <c r="P17">
        <f>IF(A17&gt;Input_!$C$32,+P16,(IF(A17&lt;Input_!$C$23,"",('Budget (2)'!A17-Input_!$C$23)*Input_!$C$76+Input_!$C$25)))</f>
        <v>6.795918367346939</v>
      </c>
      <c r="Q17">
        <f>(+P17*Input_!$C$18)+R17</f>
        <v>2.6504081632653063</v>
      </c>
      <c r="R17">
        <f>+P17*Input_!$C$19</f>
        <v>1.2912244897959184</v>
      </c>
      <c r="S17">
        <f>+Q17-R17</f>
        <v>1.3591836734693878</v>
      </c>
      <c r="T17">
        <f t="shared" ref="T17:T48" si="1">+(1-$F$4)*S17+R17</f>
        <v>1.9708163265306125</v>
      </c>
      <c r="U17">
        <f>MAX(IF(B18&gt;-0.0001,(+I17+R17),""),R17)</f>
        <v>2.6504081632653063</v>
      </c>
      <c r="V17">
        <f>U17/P17</f>
        <v>0.39</v>
      </c>
      <c r="W17">
        <f>+B18</f>
        <v>0.12</v>
      </c>
      <c r="X17">
        <f>+D17</f>
        <v>0.03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45431</v>
      </c>
      <c r="B18">
        <v>0.12</v>
      </c>
      <c r="C18">
        <v>0.25</v>
      </c>
      <c r="D18">
        <f t="shared" ref="D18:D81" si="2">IF(B19="","",IF(B19&lt;0.0001,0,IF(B19&gt;0.0001,C18*B19,"")))</f>
        <v>2.75E-2</v>
      </c>
      <c r="E18">
        <v>0.24015760999999997</v>
      </c>
      <c r="G18" s="270">
        <v>1</v>
      </c>
      <c r="H18" s="250">
        <f t="shared" ref="H18:H49" si="3">IF(B19="","",IF(B19&gt;-0.0001,IF(G18&gt;0.0001,+G18,IF((+U18-R18)/(Q18-R18)&gt;1,1,(MAX(0,(+U18-R18)/(Q18-R18))))),""))</f>
        <v>1</v>
      </c>
      <c r="I18">
        <f t="shared" ref="I18:I49" si="4">IF(B19="","",IF(B19&gt;-0.0001,IF((+U18-R18)&lt;0,0,+U18-R18),""))</f>
        <v>1.5183673469387757</v>
      </c>
      <c r="J18">
        <f t="shared" ref="J18:J49" si="5">IF(B19="","",IF(B19&gt;-0.0001,IF((Q18-U18)&lt;0,0,Q18-U18),""))</f>
        <v>0</v>
      </c>
      <c r="K18">
        <f t="shared" ref="K18:K81" si="6">IF(E18&gt;0.001,MIN(J17+D18,E18),"")</f>
        <v>2.75E-2</v>
      </c>
      <c r="O18" s="249">
        <f t="shared" si="0"/>
        <v>45431</v>
      </c>
      <c r="P18">
        <f>IF(A18&gt;Input_!$C$32,+P17,(IF(A18&lt;Input_!$C$23,"",('Budget (2)'!A18-Input_!$C$23)*Input_!$C$76+Input_!$C$25)))</f>
        <v>7.591836734693878</v>
      </c>
      <c r="Q18">
        <f>(+P18*Input_!$C$18)+R18</f>
        <v>2.9608163265306127</v>
      </c>
      <c r="R18">
        <f>+P18*Input_!$C$19</f>
        <v>1.4424489795918369</v>
      </c>
      <c r="S18">
        <f t="shared" ref="S18:S81" si="7">+Q18-R18</f>
        <v>1.5183673469387757</v>
      </c>
      <c r="T18">
        <f t="shared" si="1"/>
        <v>2.2016326530612247</v>
      </c>
      <c r="U18">
        <f t="shared" ref="U18:U49" si="8">IF(B19="",0,IF(B19&gt;-0.0001,MAX(IF(G18&gt;0.001,(G18*S18+R18),MIN((+U17+E18+F18-D18+Q18-Q17),Q18)),R18),""))</f>
        <v>2.9608163265306127</v>
      </c>
      <c r="V18">
        <f t="shared" ref="V18:V81" si="9">U18/P18</f>
        <v>0.39</v>
      </c>
      <c r="W18">
        <f t="shared" ref="W18:W49" si="10">IF(+B19&gt;-0.01,+B19+W17,"")</f>
        <v>0.22999999999999998</v>
      </c>
      <c r="X18">
        <f>IF(E18="",0,IF(E18&gt;-0.0001,MAX(IF(I18&gt;0.001,(I18*U18+T18),MIN((+X17+G18+H18-F18+S18-S17),S18)),T18),""))</f>
        <v>6.6972394835485227</v>
      </c>
      <c r="Y18">
        <f t="shared" ref="Y18:Y49" si="11">IF(+B19&gt;-0.01,+E18+Y17,"")</f>
        <v>0.24015760999999997</v>
      </c>
      <c r="Z18">
        <f t="shared" ref="Z18:Z49" si="12">IF(+B19&gt;-0.01,+F18+Z17,"")</f>
        <v>0</v>
      </c>
    </row>
    <row r="19" spans="1:26" x14ac:dyDescent="0.2">
      <c r="A19" s="249">
        <f>IF(A18="","",IF((1+A18)&lt;Input_!$C$36,1+A18,""))</f>
        <v>45432</v>
      </c>
      <c r="B19">
        <v>0.11</v>
      </c>
      <c r="C19">
        <v>0.25</v>
      </c>
      <c r="D19">
        <f t="shared" si="2"/>
        <v>0.03</v>
      </c>
      <c r="E19">
        <v>0.209842633</v>
      </c>
      <c r="G19" s="270"/>
      <c r="H19" s="250">
        <f t="shared" si="3"/>
        <v>1</v>
      </c>
      <c r="I19">
        <f t="shared" si="4"/>
        <v>1.6775510204081634</v>
      </c>
      <c r="J19">
        <f t="shared" si="5"/>
        <v>0</v>
      </c>
      <c r="K19">
        <f t="shared" si="6"/>
        <v>0.03</v>
      </c>
      <c r="O19" s="249">
        <f t="shared" si="0"/>
        <v>45432</v>
      </c>
      <c r="P19">
        <f>IF(A19&gt;Input_!$C$32,+P18,(IF(A19&lt;Input_!$C$23,"",('Budget (2)'!A19-Input_!$C$23)*Input_!$C$76+Input_!$C$25)))</f>
        <v>8.387755102040817</v>
      </c>
      <c r="Q19">
        <f>(+P19*Input_!$C$18)+R19</f>
        <v>3.2712244897959186</v>
      </c>
      <c r="R19">
        <f>+P19*Input_!$C$19</f>
        <v>1.5936734693877552</v>
      </c>
      <c r="S19">
        <f t="shared" si="7"/>
        <v>1.6775510204081634</v>
      </c>
      <c r="T19">
        <f t="shared" si="1"/>
        <v>2.4324489795918369</v>
      </c>
      <c r="U19">
        <f t="shared" si="8"/>
        <v>3.2712244897959186</v>
      </c>
      <c r="V19">
        <f t="shared" si="9"/>
        <v>0.39</v>
      </c>
      <c r="W19">
        <f t="shared" si="10"/>
        <v>0.35</v>
      </c>
      <c r="X19">
        <f t="shared" ref="X19:X82" si="13">IF(E19="",0,IF(E19&gt;-0.0001,MAX(IF(I19&gt;0.001,(I19*U19+T19),MIN((+X18+G19+H19-F19+S19-S18),S19)),T19),""))</f>
        <v>7.9200949604331541</v>
      </c>
      <c r="Y19">
        <f t="shared" si="11"/>
        <v>0.45000024299999997</v>
      </c>
      <c r="Z19">
        <f t="shared" si="12"/>
        <v>0</v>
      </c>
    </row>
    <row r="20" spans="1:26" x14ac:dyDescent="0.2">
      <c r="A20" s="249">
        <f>IF(A19="","",IF((1+A19)&lt;Input_!$C$36,1+A19,""))</f>
        <v>45433</v>
      </c>
      <c r="B20">
        <v>0.12</v>
      </c>
      <c r="C20">
        <v>0.25</v>
      </c>
      <c r="D20">
        <f t="shared" si="2"/>
        <v>0.05</v>
      </c>
      <c r="E20">
        <v>9.8425249999999995E-3</v>
      </c>
      <c r="G20" s="270"/>
      <c r="H20" s="250">
        <f t="shared" si="3"/>
        <v>0.97813648583333357</v>
      </c>
      <c r="I20">
        <f t="shared" si="4"/>
        <v>1.7965772188775517</v>
      </c>
      <c r="J20">
        <f t="shared" si="5"/>
        <v>4.0157474999999554E-2</v>
      </c>
      <c r="K20">
        <f t="shared" si="6"/>
        <v>9.8425249999999995E-3</v>
      </c>
      <c r="L20" t="s">
        <v>25</v>
      </c>
      <c r="O20" s="249">
        <f t="shared" si="0"/>
        <v>45433</v>
      </c>
      <c r="P20">
        <f>IF(A20&gt;Input_!$C$32,+P19,(IF(A20&lt;Input_!$C$23,"",('Budget (2)'!A20-Input_!$C$23)*Input_!$C$76+Input_!$C$25)))</f>
        <v>9.183673469387756</v>
      </c>
      <c r="Q20">
        <f>(+P20*Input_!$C$18)+R20</f>
        <v>3.581632653061225</v>
      </c>
      <c r="R20">
        <f>+P20*Input_!$C$19</f>
        <v>1.7448979591836737</v>
      </c>
      <c r="S20">
        <f t="shared" si="7"/>
        <v>1.8367346938775513</v>
      </c>
      <c r="T20">
        <f t="shared" si="1"/>
        <v>2.6632653061224492</v>
      </c>
      <c r="U20">
        <f t="shared" si="8"/>
        <v>3.5414751780612255</v>
      </c>
      <c r="V20">
        <f t="shared" si="9"/>
        <v>0.38562729716666672</v>
      </c>
      <c r="W20">
        <f t="shared" si="10"/>
        <v>0.55000000000000004</v>
      </c>
      <c r="X20">
        <f t="shared" si="13"/>
        <v>9.025798932247568</v>
      </c>
      <c r="Y20">
        <f t="shared" si="11"/>
        <v>0.45984276799999996</v>
      </c>
      <c r="Z20">
        <f t="shared" si="12"/>
        <v>0</v>
      </c>
    </row>
    <row r="21" spans="1:26" x14ac:dyDescent="0.2">
      <c r="A21" s="249">
        <f>IF(A20="","",IF((1+A20)&lt;Input_!$C$36,1+A20,""))</f>
        <v>45434</v>
      </c>
      <c r="B21">
        <v>0.2</v>
      </c>
      <c r="C21">
        <v>0.25</v>
      </c>
      <c r="D21">
        <f t="shared" si="2"/>
        <v>5.7500000000000002E-2</v>
      </c>
      <c r="E21">
        <v>0.14015755599999999</v>
      </c>
      <c r="G21" s="270"/>
      <c r="H21" s="250">
        <f t="shared" si="3"/>
        <v>1</v>
      </c>
      <c r="I21">
        <f t="shared" si="4"/>
        <v>1.9959183673469394</v>
      </c>
      <c r="J21">
        <f t="shared" si="5"/>
        <v>0</v>
      </c>
      <c r="K21">
        <f t="shared" si="6"/>
        <v>9.765747499999955E-2</v>
      </c>
      <c r="L21" t="s">
        <v>25</v>
      </c>
      <c r="O21" s="249">
        <f t="shared" si="0"/>
        <v>45434</v>
      </c>
      <c r="P21">
        <f>IF(A21&gt;Input_!$C$32,+P20,(IF(A21&lt;Input_!$C$23,"",('Budget (2)'!A21-Input_!$C$23)*Input_!$C$76+Input_!$C$25)))</f>
        <v>9.979591836734695</v>
      </c>
      <c r="Q21">
        <f>(+P21*Input_!$C$18)+R21</f>
        <v>3.8920408163265314</v>
      </c>
      <c r="R21">
        <f>+P21*Input_!$C$19</f>
        <v>1.896122448979592</v>
      </c>
      <c r="S21">
        <f t="shared" si="7"/>
        <v>1.9959183673469394</v>
      </c>
      <c r="T21">
        <f t="shared" si="1"/>
        <v>2.8940816326530618</v>
      </c>
      <c r="U21">
        <f t="shared" si="8"/>
        <v>3.8920408163265314</v>
      </c>
      <c r="V21">
        <f t="shared" si="9"/>
        <v>0.39</v>
      </c>
      <c r="W21">
        <f t="shared" si="10"/>
        <v>0.78</v>
      </c>
      <c r="X21">
        <f t="shared" si="13"/>
        <v>10.662277384423161</v>
      </c>
      <c r="Y21">
        <f t="shared" si="11"/>
        <v>0.60000032399999992</v>
      </c>
      <c r="Z21">
        <f t="shared" si="12"/>
        <v>0</v>
      </c>
    </row>
    <row r="22" spans="1:26" x14ac:dyDescent="0.2">
      <c r="A22" s="249">
        <f>IF(A21="","",IF((1+A21)&lt;Input_!$C$36,1+A21,""))</f>
        <v>45435</v>
      </c>
      <c r="B22">
        <v>0.23</v>
      </c>
      <c r="C22">
        <v>0.25</v>
      </c>
      <c r="D22">
        <f t="shared" si="2"/>
        <v>6.5000000000000002E-2</v>
      </c>
      <c r="E22">
        <v>9.8425249999999995E-3</v>
      </c>
      <c r="F22">
        <v>0</v>
      </c>
      <c r="G22" s="270"/>
      <c r="H22" s="250">
        <f t="shared" si="3"/>
        <v>0.97440609588068194</v>
      </c>
      <c r="I22">
        <f t="shared" si="4"/>
        <v>2.0999445658163274</v>
      </c>
      <c r="J22">
        <f t="shared" si="5"/>
        <v>5.5157474999999678E-2</v>
      </c>
      <c r="K22">
        <f t="shared" si="6"/>
        <v>9.8425249999999995E-3</v>
      </c>
      <c r="L22" t="s">
        <v>25</v>
      </c>
      <c r="O22" s="249">
        <f t="shared" si="0"/>
        <v>45435</v>
      </c>
      <c r="P22">
        <f>IF(A22&gt;Input_!$C$32,+P21,(IF(A22&lt;Input_!$C$23,"",('Budget (2)'!A22-Input_!$C$23)*Input_!$C$76+Input_!$C$25)))</f>
        <v>10.775510204081632</v>
      </c>
      <c r="Q22">
        <f>(+P22*Input_!$C$18)+R22</f>
        <v>4.2024489795918374</v>
      </c>
      <c r="R22">
        <f>+P22*Input_!$C$19</f>
        <v>2.0473469387755103</v>
      </c>
      <c r="S22">
        <f t="shared" si="7"/>
        <v>2.1551020408163271</v>
      </c>
      <c r="T22">
        <f t="shared" si="1"/>
        <v>3.1248979591836736</v>
      </c>
      <c r="U22">
        <f t="shared" si="8"/>
        <v>4.1472915045918377</v>
      </c>
      <c r="V22">
        <f t="shared" si="9"/>
        <v>0.38488121917613649</v>
      </c>
      <c r="W22">
        <f t="shared" si="10"/>
        <v>1.04</v>
      </c>
      <c r="X22">
        <f t="shared" si="13"/>
        <v>11.833980217107523</v>
      </c>
      <c r="Y22">
        <f t="shared" si="11"/>
        <v>0.60984284899999996</v>
      </c>
      <c r="Z22">
        <f t="shared" si="12"/>
        <v>0</v>
      </c>
    </row>
    <row r="23" spans="1:26" x14ac:dyDescent="0.2">
      <c r="A23" s="249">
        <f>IF(A22="","",IF((1+A22)&lt;Input_!$C$36,1+A22,""))</f>
        <v>45436</v>
      </c>
      <c r="B23">
        <v>0.26</v>
      </c>
      <c r="C23">
        <v>0.25</v>
      </c>
      <c r="D23">
        <f t="shared" si="2"/>
        <v>6.5000000000000002E-2</v>
      </c>
      <c r="E23">
        <v>2.0078750999999999E-2</v>
      </c>
      <c r="G23" s="270"/>
      <c r="H23" s="250">
        <f t="shared" si="3"/>
        <v>0.95675610691357971</v>
      </c>
      <c r="I23">
        <f t="shared" si="4"/>
        <v>2.2142069902857138</v>
      </c>
      <c r="J23">
        <f t="shared" si="5"/>
        <v>0.10007872400000117</v>
      </c>
      <c r="K23">
        <f t="shared" si="6"/>
        <v>2.0078750999999999E-2</v>
      </c>
      <c r="L23" t="s">
        <v>25</v>
      </c>
      <c r="O23" s="249">
        <f t="shared" si="0"/>
        <v>45436</v>
      </c>
      <c r="P23">
        <f>IF(A23&gt;Input_!$C$32,+P22,(IF(A23&lt;Input_!$C$23,"",('Budget (2)'!A23-Input_!$C$23)*Input_!$C$76+Input_!$C$25)))</f>
        <v>11.571428571428571</v>
      </c>
      <c r="Q23">
        <f>(+P23*Input_!$C$18)+R23</f>
        <v>4.5128571428571433</v>
      </c>
      <c r="R23">
        <f>+P23*Input_!$C$19</f>
        <v>2.1985714285714284</v>
      </c>
      <c r="S23">
        <f t="shared" si="7"/>
        <v>2.3142857142857149</v>
      </c>
      <c r="T23">
        <f t="shared" si="1"/>
        <v>3.3557142857142859</v>
      </c>
      <c r="U23">
        <f t="shared" si="8"/>
        <v>4.4127784188571422</v>
      </c>
      <c r="V23">
        <f t="shared" si="9"/>
        <v>0.38135122138271599</v>
      </c>
      <c r="W23">
        <f t="shared" si="10"/>
        <v>1.3</v>
      </c>
      <c r="X23">
        <f t="shared" si="13"/>
        <v>13.12651910732971</v>
      </c>
      <c r="Y23">
        <f t="shared" si="11"/>
        <v>0.62992159999999997</v>
      </c>
      <c r="Z23">
        <f t="shared" si="12"/>
        <v>0</v>
      </c>
    </row>
    <row r="24" spans="1:26" x14ac:dyDescent="0.2">
      <c r="A24" s="249">
        <f>IF(A23="","",IF((1+A23)&lt;Input_!$C$36,1+A23,""))</f>
        <v>45437</v>
      </c>
      <c r="B24">
        <v>0.26</v>
      </c>
      <c r="C24">
        <v>0.25</v>
      </c>
      <c r="D24">
        <f t="shared" si="2"/>
        <v>0.06</v>
      </c>
      <c r="E24">
        <v>0</v>
      </c>
      <c r="G24" s="270"/>
      <c r="H24" s="250">
        <f t="shared" si="3"/>
        <v>0.93528170399339938</v>
      </c>
      <c r="I24">
        <f t="shared" si="4"/>
        <v>2.3133906637551025</v>
      </c>
      <c r="J24">
        <f t="shared" si="5"/>
        <v>0.16007872399999989</v>
      </c>
      <c r="K24" t="str">
        <f t="shared" si="6"/>
        <v/>
      </c>
      <c r="L24" t="s">
        <v>25</v>
      </c>
      <c r="O24" s="249">
        <f t="shared" si="0"/>
        <v>45437</v>
      </c>
      <c r="P24">
        <f>IF(A24&gt;Input_!$C$32,+P23,(IF(A24&lt;Input_!$C$23,"",('Budget (2)'!A24-Input_!$C$23)*Input_!$C$76+Input_!$C$25)))</f>
        <v>12.36734693877551</v>
      </c>
      <c r="Q24">
        <f>(+P24*Input_!$C$18)+R24</f>
        <v>4.8232653061224493</v>
      </c>
      <c r="R24">
        <f>+P24*Input_!$C$19</f>
        <v>2.3497959183673469</v>
      </c>
      <c r="S24">
        <f t="shared" si="7"/>
        <v>2.4734693877551024</v>
      </c>
      <c r="T24">
        <f t="shared" si="1"/>
        <v>3.5865306122448981</v>
      </c>
      <c r="U24">
        <f t="shared" si="8"/>
        <v>4.6631865821224494</v>
      </c>
      <c r="V24">
        <f t="shared" si="9"/>
        <v>0.37705634079867989</v>
      </c>
      <c r="W24">
        <f t="shared" si="10"/>
        <v>1.54</v>
      </c>
      <c r="X24">
        <f t="shared" si="13"/>
        <v>14.37430291467504</v>
      </c>
      <c r="Y24">
        <f t="shared" si="11"/>
        <v>0.62992159999999997</v>
      </c>
      <c r="Z24">
        <f t="shared" si="12"/>
        <v>0</v>
      </c>
    </row>
    <row r="25" spans="1:26" x14ac:dyDescent="0.2">
      <c r="A25" s="249">
        <f>IF(A24="","",IF((1+A24)&lt;Input_!$C$36,1+A24,""))</f>
        <v>45438</v>
      </c>
      <c r="B25">
        <v>0.24</v>
      </c>
      <c r="C25">
        <v>0.25</v>
      </c>
      <c r="D25">
        <f t="shared" si="2"/>
        <v>5.2499999999999998E-2</v>
      </c>
      <c r="E25">
        <v>0</v>
      </c>
      <c r="G25" s="270"/>
      <c r="H25" s="250">
        <f t="shared" si="3"/>
        <v>0.91925304282170539</v>
      </c>
      <c r="I25">
        <f t="shared" si="4"/>
        <v>2.4200743372244897</v>
      </c>
      <c r="J25">
        <f t="shared" si="5"/>
        <v>0.21257872400000011</v>
      </c>
      <c r="K25" t="str">
        <f t="shared" si="6"/>
        <v/>
      </c>
      <c r="L25" t="s">
        <v>25</v>
      </c>
      <c r="O25" s="249">
        <f t="shared" si="0"/>
        <v>45438</v>
      </c>
      <c r="P25">
        <f>IF(A25&gt;Input_!$C$32,+P24,(IF(A25&lt;Input_!$C$23,"",('Budget (2)'!A25-Input_!$C$23)*Input_!$C$76+Input_!$C$25)))</f>
        <v>13.163265306122449</v>
      </c>
      <c r="Q25">
        <f>(+P25*Input_!$C$18)+R25</f>
        <v>5.1336734693877553</v>
      </c>
      <c r="R25">
        <f>+P25*Input_!$C$19</f>
        <v>2.5010204081632654</v>
      </c>
      <c r="S25">
        <f t="shared" si="7"/>
        <v>2.6326530612244898</v>
      </c>
      <c r="T25">
        <f t="shared" si="1"/>
        <v>3.8173469387755103</v>
      </c>
      <c r="U25">
        <f t="shared" si="8"/>
        <v>4.9210947453877552</v>
      </c>
      <c r="V25">
        <f t="shared" si="9"/>
        <v>0.3738506085643411</v>
      </c>
      <c r="W25">
        <f t="shared" si="10"/>
        <v>1.75</v>
      </c>
      <c r="X25">
        <f t="shared" si="13"/>
        <v>15.726762043138702</v>
      </c>
      <c r="Y25">
        <f t="shared" si="11"/>
        <v>0.62992159999999997</v>
      </c>
      <c r="Z25">
        <f t="shared" si="12"/>
        <v>0</v>
      </c>
    </row>
    <row r="26" spans="1:26" x14ac:dyDescent="0.2">
      <c r="A26" s="249">
        <f>IF(A25="","",IF((1+A25)&lt;Input_!$C$36,1+A25,""))</f>
        <v>45439</v>
      </c>
      <c r="B26">
        <v>0.21</v>
      </c>
      <c r="C26">
        <f>N5</f>
        <v>0.2625535765</v>
      </c>
      <c r="D26">
        <f t="shared" si="2"/>
        <v>4.4634108005000006E-2</v>
      </c>
      <c r="E26">
        <v>0</v>
      </c>
      <c r="G26" s="270"/>
      <c r="H26" s="250">
        <f t="shared" si="3"/>
        <v>0.90786967274674679</v>
      </c>
      <c r="I26">
        <f t="shared" si="4"/>
        <v>2.5346239026888764</v>
      </c>
      <c r="J26">
        <f t="shared" si="5"/>
        <v>0.25721283200500089</v>
      </c>
      <c r="K26" t="str">
        <f t="shared" si="6"/>
        <v/>
      </c>
      <c r="L26" t="s">
        <v>25</v>
      </c>
      <c r="O26" s="249">
        <f t="shared" si="0"/>
        <v>45439</v>
      </c>
      <c r="P26">
        <f>IF(A26&gt;Input_!$C$32,+P25,(IF(A26&lt;Input_!$C$23,"",('Budget (2)'!A26-Input_!$C$23)*Input_!$C$76+Input_!$C$25)))</f>
        <v>13.959183673469388</v>
      </c>
      <c r="Q26">
        <f>(+P26*Input_!$C$18)+R26</f>
        <v>5.4440816326530612</v>
      </c>
      <c r="R26">
        <f>+P26*Input_!$C$19</f>
        <v>2.6522448979591839</v>
      </c>
      <c r="S26">
        <f t="shared" si="7"/>
        <v>2.7918367346938773</v>
      </c>
      <c r="T26">
        <f t="shared" si="1"/>
        <v>4.0481632653061226</v>
      </c>
      <c r="U26">
        <f t="shared" si="8"/>
        <v>5.1868688006480603</v>
      </c>
      <c r="V26">
        <f t="shared" si="9"/>
        <v>0.37157393454934934</v>
      </c>
      <c r="W26">
        <f t="shared" si="10"/>
        <v>1.92</v>
      </c>
      <c r="X26">
        <f t="shared" si="13"/>
        <v>17.194924907539878</v>
      </c>
      <c r="Y26">
        <f t="shared" si="11"/>
        <v>0.62992159999999997</v>
      </c>
      <c r="Z26">
        <f t="shared" si="12"/>
        <v>0</v>
      </c>
    </row>
    <row r="27" spans="1:26" x14ac:dyDescent="0.2">
      <c r="A27" s="249">
        <f>IF(A26="","",IF((1+A26)&lt;Input_!$C$36,1+A26,""))</f>
        <v>45440</v>
      </c>
      <c r="B27">
        <v>0.17</v>
      </c>
      <c r="C27">
        <v>0.25</v>
      </c>
      <c r="D27">
        <f t="shared" si="2"/>
        <v>6.25E-2</v>
      </c>
      <c r="E27">
        <v>0</v>
      </c>
      <c r="G27" s="270"/>
      <c r="H27" s="250">
        <f t="shared" si="3"/>
        <v>0.8916602436497576</v>
      </c>
      <c r="I27">
        <f t="shared" si="4"/>
        <v>2.6313075761582643</v>
      </c>
      <c r="J27">
        <f t="shared" si="5"/>
        <v>0.31971283200500089</v>
      </c>
      <c r="K27" t="str">
        <f t="shared" si="6"/>
        <v/>
      </c>
      <c r="L27" t="s">
        <v>25</v>
      </c>
      <c r="O27" s="249">
        <f t="shared" si="0"/>
        <v>45440</v>
      </c>
      <c r="P27">
        <f>IF(A27&gt;Input_!$C$32,+P26,(IF(A27&lt;Input_!$C$23,"",('Budget (2)'!A27-Input_!$C$23)*Input_!$C$76+Input_!$C$25)))</f>
        <v>14.755102040816327</v>
      </c>
      <c r="Q27">
        <f>(+P27*Input_!$C$18)+R27</f>
        <v>5.7544897959183672</v>
      </c>
      <c r="R27">
        <f>+P27*Input_!$C$19</f>
        <v>2.803469387755102</v>
      </c>
      <c r="S27">
        <f t="shared" si="7"/>
        <v>2.9510204081632652</v>
      </c>
      <c r="T27">
        <f t="shared" si="1"/>
        <v>4.2789795918367348</v>
      </c>
      <c r="U27">
        <f t="shared" si="8"/>
        <v>5.4347769639133663</v>
      </c>
      <c r="V27">
        <f t="shared" si="9"/>
        <v>0.36833204872995151</v>
      </c>
      <c r="W27">
        <f t="shared" si="10"/>
        <v>2.17</v>
      </c>
      <c r="X27">
        <f t="shared" si="13"/>
        <v>18.579549391712384</v>
      </c>
      <c r="Y27">
        <f t="shared" si="11"/>
        <v>0.62992159999999997</v>
      </c>
      <c r="Z27">
        <f t="shared" si="12"/>
        <v>0</v>
      </c>
    </row>
    <row r="28" spans="1:26" x14ac:dyDescent="0.2">
      <c r="A28" s="249">
        <f>IF(A27="","",IF((1+A27)&lt;Input_!$C$36,1+A27,""))</f>
        <v>45441</v>
      </c>
      <c r="B28">
        <v>0.25</v>
      </c>
      <c r="C28">
        <v>0.25</v>
      </c>
      <c r="D28">
        <f t="shared" si="2"/>
        <v>0.05</v>
      </c>
      <c r="E28">
        <v>0.27992141100000001</v>
      </c>
      <c r="G28" s="270"/>
      <c r="H28" s="250">
        <f t="shared" si="3"/>
        <v>0.9711300549262134</v>
      </c>
      <c r="I28">
        <f t="shared" si="4"/>
        <v>3.0204126606276516</v>
      </c>
      <c r="J28">
        <f t="shared" si="5"/>
        <v>8.9791421005001482E-2</v>
      </c>
      <c r="K28">
        <f t="shared" si="6"/>
        <v>0.27992141100000001</v>
      </c>
      <c r="L28" t="s">
        <v>25</v>
      </c>
      <c r="O28" s="249">
        <f t="shared" si="0"/>
        <v>45441</v>
      </c>
      <c r="P28">
        <f>IF(A28&gt;Input_!$C$32,+P27,(IF(A28&lt;Input_!$C$23,"",('Budget (2)'!A28-Input_!$C$23)*Input_!$C$76+Input_!$C$25)))</f>
        <v>15.551020408163264</v>
      </c>
      <c r="Q28">
        <f>(+P28*Input_!$C$18)+R28</f>
        <v>6.0648979591836731</v>
      </c>
      <c r="R28">
        <f>+P28*Input_!$C$19</f>
        <v>2.9546938775510201</v>
      </c>
      <c r="S28">
        <f t="shared" si="7"/>
        <v>3.1102040816326531</v>
      </c>
      <c r="T28">
        <f t="shared" si="1"/>
        <v>4.5097959183673471</v>
      </c>
      <c r="U28">
        <f t="shared" si="8"/>
        <v>5.9751065381786717</v>
      </c>
      <c r="V28">
        <f t="shared" si="9"/>
        <v>0.38422601098524267</v>
      </c>
      <c r="W28">
        <f t="shared" si="10"/>
        <v>2.37</v>
      </c>
      <c r="X28">
        <f t="shared" si="13"/>
        <v>22.557083354881264</v>
      </c>
      <c r="Y28">
        <f t="shared" si="11"/>
        <v>0.90984301099999998</v>
      </c>
      <c r="Z28">
        <f t="shared" si="12"/>
        <v>0</v>
      </c>
    </row>
    <row r="29" spans="1:26" x14ac:dyDescent="0.2">
      <c r="A29" s="249">
        <f>IF(A28="","",IF((1+A28)&lt;Input_!$C$36,1+A28,""))</f>
        <v>45442</v>
      </c>
      <c r="B29">
        <v>0.2</v>
      </c>
      <c r="C29">
        <v>0.25</v>
      </c>
      <c r="D29">
        <f t="shared" si="2"/>
        <v>4.4999999999999998E-2</v>
      </c>
      <c r="E29">
        <v>0</v>
      </c>
      <c r="G29" s="270"/>
      <c r="H29" s="250">
        <f t="shared" si="3"/>
        <v>0.95877166273879477</v>
      </c>
      <c r="I29">
        <f t="shared" si="4"/>
        <v>3.1345963340970391</v>
      </c>
      <c r="J29">
        <f t="shared" si="5"/>
        <v>0.13479142100500141</v>
      </c>
      <c r="K29" t="str">
        <f t="shared" si="6"/>
        <v/>
      </c>
      <c r="L29" t="s">
        <v>25</v>
      </c>
      <c r="O29" s="249">
        <f t="shared" si="0"/>
        <v>45442</v>
      </c>
      <c r="P29">
        <f>IF(A29&gt;Input_!$C$32,+P28,(IF(A29&lt;Input_!$C$23,"",('Budget (2)'!A29-Input_!$C$23)*Input_!$C$76+Input_!$C$25)))</f>
        <v>16.346938775510203</v>
      </c>
      <c r="Q29">
        <f>(+P29*Input_!$C$18)+R29</f>
        <v>6.3753061224489791</v>
      </c>
      <c r="R29">
        <f>+P29*Input_!$C$19</f>
        <v>3.1059183673469386</v>
      </c>
      <c r="S29">
        <f t="shared" si="7"/>
        <v>3.2693877551020405</v>
      </c>
      <c r="T29">
        <f t="shared" si="1"/>
        <v>4.7406122448979584</v>
      </c>
      <c r="U29">
        <f t="shared" si="8"/>
        <v>6.2405147014439777</v>
      </c>
      <c r="V29">
        <f t="shared" si="9"/>
        <v>0.38175433254775898</v>
      </c>
      <c r="W29">
        <f t="shared" si="10"/>
        <v>2.5500000000000003</v>
      </c>
      <c r="X29">
        <f t="shared" si="13"/>
        <v>24.302106750922931</v>
      </c>
      <c r="Y29">
        <f t="shared" si="11"/>
        <v>0.90984301099999998</v>
      </c>
      <c r="Z29">
        <f t="shared" si="12"/>
        <v>0</v>
      </c>
    </row>
    <row r="30" spans="1:26" x14ac:dyDescent="0.2">
      <c r="A30" s="249">
        <f>IF(A29="","",IF((1+A29)&lt;Input_!$C$36,1+A29,""))</f>
        <v>45443</v>
      </c>
      <c r="B30">
        <v>0.18</v>
      </c>
      <c r="C30">
        <v>0.25</v>
      </c>
      <c r="D30">
        <f t="shared" si="2"/>
        <v>5.2499999999999998E-2</v>
      </c>
      <c r="E30">
        <v>5.0000026999999996E-2</v>
      </c>
      <c r="G30" s="270"/>
      <c r="H30" s="250">
        <f t="shared" si="3"/>
        <v>0.95995667674854124</v>
      </c>
      <c r="I30">
        <f t="shared" si="4"/>
        <v>3.2912800345664275</v>
      </c>
      <c r="J30">
        <f t="shared" si="5"/>
        <v>0.13729139400500134</v>
      </c>
      <c r="K30">
        <f t="shared" si="6"/>
        <v>5.0000026999999996E-2</v>
      </c>
      <c r="L30" t="s">
        <v>25</v>
      </c>
      <c r="O30" s="249">
        <f t="shared" si="0"/>
        <v>45443</v>
      </c>
      <c r="P30">
        <f>IF(A30&gt;Input_!$C$32,+P29,(IF(A30&lt;Input_!$C$23,"",('Budget (2)'!A30-Input_!$C$23)*Input_!$C$76+Input_!$C$25)))</f>
        <v>17.142857142857142</v>
      </c>
      <c r="Q30">
        <f>(+P30*Input_!$C$18)+R30</f>
        <v>6.6857142857142859</v>
      </c>
      <c r="R30">
        <f>+P30*Input_!$C$19</f>
        <v>3.2571428571428571</v>
      </c>
      <c r="S30">
        <f t="shared" si="7"/>
        <v>3.4285714285714288</v>
      </c>
      <c r="T30">
        <f t="shared" si="1"/>
        <v>4.9714285714285715</v>
      </c>
      <c r="U30">
        <f t="shared" si="8"/>
        <v>6.5484228917092846</v>
      </c>
      <c r="V30">
        <f t="shared" si="9"/>
        <v>0.38199133534970831</v>
      </c>
      <c r="W30">
        <f t="shared" si="10"/>
        <v>2.7600000000000002</v>
      </c>
      <c r="X30">
        <f t="shared" si="13"/>
        <v>26.52412209280909</v>
      </c>
      <c r="Y30">
        <f t="shared" si="11"/>
        <v>0.95984303799999993</v>
      </c>
      <c r="Z30">
        <f t="shared" si="12"/>
        <v>0</v>
      </c>
    </row>
    <row r="31" spans="1:26" x14ac:dyDescent="0.2">
      <c r="A31" s="249">
        <f>IF(A30="","",IF((1+A30)&lt;Input_!$C$36,1+A30,""))</f>
        <v>45444</v>
      </c>
      <c r="B31">
        <v>0.21</v>
      </c>
      <c r="C31">
        <v>0.25</v>
      </c>
      <c r="D31">
        <f t="shared" si="2"/>
        <v>0.06</v>
      </c>
      <c r="E31">
        <v>1.320079453</v>
      </c>
      <c r="G31" s="270"/>
      <c r="H31" s="250">
        <f t="shared" si="3"/>
        <v>1</v>
      </c>
      <c r="I31">
        <f t="shared" si="4"/>
        <v>3.5877551020408163</v>
      </c>
      <c r="J31">
        <f t="shared" si="5"/>
        <v>0</v>
      </c>
      <c r="K31">
        <f t="shared" si="6"/>
        <v>0.19729139400500134</v>
      </c>
      <c r="L31" t="s">
        <v>25</v>
      </c>
      <c r="O31" s="249">
        <f t="shared" si="0"/>
        <v>45444</v>
      </c>
      <c r="P31">
        <f>IF(A31&gt;Input_!$C$32,+P30,(IF(A31&lt;Input_!$C$23,"",('Budget (2)'!A31-Input_!$C$23)*Input_!$C$76+Input_!$C$25)))</f>
        <v>17.938775510204081</v>
      </c>
      <c r="Q31">
        <f>(+P31*Input_!$C$18)+R31</f>
        <v>6.9961224489795919</v>
      </c>
      <c r="R31">
        <f>+P31*Input_!$C$19</f>
        <v>3.4083673469387756</v>
      </c>
      <c r="S31">
        <f t="shared" si="7"/>
        <v>3.5877551020408163</v>
      </c>
      <c r="T31">
        <f t="shared" si="1"/>
        <v>5.2022448979591838</v>
      </c>
      <c r="U31">
        <f t="shared" si="8"/>
        <v>6.9961224489795919</v>
      </c>
      <c r="V31">
        <f t="shared" si="9"/>
        <v>0.39</v>
      </c>
      <c r="W31">
        <f t="shared" si="10"/>
        <v>3</v>
      </c>
      <c r="X31">
        <f t="shared" si="13"/>
        <v>30.302618908788006</v>
      </c>
      <c r="Y31">
        <f t="shared" si="11"/>
        <v>2.2799224909999998</v>
      </c>
      <c r="Z31">
        <f t="shared" si="12"/>
        <v>0</v>
      </c>
    </row>
    <row r="32" spans="1:26" x14ac:dyDescent="0.2">
      <c r="A32" s="249">
        <f>IF(A31="","",IF((1+A31)&lt;Input_!$C$36,1+A31,""))</f>
        <v>45445</v>
      </c>
      <c r="B32">
        <v>0.24</v>
      </c>
      <c r="C32">
        <v>0.25</v>
      </c>
      <c r="D32">
        <f t="shared" si="2"/>
        <v>5.2499999999999998E-2</v>
      </c>
      <c r="E32">
        <v>0</v>
      </c>
      <c r="G32" s="270"/>
      <c r="H32" s="250">
        <f t="shared" si="3"/>
        <v>0.98598856209150321</v>
      </c>
      <c r="I32">
        <f t="shared" si="4"/>
        <v>3.6944387755102039</v>
      </c>
      <c r="J32">
        <f t="shared" si="5"/>
        <v>5.2500000000000213E-2</v>
      </c>
      <c r="K32" t="str">
        <f t="shared" si="6"/>
        <v/>
      </c>
      <c r="O32" s="249">
        <f t="shared" si="0"/>
        <v>45445</v>
      </c>
      <c r="P32">
        <f>IF(A32&gt;Input_!$C$32,+P31,(IF(A32&lt;Input_!$C$23,"",('Budget (2)'!A32-Input_!$C$23)*Input_!$C$76+Input_!$C$25)))</f>
        <v>18.73469387755102</v>
      </c>
      <c r="Q32">
        <f>(+P32*Input_!$C$18)+R32</f>
        <v>7.3065306122448979</v>
      </c>
      <c r="R32">
        <f>+P32*Input_!$C$19</f>
        <v>3.5595918367346937</v>
      </c>
      <c r="S32">
        <f t="shared" si="7"/>
        <v>3.7469387755102042</v>
      </c>
      <c r="T32">
        <f t="shared" si="1"/>
        <v>5.433061224489796</v>
      </c>
      <c r="U32">
        <f t="shared" si="8"/>
        <v>7.2540306122448976</v>
      </c>
      <c r="V32">
        <f t="shared" si="9"/>
        <v>0.38719771241830064</v>
      </c>
      <c r="W32">
        <f t="shared" si="10"/>
        <v>3.21</v>
      </c>
      <c r="X32">
        <f t="shared" si="13"/>
        <v>32.232633197105372</v>
      </c>
      <c r="Y32">
        <f t="shared" si="11"/>
        <v>2.2799224909999998</v>
      </c>
      <c r="Z32">
        <f t="shared" si="12"/>
        <v>0</v>
      </c>
    </row>
    <row r="33" spans="1:26" x14ac:dyDescent="0.2">
      <c r="A33" s="249">
        <f>IF(A32="","",IF((1+A32)&lt;Input_!$C$36,1+A32,""))</f>
        <v>45446</v>
      </c>
      <c r="B33">
        <v>0.21</v>
      </c>
      <c r="C33">
        <v>0.25</v>
      </c>
      <c r="D33">
        <f t="shared" si="2"/>
        <v>5.2499999999999998E-2</v>
      </c>
      <c r="E33">
        <v>0</v>
      </c>
      <c r="G33" s="270"/>
      <c r="H33" s="250">
        <f t="shared" si="3"/>
        <v>0.97311912225705299</v>
      </c>
      <c r="I33">
        <f t="shared" si="4"/>
        <v>3.8011224489795912</v>
      </c>
      <c r="J33">
        <f t="shared" si="5"/>
        <v>0.10500000000000131</v>
      </c>
      <c r="K33" t="str">
        <f t="shared" si="6"/>
        <v/>
      </c>
      <c r="O33" s="249">
        <f t="shared" si="0"/>
        <v>45446</v>
      </c>
      <c r="P33">
        <f>IF(A33&gt;Input_!$C$32,+P32,(IF(A33&lt;Input_!$C$23,"",('Budget (2)'!A33-Input_!$C$23)*Input_!$C$76+Input_!$C$25)))</f>
        <v>19.530612244897959</v>
      </c>
      <c r="Q33">
        <f>(+P33*Input_!$C$18)+R33</f>
        <v>7.6169387755102047</v>
      </c>
      <c r="R33">
        <f>+P33*Input_!$C$19</f>
        <v>3.7108163265306122</v>
      </c>
      <c r="S33">
        <f t="shared" si="7"/>
        <v>3.9061224489795925</v>
      </c>
      <c r="T33">
        <f t="shared" si="1"/>
        <v>5.6638775510204082</v>
      </c>
      <c r="U33">
        <f t="shared" si="8"/>
        <v>7.5119387755102034</v>
      </c>
      <c r="V33">
        <f t="shared" si="9"/>
        <v>0.38462382445141063</v>
      </c>
      <c r="W33">
        <f t="shared" si="10"/>
        <v>3.42</v>
      </c>
      <c r="X33">
        <f t="shared" si="13"/>
        <v>34.217676665972505</v>
      </c>
      <c r="Y33">
        <f t="shared" si="11"/>
        <v>2.2799224909999998</v>
      </c>
      <c r="Z33">
        <f t="shared" si="12"/>
        <v>0</v>
      </c>
    </row>
    <row r="34" spans="1:26" x14ac:dyDescent="0.2">
      <c r="A34" s="249">
        <f>IF(A33="","",IF((1+A33)&lt;Input_!$C$36,1+A33,""))</f>
        <v>45447</v>
      </c>
      <c r="B34">
        <v>0.21</v>
      </c>
      <c r="C34">
        <v>0.25</v>
      </c>
      <c r="D34">
        <f t="shared" si="2"/>
        <v>6.5000000000000002E-2</v>
      </c>
      <c r="E34">
        <v>4.0157501999999998E-2</v>
      </c>
      <c r="G34" s="270"/>
      <c r="H34" s="250">
        <f t="shared" si="3"/>
        <v>0.96806083131526044</v>
      </c>
      <c r="I34">
        <f t="shared" si="4"/>
        <v>3.9354636244489778</v>
      </c>
      <c r="J34">
        <f t="shared" si="5"/>
        <v>0.12984249800000214</v>
      </c>
      <c r="K34">
        <f t="shared" si="6"/>
        <v>4.0157501999999998E-2</v>
      </c>
      <c r="O34" s="249">
        <f t="shared" si="0"/>
        <v>45447</v>
      </c>
      <c r="P34">
        <f>IF(A34&gt;Input_!$C$32,+P33,(IF(A34&lt;Input_!$C$23,"",('Budget (2)'!A34-Input_!$C$23)*Input_!$C$76+Input_!$C$25)))</f>
        <v>20.326530612244898</v>
      </c>
      <c r="Q34">
        <f>(+P34*Input_!$C$18)+R34</f>
        <v>7.9273469387755107</v>
      </c>
      <c r="R34">
        <f>+P34*Input_!$C$19</f>
        <v>3.8620408163265307</v>
      </c>
      <c r="S34">
        <f t="shared" si="7"/>
        <v>4.0653061224489804</v>
      </c>
      <c r="T34">
        <f t="shared" si="1"/>
        <v>5.8946938775510205</v>
      </c>
      <c r="U34">
        <f t="shared" si="8"/>
        <v>7.7975044407755085</v>
      </c>
      <c r="V34">
        <f t="shared" si="9"/>
        <v>0.38361216626305211</v>
      </c>
      <c r="W34">
        <f t="shared" si="10"/>
        <v>3.6799999999999997</v>
      </c>
      <c r="X34">
        <f t="shared" si="13"/>
        <v>36.581488965702405</v>
      </c>
      <c r="Y34">
        <f t="shared" si="11"/>
        <v>2.3200799929999998</v>
      </c>
      <c r="Z34">
        <f t="shared" si="12"/>
        <v>0</v>
      </c>
    </row>
    <row r="35" spans="1:26" x14ac:dyDescent="0.2">
      <c r="A35" s="249">
        <f>IF(A34="","",IF((1+A34)&lt;Input_!$C$36,1+A34,""))</f>
        <v>45448</v>
      </c>
      <c r="B35">
        <v>0.26</v>
      </c>
      <c r="C35">
        <v>0.25</v>
      </c>
      <c r="D35">
        <f t="shared" si="2"/>
        <v>6.25E-2</v>
      </c>
      <c r="E35">
        <v>0.15984260599999997</v>
      </c>
      <c r="G35" s="270"/>
      <c r="H35" s="250">
        <f t="shared" si="3"/>
        <v>0.99230678885024104</v>
      </c>
      <c r="I35">
        <f t="shared" si="4"/>
        <v>4.1919899039183655</v>
      </c>
      <c r="J35">
        <f t="shared" si="5"/>
        <v>3.2499892000002362E-2</v>
      </c>
      <c r="K35">
        <f t="shared" si="6"/>
        <v>0.15984260599999997</v>
      </c>
      <c r="O35" s="249">
        <f t="shared" si="0"/>
        <v>45448</v>
      </c>
      <c r="P35">
        <f>IF(A35&gt;Input_!$C$32,+P34,(IF(A35&lt;Input_!$C$23,"",('Budget (2)'!A35-Input_!$C$23)*Input_!$C$76+Input_!$C$25)))</f>
        <v>21.122448979591837</v>
      </c>
      <c r="Q35">
        <f>(+P35*Input_!$C$18)+R35</f>
        <v>8.2377551020408166</v>
      </c>
      <c r="R35">
        <f>+P35*Input_!$C$19</f>
        <v>4.0132653061224488</v>
      </c>
      <c r="S35">
        <f t="shared" si="7"/>
        <v>4.2244897959183678</v>
      </c>
      <c r="T35">
        <f t="shared" si="1"/>
        <v>6.1255102040816327</v>
      </c>
      <c r="U35">
        <f t="shared" si="8"/>
        <v>8.2052552100408143</v>
      </c>
      <c r="V35">
        <f t="shared" si="9"/>
        <v>0.3884613577700482</v>
      </c>
      <c r="W35">
        <f t="shared" si="10"/>
        <v>3.9299999999999997</v>
      </c>
      <c r="X35">
        <f t="shared" si="13"/>
        <v>40.521857203646299</v>
      </c>
      <c r="Y35">
        <f t="shared" si="11"/>
        <v>2.4799225989999996</v>
      </c>
      <c r="Z35">
        <f t="shared" si="12"/>
        <v>0</v>
      </c>
    </row>
    <row r="36" spans="1:26" x14ac:dyDescent="0.2">
      <c r="A36" s="249">
        <f>IF(A35="","",IF((1+A35)&lt;Input_!$C$36,1+A35,""))</f>
        <v>45449</v>
      </c>
      <c r="B36">
        <v>0.25</v>
      </c>
      <c r="C36">
        <v>0.28166666666666668</v>
      </c>
      <c r="D36">
        <f t="shared" si="2"/>
        <v>7.0416666666666669E-2</v>
      </c>
      <c r="E36">
        <v>0</v>
      </c>
      <c r="G36" s="270"/>
      <c r="H36" s="250">
        <f t="shared" si="3"/>
        <v>0.97652275896337626</v>
      </c>
      <c r="I36">
        <f t="shared" si="4"/>
        <v>4.2807569107210863</v>
      </c>
      <c r="J36">
        <f t="shared" si="5"/>
        <v>0.10291655866666893</v>
      </c>
      <c r="K36" t="str">
        <f t="shared" si="6"/>
        <v/>
      </c>
      <c r="O36" s="249">
        <f t="shared" si="0"/>
        <v>45449</v>
      </c>
      <c r="P36">
        <f>IF(A36&gt;Input_!$C$32,+P35,(IF(A36&lt;Input_!$C$23,"",('Budget (2)'!A36-Input_!$C$23)*Input_!$C$76+Input_!$C$25)))</f>
        <v>21.918367346938776</v>
      </c>
      <c r="Q36">
        <f>(+P36*Input_!$C$18)+R36</f>
        <v>8.5481632653061226</v>
      </c>
      <c r="R36">
        <f>+P36*Input_!$C$19</f>
        <v>4.1644897959183673</v>
      </c>
      <c r="S36">
        <f t="shared" si="7"/>
        <v>4.3836734693877553</v>
      </c>
      <c r="T36">
        <f t="shared" si="1"/>
        <v>6.356326530612245</v>
      </c>
      <c r="U36">
        <f t="shared" si="8"/>
        <v>8.4452467066394536</v>
      </c>
      <c r="V36">
        <f t="shared" si="9"/>
        <v>0.38530455179267525</v>
      </c>
      <c r="W36">
        <f t="shared" si="10"/>
        <v>4.18</v>
      </c>
      <c r="X36">
        <f t="shared" si="13"/>
        <v>42.508374732803581</v>
      </c>
      <c r="Y36">
        <f t="shared" si="11"/>
        <v>2.4799225989999996</v>
      </c>
      <c r="Z36">
        <f t="shared" si="12"/>
        <v>0</v>
      </c>
    </row>
    <row r="37" spans="1:26" x14ac:dyDescent="0.2">
      <c r="A37" s="249">
        <f>IF(A36="","",IF((1+A36)&lt;Input_!$C$36,1+A36,""))</f>
        <v>45450</v>
      </c>
      <c r="B37">
        <v>0.25</v>
      </c>
      <c r="C37">
        <v>0.31333333333333335</v>
      </c>
      <c r="D37">
        <f t="shared" si="2"/>
        <v>6.2666666666666676E-2</v>
      </c>
      <c r="E37">
        <v>0</v>
      </c>
      <c r="G37" s="270"/>
      <c r="H37" s="250">
        <f t="shared" si="3"/>
        <v>0.96355086234800791</v>
      </c>
      <c r="I37">
        <f t="shared" si="4"/>
        <v>4.3772739175238087</v>
      </c>
      <c r="J37">
        <f t="shared" si="5"/>
        <v>0.1655832253333358</v>
      </c>
      <c r="K37" t="str">
        <f t="shared" si="6"/>
        <v/>
      </c>
      <c r="O37" s="249">
        <f t="shared" si="0"/>
        <v>45450</v>
      </c>
      <c r="P37">
        <f>IF(A37&gt;Input_!$C$32,+P36,(IF(A37&lt;Input_!$C$23,"",('Budget (2)'!A37-Input_!$C$23)*Input_!$C$76+Input_!$C$25)))</f>
        <v>22.714285714285715</v>
      </c>
      <c r="Q37">
        <f>(+P37*Input_!$C$18)+R37</f>
        <v>8.8585714285714303</v>
      </c>
      <c r="R37">
        <f>+P37*Input_!$C$19</f>
        <v>4.3157142857142858</v>
      </c>
      <c r="S37">
        <f t="shared" si="7"/>
        <v>4.5428571428571445</v>
      </c>
      <c r="T37">
        <f t="shared" si="1"/>
        <v>6.5871428571428581</v>
      </c>
      <c r="U37">
        <f t="shared" si="8"/>
        <v>8.6929882032380945</v>
      </c>
      <c r="V37">
        <f t="shared" si="9"/>
        <v>0.38271017246960165</v>
      </c>
      <c r="W37">
        <f t="shared" si="10"/>
        <v>4.38</v>
      </c>
      <c r="X37">
        <f t="shared" si="13"/>
        <v>44.638733384519128</v>
      </c>
      <c r="Y37">
        <f t="shared" si="11"/>
        <v>2.4799225989999996</v>
      </c>
      <c r="Z37">
        <f t="shared" si="12"/>
        <v>0</v>
      </c>
    </row>
    <row r="38" spans="1:26" x14ac:dyDescent="0.2">
      <c r="A38" s="249">
        <f>IF(A37="","",IF((1+A37)&lt;Input_!$C$36,1+A37,""))</f>
        <v>45451</v>
      </c>
      <c r="B38">
        <v>0.2</v>
      </c>
      <c r="C38">
        <v>0.34500000000000003</v>
      </c>
      <c r="D38">
        <f t="shared" si="2"/>
        <v>6.2100000000000002E-2</v>
      </c>
      <c r="E38">
        <v>0</v>
      </c>
      <c r="G38" s="270"/>
      <c r="H38" s="250">
        <f t="shared" si="3"/>
        <v>0.95157778627893519</v>
      </c>
      <c r="I38">
        <f t="shared" si="4"/>
        <v>4.474357590993197</v>
      </c>
      <c r="J38">
        <f t="shared" si="5"/>
        <v>0.22768322533333318</v>
      </c>
      <c r="K38" t="str">
        <f t="shared" si="6"/>
        <v/>
      </c>
      <c r="O38" s="249">
        <f t="shared" si="0"/>
        <v>45451</v>
      </c>
      <c r="P38">
        <f>IF(A38&gt;Input_!$C$32,+P37,(IF(A38&lt;Input_!$C$23,"",('Budget (2)'!A38-Input_!$C$23)*Input_!$C$76+Input_!$C$25)))</f>
        <v>23.510204081632654</v>
      </c>
      <c r="Q38">
        <f>(+P38*Input_!$C$18)+R38</f>
        <v>9.1689795918367345</v>
      </c>
      <c r="R38">
        <f>+P38*Input_!$C$19</f>
        <v>4.4669387755102044</v>
      </c>
      <c r="S38">
        <f t="shared" si="7"/>
        <v>4.7020408163265301</v>
      </c>
      <c r="T38">
        <f t="shared" si="1"/>
        <v>6.8179591836734694</v>
      </c>
      <c r="U38">
        <f t="shared" si="8"/>
        <v>8.9412963665034013</v>
      </c>
      <c r="V38">
        <f t="shared" si="9"/>
        <v>0.38031555725578703</v>
      </c>
      <c r="W38">
        <f t="shared" si="10"/>
        <v>4.5599999999999996</v>
      </c>
      <c r="X38">
        <f t="shared" si="13"/>
        <v>46.82451645445785</v>
      </c>
      <c r="Y38">
        <f t="shared" si="11"/>
        <v>2.4799225989999996</v>
      </c>
      <c r="Z38">
        <f t="shared" si="12"/>
        <v>0</v>
      </c>
    </row>
    <row r="39" spans="1:26" x14ac:dyDescent="0.2">
      <c r="A39" s="249">
        <f>IF(A38="","",IF((1+A38)&lt;Input_!$C$36,1+A38,""))</f>
        <v>45452</v>
      </c>
      <c r="B39">
        <v>0.18</v>
      </c>
      <c r="C39">
        <v>0.37666666666666671</v>
      </c>
      <c r="D39">
        <f t="shared" si="2"/>
        <v>9.0400000000000008E-2</v>
      </c>
      <c r="E39">
        <v>0.19015758299999999</v>
      </c>
      <c r="G39" s="270"/>
      <c r="H39" s="250">
        <f t="shared" si="3"/>
        <v>0.97368448163587995</v>
      </c>
      <c r="I39">
        <f t="shared" si="4"/>
        <v>4.733298847462585</v>
      </c>
      <c r="J39">
        <f t="shared" si="5"/>
        <v>0.12792564233333437</v>
      </c>
      <c r="K39">
        <f t="shared" si="6"/>
        <v>0.19015758299999999</v>
      </c>
      <c r="O39" s="249">
        <f t="shared" si="0"/>
        <v>45452</v>
      </c>
      <c r="P39">
        <f>IF(A39&gt;Input_!$C$32,+P38,(IF(A39&lt;Input_!$C$23,"",('Budget (2)'!A39-Input_!$C$23)*Input_!$C$76+Input_!$C$25)))</f>
        <v>24.306122448979593</v>
      </c>
      <c r="Q39">
        <f>(+P39*Input_!$C$18)+R39</f>
        <v>9.4793877551020422</v>
      </c>
      <c r="R39">
        <f>+P39*Input_!$C$19</f>
        <v>4.6181632653061229</v>
      </c>
      <c r="S39">
        <f t="shared" si="7"/>
        <v>4.8612244897959194</v>
      </c>
      <c r="T39">
        <f t="shared" si="1"/>
        <v>7.0487755102040826</v>
      </c>
      <c r="U39">
        <f t="shared" si="8"/>
        <v>9.3514621127687079</v>
      </c>
      <c r="V39">
        <f t="shared" si="9"/>
        <v>0.38473689632717606</v>
      </c>
      <c r="W39">
        <f t="shared" si="10"/>
        <v>4.8</v>
      </c>
      <c r="X39">
        <f t="shared" si="13"/>
        <v>51.312040350662237</v>
      </c>
      <c r="Y39">
        <f t="shared" si="11"/>
        <v>2.6700801819999995</v>
      </c>
      <c r="Z39">
        <f t="shared" si="12"/>
        <v>0</v>
      </c>
    </row>
    <row r="40" spans="1:26" x14ac:dyDescent="0.2">
      <c r="A40" s="249">
        <f>IF(A39="","",IF((1+A39)&lt;Input_!$C$36,1+A39,""))</f>
        <v>45453</v>
      </c>
      <c r="B40">
        <v>0.24</v>
      </c>
      <c r="C40">
        <v>0.40833333333333338</v>
      </c>
      <c r="D40">
        <f t="shared" si="2"/>
        <v>0.10208333333333335</v>
      </c>
      <c r="E40">
        <v>0</v>
      </c>
      <c r="G40" s="270"/>
      <c r="H40" s="250">
        <f t="shared" si="3"/>
        <v>0.95418520403387519</v>
      </c>
      <c r="I40">
        <f t="shared" si="4"/>
        <v>4.7903991875986387</v>
      </c>
      <c r="J40">
        <f t="shared" si="5"/>
        <v>0.23000897566666723</v>
      </c>
      <c r="K40" t="str">
        <f t="shared" si="6"/>
        <v/>
      </c>
      <c r="O40" s="249">
        <f t="shared" si="0"/>
        <v>45453</v>
      </c>
      <c r="P40">
        <f>IF(A40&gt;Input_!$C$32,+P39,(IF(A40&lt;Input_!$C$23,"",('Budget (2)'!A40-Input_!$C$23)*Input_!$C$76+Input_!$C$25)))</f>
        <v>25.102040816326529</v>
      </c>
      <c r="Q40">
        <f>(+P40*Input_!$C$18)+R40</f>
        <v>9.7897959183673464</v>
      </c>
      <c r="R40">
        <f>+P40*Input_!$C$19</f>
        <v>4.7693877551020405</v>
      </c>
      <c r="S40">
        <f t="shared" si="7"/>
        <v>5.0204081632653059</v>
      </c>
      <c r="T40">
        <f t="shared" si="1"/>
        <v>7.2795918367346939</v>
      </c>
      <c r="U40">
        <f t="shared" si="8"/>
        <v>9.5597869427006792</v>
      </c>
      <c r="V40">
        <f t="shared" si="9"/>
        <v>0.38083704080677505</v>
      </c>
      <c r="W40">
        <f t="shared" si="10"/>
        <v>5.05</v>
      </c>
      <c r="X40">
        <f t="shared" si="13"/>
        <v>53.074787440664103</v>
      </c>
      <c r="Y40">
        <f t="shared" si="11"/>
        <v>2.6700801819999995</v>
      </c>
      <c r="Z40">
        <f t="shared" si="12"/>
        <v>0</v>
      </c>
    </row>
    <row r="41" spans="1:26" x14ac:dyDescent="0.2">
      <c r="A41" s="249">
        <f>IF(A40="","",IF((1+A40)&lt;Input_!$C$36,1+A40,""))</f>
        <v>45454</v>
      </c>
      <c r="B41">
        <v>0.25</v>
      </c>
      <c r="C41">
        <v>0.44000000000000006</v>
      </c>
      <c r="D41">
        <f t="shared" si="2"/>
        <v>0.14960000000000004</v>
      </c>
      <c r="E41">
        <v>0</v>
      </c>
      <c r="F41">
        <v>0</v>
      </c>
      <c r="G41" s="270"/>
      <c r="H41" s="250">
        <f t="shared" si="3"/>
        <v>0.92671063905568685</v>
      </c>
      <c r="I41">
        <f t="shared" si="4"/>
        <v>4.7999828610680284</v>
      </c>
      <c r="J41">
        <f t="shared" si="5"/>
        <v>0.37960897566666674</v>
      </c>
      <c r="K41" t="str">
        <f t="shared" si="6"/>
        <v/>
      </c>
      <c r="O41" s="249">
        <f t="shared" si="0"/>
        <v>45454</v>
      </c>
      <c r="P41">
        <f>IF(A41&gt;Input_!$C$32,+P40,(IF(A41&lt;Input_!$C$23,"",('Budget (2)'!A41-Input_!$C$23)*Input_!$C$76+Input_!$C$25)))</f>
        <v>25.897959183673468</v>
      </c>
      <c r="Q41">
        <f>(+P41*Input_!$C$18)+R41</f>
        <v>10.100204081632654</v>
      </c>
      <c r="R41">
        <f>+P41*Input_!$C$19</f>
        <v>4.920612244897959</v>
      </c>
      <c r="S41">
        <f t="shared" si="7"/>
        <v>5.1795918367346951</v>
      </c>
      <c r="T41">
        <f t="shared" si="1"/>
        <v>7.510408163265307</v>
      </c>
      <c r="U41">
        <f t="shared" si="8"/>
        <v>9.7205951059659874</v>
      </c>
      <c r="V41">
        <f t="shared" si="9"/>
        <v>0.37534212781113746</v>
      </c>
      <c r="W41">
        <f t="shared" si="10"/>
        <v>5.39</v>
      </c>
      <c r="X41">
        <f t="shared" si="13"/>
        <v>54.169098071283798</v>
      </c>
      <c r="Y41">
        <f t="shared" si="11"/>
        <v>2.6700801819999995</v>
      </c>
      <c r="Z41">
        <f t="shared" si="12"/>
        <v>0</v>
      </c>
    </row>
    <row r="42" spans="1:26" x14ac:dyDescent="0.2">
      <c r="A42" s="249">
        <f>IF(A41="","",IF((1+A41)&lt;Input_!$C$36,1+A41,""))</f>
        <v>45455</v>
      </c>
      <c r="B42">
        <v>0.34</v>
      </c>
      <c r="C42">
        <v>0.47166666666666673</v>
      </c>
      <c r="D42">
        <f t="shared" si="2"/>
        <v>0.14150000000000001</v>
      </c>
      <c r="E42">
        <v>0</v>
      </c>
      <c r="G42" s="270"/>
      <c r="H42" s="250">
        <f t="shared" si="3"/>
        <v>0.9023916674018857</v>
      </c>
      <c r="I42">
        <f t="shared" si="4"/>
        <v>4.8176665345374134</v>
      </c>
      <c r="J42">
        <f t="shared" si="5"/>
        <v>0.52110897566666736</v>
      </c>
      <c r="K42" t="str">
        <f t="shared" si="6"/>
        <v/>
      </c>
      <c r="O42" s="249">
        <f t="shared" si="0"/>
        <v>45455</v>
      </c>
      <c r="P42">
        <f>IF(A42&gt;Input_!$C$32,+P41,(IF(A42&lt;Input_!$C$23,"",('Budget (2)'!A42-Input_!$C$23)*Input_!$C$76+Input_!$C$25)))</f>
        <v>26.693877551020407</v>
      </c>
      <c r="Q42">
        <f>(+P42*Input_!$C$18)+R42</f>
        <v>10.410612244897958</v>
      </c>
      <c r="R42">
        <f>+P42*Input_!$C$19</f>
        <v>5.0718367346938775</v>
      </c>
      <c r="S42">
        <f t="shared" si="7"/>
        <v>5.3387755102040808</v>
      </c>
      <c r="T42">
        <f t="shared" si="1"/>
        <v>7.7412244897959184</v>
      </c>
      <c r="U42">
        <f t="shared" si="8"/>
        <v>9.889503269231291</v>
      </c>
      <c r="V42">
        <f t="shared" si="9"/>
        <v>0.37047833348037712</v>
      </c>
      <c r="W42">
        <f t="shared" si="10"/>
        <v>5.6899999999999995</v>
      </c>
      <c r="X42">
        <f t="shared" si="13"/>
        <v>55.385553433169854</v>
      </c>
      <c r="Y42">
        <f t="shared" si="11"/>
        <v>2.6700801819999995</v>
      </c>
      <c r="Z42">
        <f t="shared" si="12"/>
        <v>0</v>
      </c>
    </row>
    <row r="43" spans="1:26" x14ac:dyDescent="0.2">
      <c r="A43" s="249">
        <f>IF(A42="","",IF((1+A42)&lt;Input_!$C$36,1+A42,""))</f>
        <v>45456</v>
      </c>
      <c r="B43">
        <v>0.3</v>
      </c>
      <c r="C43">
        <f>O5</f>
        <v>0.28007827750000003</v>
      </c>
      <c r="D43">
        <f t="shared" si="2"/>
        <v>6.1617221050000004E-2</v>
      </c>
      <c r="E43">
        <v>0</v>
      </c>
      <c r="G43" s="270"/>
      <c r="H43" s="250">
        <f t="shared" si="3"/>
        <v>0.89401045419778513</v>
      </c>
      <c r="I43">
        <f t="shared" si="4"/>
        <v>4.915232986956803</v>
      </c>
      <c r="J43">
        <f t="shared" si="5"/>
        <v>0.58272619671666703</v>
      </c>
      <c r="K43" t="str">
        <f t="shared" si="6"/>
        <v/>
      </c>
      <c r="O43" s="249">
        <f t="shared" si="0"/>
        <v>45456</v>
      </c>
      <c r="P43">
        <f>IF(A43&gt;Input_!$C$32,+P42,(IF(A43&lt;Input_!$C$23,"",('Budget (2)'!A43-Input_!$C$23)*Input_!$C$76+Input_!$C$25)))</f>
        <v>27.489795918367346</v>
      </c>
      <c r="Q43">
        <f>(+P43*Input_!$C$18)+R43</f>
        <v>10.721020408163266</v>
      </c>
      <c r="R43">
        <f>+P43*Input_!$C$19</f>
        <v>5.223061224489796</v>
      </c>
      <c r="S43">
        <f t="shared" si="7"/>
        <v>5.49795918367347</v>
      </c>
      <c r="T43">
        <f t="shared" si="1"/>
        <v>7.9720408163265315</v>
      </c>
      <c r="U43">
        <f t="shared" si="8"/>
        <v>10.138294211446599</v>
      </c>
      <c r="V43">
        <f t="shared" si="9"/>
        <v>0.36880209083955706</v>
      </c>
      <c r="W43">
        <f t="shared" si="10"/>
        <v>5.9099999999999993</v>
      </c>
      <c r="X43">
        <f t="shared" si="13"/>
        <v>57.804118955902069</v>
      </c>
      <c r="Y43">
        <f t="shared" si="11"/>
        <v>2.6700801819999995</v>
      </c>
      <c r="Z43">
        <f t="shared" si="12"/>
        <v>0</v>
      </c>
    </row>
    <row r="44" spans="1:26" x14ac:dyDescent="0.2">
      <c r="A44" s="249">
        <f>IF(A43="","",IF((1+A43)&lt;Input_!$C$36,1+A43,""))</f>
        <v>45457</v>
      </c>
      <c r="B44">
        <v>0.22</v>
      </c>
      <c r="C44">
        <v>0.53500000000000003</v>
      </c>
      <c r="D44">
        <f t="shared" si="2"/>
        <v>0.13375000000000001</v>
      </c>
      <c r="E44">
        <v>0</v>
      </c>
      <c r="G44" s="270"/>
      <c r="H44" s="250">
        <f t="shared" si="3"/>
        <v>0.87335016724705361</v>
      </c>
      <c r="I44">
        <f t="shared" si="4"/>
        <v>4.9406666604261895</v>
      </c>
      <c r="J44">
        <f t="shared" si="5"/>
        <v>0.71647619671666796</v>
      </c>
      <c r="K44" t="str">
        <f t="shared" si="6"/>
        <v/>
      </c>
      <c r="O44" s="249">
        <f t="shared" si="0"/>
        <v>45457</v>
      </c>
      <c r="P44">
        <f>IF(A44&gt;Input_!$C$32,+P43,(IF(A44&lt;Input_!$C$23,"",('Budget (2)'!A44-Input_!$C$23)*Input_!$C$76+Input_!$C$25)))</f>
        <v>28.285714285714285</v>
      </c>
      <c r="Q44">
        <f>(+P44*Input_!$C$18)+R44</f>
        <v>11.031428571428572</v>
      </c>
      <c r="R44">
        <f>+P44*Input_!$C$19</f>
        <v>5.3742857142857146</v>
      </c>
      <c r="S44">
        <f t="shared" si="7"/>
        <v>5.6571428571428575</v>
      </c>
      <c r="T44">
        <f t="shared" si="1"/>
        <v>8.2028571428571428</v>
      </c>
      <c r="U44">
        <f t="shared" si="8"/>
        <v>10.314952374711904</v>
      </c>
      <c r="V44">
        <f t="shared" si="9"/>
        <v>0.36467003344941074</v>
      </c>
      <c r="W44">
        <f t="shared" si="10"/>
        <v>6.1599999999999993</v>
      </c>
      <c r="X44">
        <f t="shared" si="13"/>
        <v>59.165598444480196</v>
      </c>
      <c r="Y44">
        <f t="shared" si="11"/>
        <v>2.6700801819999995</v>
      </c>
      <c r="Z44">
        <f t="shared" si="12"/>
        <v>0</v>
      </c>
    </row>
    <row r="45" spans="1:26" x14ac:dyDescent="0.2">
      <c r="A45" s="249">
        <f>IF(A44="","",IF((1+A44)&lt;Input_!$C$36,1+A44,""))</f>
        <v>45458</v>
      </c>
      <c r="B45">
        <v>0.25</v>
      </c>
      <c r="C45">
        <v>0.56666666666666665</v>
      </c>
      <c r="D45">
        <f t="shared" si="2"/>
        <v>0.19833333333333331</v>
      </c>
      <c r="E45">
        <v>5.9842552E-2</v>
      </c>
      <c r="G45" s="270"/>
      <c r="H45" s="250">
        <f t="shared" si="3"/>
        <v>0.85300567745806966</v>
      </c>
      <c r="I45">
        <f t="shared" si="4"/>
        <v>4.9613595525622429</v>
      </c>
      <c r="J45">
        <f t="shared" si="5"/>
        <v>0.85496697805000288</v>
      </c>
      <c r="K45">
        <f t="shared" si="6"/>
        <v>5.9842552E-2</v>
      </c>
      <c r="O45" s="249">
        <f t="shared" si="0"/>
        <v>45458</v>
      </c>
      <c r="P45">
        <f>IF(A45&gt;Input_!$C$32,+P44,(IF(A45&lt;Input_!$C$23,"",('Budget (2)'!A45-Input_!$C$23)*Input_!$C$76+Input_!$C$25)))</f>
        <v>29.081632653061224</v>
      </c>
      <c r="Q45">
        <f>(+P45*Input_!$C$18)+R45</f>
        <v>11.341836734693878</v>
      </c>
      <c r="R45">
        <f>+P45*Input_!$C$19</f>
        <v>5.5255102040816322</v>
      </c>
      <c r="S45">
        <f t="shared" si="7"/>
        <v>5.8163265306122458</v>
      </c>
      <c r="T45">
        <f t="shared" si="1"/>
        <v>8.433673469387756</v>
      </c>
      <c r="U45">
        <f t="shared" si="8"/>
        <v>10.486869756643875</v>
      </c>
      <c r="V45">
        <f t="shared" si="9"/>
        <v>0.36060113549161393</v>
      </c>
      <c r="W45">
        <f t="shared" si="10"/>
        <v>6.5099999999999989</v>
      </c>
      <c r="X45">
        <f t="shared" si="13"/>
        <v>60.462804912988929</v>
      </c>
      <c r="Y45">
        <f t="shared" si="11"/>
        <v>2.7299227339999996</v>
      </c>
      <c r="Z45">
        <f t="shared" si="12"/>
        <v>0</v>
      </c>
    </row>
    <row r="46" spans="1:26" x14ac:dyDescent="0.2">
      <c r="A46" s="249">
        <f>IF(A45="","",IF((1+A45)&lt;Input_!$C$36,1+A45,""))</f>
        <v>45459</v>
      </c>
      <c r="B46">
        <v>0.35</v>
      </c>
      <c r="C46">
        <v>0.59833333333333327</v>
      </c>
      <c r="D46">
        <f t="shared" si="2"/>
        <v>0.21539999999999998</v>
      </c>
      <c r="E46">
        <v>0</v>
      </c>
      <c r="G46" s="270"/>
      <c r="H46" s="250">
        <f t="shared" si="3"/>
        <v>0.82087437867332624</v>
      </c>
      <c r="I46">
        <f t="shared" si="4"/>
        <v>4.9051432260316314</v>
      </c>
      <c r="J46">
        <f t="shared" si="5"/>
        <v>1.0703669780500018</v>
      </c>
      <c r="K46" t="str">
        <f t="shared" si="6"/>
        <v/>
      </c>
      <c r="O46" s="249">
        <f t="shared" si="0"/>
        <v>45459</v>
      </c>
      <c r="P46">
        <f>IF(A46&gt;Input_!$C$32,+P45,(IF(A46&lt;Input_!$C$23,"",('Budget (2)'!A46-Input_!$C$23)*Input_!$C$76+Input_!$C$25)))</f>
        <v>29.877551020408163</v>
      </c>
      <c r="Q46">
        <f>(+P46*Input_!$C$18)+R46</f>
        <v>11.652244897959184</v>
      </c>
      <c r="R46">
        <f>+P46*Input_!$C$19</f>
        <v>5.6767346938775507</v>
      </c>
      <c r="S46">
        <f t="shared" si="7"/>
        <v>5.9755102040816332</v>
      </c>
      <c r="T46">
        <f t="shared" si="1"/>
        <v>8.6644897959183673</v>
      </c>
      <c r="U46">
        <f t="shared" si="8"/>
        <v>10.581877919909182</v>
      </c>
      <c r="V46">
        <f t="shared" si="9"/>
        <v>0.35417487573466527</v>
      </c>
      <c r="W46">
        <f t="shared" si="10"/>
        <v>6.8699999999999992</v>
      </c>
      <c r="X46">
        <f t="shared" si="13"/>
        <v>60.570116593454586</v>
      </c>
      <c r="Y46">
        <f t="shared" si="11"/>
        <v>2.7299227339999996</v>
      </c>
      <c r="Z46">
        <f t="shared" si="12"/>
        <v>0</v>
      </c>
    </row>
    <row r="47" spans="1:26" x14ac:dyDescent="0.2">
      <c r="A47" s="249">
        <f>IF(A46="","",IF((1+A46)&lt;Input_!$C$36,1+A46,""))</f>
        <v>45460</v>
      </c>
      <c r="B47">
        <v>0.36</v>
      </c>
      <c r="C47">
        <v>0.62999999999999989</v>
      </c>
      <c r="D47">
        <f t="shared" si="2"/>
        <v>0.15749999999999997</v>
      </c>
      <c r="E47">
        <v>0</v>
      </c>
      <c r="G47" s="270"/>
      <c r="H47" s="250">
        <f t="shared" si="3"/>
        <v>0.79984869619278043</v>
      </c>
      <c r="I47">
        <f t="shared" si="4"/>
        <v>4.9068268995010165</v>
      </c>
      <c r="J47">
        <f t="shared" si="5"/>
        <v>1.2278669780500042</v>
      </c>
      <c r="K47" t="str">
        <f t="shared" si="6"/>
        <v/>
      </c>
      <c r="O47" s="249">
        <f t="shared" si="0"/>
        <v>45460</v>
      </c>
      <c r="P47">
        <f>IF(A47&gt;Input_!$C$32,+P46,(IF(A47&lt;Input_!$C$23,"",('Budget (2)'!A47-Input_!$C$23)*Input_!$C$76+Input_!$C$25)))</f>
        <v>30.673469387755102</v>
      </c>
      <c r="Q47">
        <f>(+P47*Input_!$C$18)+R47</f>
        <v>11.96265306122449</v>
      </c>
      <c r="R47">
        <f>+P47*Input_!$C$19</f>
        <v>5.8279591836734692</v>
      </c>
      <c r="S47">
        <f t="shared" si="7"/>
        <v>6.1346938775510207</v>
      </c>
      <c r="T47">
        <f t="shared" si="1"/>
        <v>8.8953061224489787</v>
      </c>
      <c r="U47">
        <f t="shared" si="8"/>
        <v>10.734786083174486</v>
      </c>
      <c r="V47">
        <f t="shared" si="9"/>
        <v>0.34996973923855607</v>
      </c>
      <c r="W47">
        <f t="shared" si="10"/>
        <v>7.1199999999999992</v>
      </c>
      <c r="X47">
        <f t="shared" si="13"/>
        <v>61.569043235758699</v>
      </c>
      <c r="Y47">
        <f t="shared" si="11"/>
        <v>2.7299227339999996</v>
      </c>
      <c r="Z47">
        <f t="shared" si="12"/>
        <v>0</v>
      </c>
    </row>
    <row r="48" spans="1:26" x14ac:dyDescent="0.2">
      <c r="A48" s="249">
        <f>IF(A47="","",IF((1+A47)&lt;Input_!$C$36,1+A47,""))</f>
        <v>45461</v>
      </c>
      <c r="B48">
        <v>0.25</v>
      </c>
      <c r="C48">
        <v>0.66166666666666651</v>
      </c>
      <c r="D48">
        <f t="shared" si="2"/>
        <v>8.6016666666666644E-2</v>
      </c>
      <c r="E48">
        <v>2.9921276E-2</v>
      </c>
      <c r="F48">
        <v>0</v>
      </c>
      <c r="G48" s="270"/>
      <c r="H48" s="250">
        <f t="shared" si="3"/>
        <v>0.7959981969289337</v>
      </c>
      <c r="I48">
        <f t="shared" si="4"/>
        <v>5.0099151823037378</v>
      </c>
      <c r="J48">
        <f t="shared" si="5"/>
        <v>1.2839623687166704</v>
      </c>
      <c r="K48">
        <f t="shared" si="6"/>
        <v>2.9921276E-2</v>
      </c>
      <c r="O48" s="249">
        <f t="shared" si="0"/>
        <v>45461</v>
      </c>
      <c r="P48">
        <f>IF(A48&gt;Input_!$C$32,+P47,(IF(A48&lt;Input_!$C$23,"",('Budget (2)'!A48-Input_!$C$23)*Input_!$C$76+Input_!$C$25)))</f>
        <v>31.469387755102041</v>
      </c>
      <c r="Q48">
        <f>(+P48*Input_!$C$18)+R48</f>
        <v>12.273061224489796</v>
      </c>
      <c r="R48">
        <f>+P48*Input_!$C$19</f>
        <v>5.9791836734693877</v>
      </c>
      <c r="S48">
        <f t="shared" si="7"/>
        <v>6.2938775510204081</v>
      </c>
      <c r="T48">
        <f t="shared" si="1"/>
        <v>9.1261224489795918</v>
      </c>
      <c r="U48">
        <f t="shared" si="8"/>
        <v>10.989098855773126</v>
      </c>
      <c r="V48">
        <f t="shared" si="9"/>
        <v>0.34919963938578674</v>
      </c>
      <c r="W48">
        <f t="shared" si="10"/>
        <v>7.2499999999999991</v>
      </c>
      <c r="X48">
        <f t="shared" si="13"/>
        <v>64.180575646354001</v>
      </c>
      <c r="Y48">
        <f t="shared" si="11"/>
        <v>2.7598440099999997</v>
      </c>
      <c r="Z48">
        <f t="shared" si="12"/>
        <v>0</v>
      </c>
    </row>
    <row r="49" spans="1:26" x14ac:dyDescent="0.2">
      <c r="A49" s="249">
        <f>IF(A48="","",IF((1+A48)&lt;Input_!$C$36,1+A48,""))</f>
        <v>45462</v>
      </c>
      <c r="B49">
        <v>0.13</v>
      </c>
      <c r="C49">
        <v>0.69333333333333313</v>
      </c>
      <c r="D49">
        <f t="shared" si="2"/>
        <v>0.1941333333333333</v>
      </c>
      <c r="E49">
        <v>0</v>
      </c>
      <c r="G49" s="270"/>
      <c r="H49" s="250">
        <f t="shared" si="3"/>
        <v>0.77094658633633717</v>
      </c>
      <c r="I49">
        <f t="shared" si="4"/>
        <v>4.9749655224397928</v>
      </c>
      <c r="J49">
        <f t="shared" si="5"/>
        <v>1.4780957020500036</v>
      </c>
      <c r="K49" t="str">
        <f t="shared" si="6"/>
        <v/>
      </c>
      <c r="O49" s="249">
        <f t="shared" si="0"/>
        <v>45462</v>
      </c>
      <c r="P49">
        <f>IF(A49&gt;Input_!$C$32,+P48,(IF(A49&lt;Input_!$C$23,"",('Budget (2)'!A49-Input_!$C$23)*Input_!$C$76+Input_!$C$25)))</f>
        <v>32.265306122448976</v>
      </c>
      <c r="Q49">
        <f>(+P49*Input_!$C$18)+R49</f>
        <v>12.583469387755102</v>
      </c>
      <c r="R49">
        <f>+P49*Input_!$C$19</f>
        <v>6.1304081632653054</v>
      </c>
      <c r="S49">
        <f t="shared" si="7"/>
        <v>6.4530612244897965</v>
      </c>
      <c r="T49">
        <f t="shared" ref="T49:T80" si="14">+(1-$F$4)*S49+R49</f>
        <v>9.3569387755102031</v>
      </c>
      <c r="U49">
        <f t="shared" si="8"/>
        <v>11.105373685705098</v>
      </c>
      <c r="V49">
        <f t="shared" si="9"/>
        <v>0.34418931726726748</v>
      </c>
      <c r="W49">
        <f t="shared" si="10"/>
        <v>7.5299999999999994</v>
      </c>
      <c r="X49">
        <f t="shared" si="13"/>
        <v>64.605789975703203</v>
      </c>
      <c r="Y49">
        <f t="shared" si="11"/>
        <v>2.7598440099999997</v>
      </c>
      <c r="Z49">
        <f t="shared" si="12"/>
        <v>0</v>
      </c>
    </row>
    <row r="50" spans="1:26" x14ac:dyDescent="0.2">
      <c r="A50" s="249">
        <f>IF(A49="","",IF((1+A49)&lt;Input_!$C$36,1+A49,""))</f>
        <v>45463</v>
      </c>
      <c r="B50">
        <v>0.28000000000000003</v>
      </c>
      <c r="C50">
        <v>0.72499999999999976</v>
      </c>
      <c r="D50">
        <f t="shared" si="2"/>
        <v>0.24649999999999994</v>
      </c>
      <c r="E50">
        <v>0</v>
      </c>
      <c r="G50" s="270"/>
      <c r="H50" s="250">
        <f t="shared" ref="H50:H81" si="15">IF(B51="","",IF(B51&gt;-0.0001,IF(G50&gt;0.0001,+G50,IF((+U50-R50)/(Q50-R50)&gt;1,1,(MAX(0,(+U50-R50)/(Q50-R50))))),""))</f>
        <v>0.73918151419614153</v>
      </c>
      <c r="I50">
        <f t="shared" ref="I50:I81" si="16">IF(B51="","",IF(B51&gt;-0.0001,IF((+U50-R50)&lt;0,0,+U50-R50),""))</f>
        <v>4.8876491959091819</v>
      </c>
      <c r="J50">
        <f t="shared" ref="J50:J81" si="17">IF(B51="","",IF(B51&gt;-0.0001,IF((Q50-U50)&lt;0,0,Q50-U50),""))</f>
        <v>1.7245957020500029</v>
      </c>
      <c r="K50" t="str">
        <f t="shared" si="6"/>
        <v/>
      </c>
      <c r="O50" s="249">
        <f t="shared" si="0"/>
        <v>45463</v>
      </c>
      <c r="P50">
        <f>IF(A50&gt;Input_!$C$32,+P49,(IF(A50&lt;Input_!$C$23,"",('Budget (2)'!A50-Input_!$C$23)*Input_!$C$76+Input_!$C$25)))</f>
        <v>33.061224489795919</v>
      </c>
      <c r="Q50">
        <f>(+P50*Input_!$C$18)+R50</f>
        <v>12.89387755102041</v>
      </c>
      <c r="R50">
        <f>+P50*Input_!$C$19</f>
        <v>6.2816326530612248</v>
      </c>
      <c r="S50">
        <f t="shared" si="7"/>
        <v>6.6122448979591848</v>
      </c>
      <c r="T50">
        <f t="shared" si="14"/>
        <v>9.5877551020408163</v>
      </c>
      <c r="U50">
        <f t="shared" ref="U50:U81" si="18">IF(B51="",0,IF(B51&gt;-0.0001,MAX(IF(G50&gt;0.001,(G50*S50+R50),MIN((+U49+E50+F50-D50+Q50-Q49),Q50)),R50),""))</f>
        <v>11.169281848970407</v>
      </c>
      <c r="V50">
        <f t="shared" si="9"/>
        <v>0.33783630283922833</v>
      </c>
      <c r="W50">
        <f t="shared" ref="W50:W81" si="19">IF(+B51&gt;-0.01,+B51+W49,"")</f>
        <v>7.8699999999999992</v>
      </c>
      <c r="X50">
        <f t="shared" si="13"/>
        <v>64.179286550044054</v>
      </c>
      <c r="Y50">
        <f t="shared" ref="Y50:Y81" si="20">IF(+B51&gt;-0.01,+E50+Y49,"")</f>
        <v>2.7598440099999997</v>
      </c>
      <c r="Z50">
        <f t="shared" ref="Z50:Z81" si="21">IF(+B51&gt;-0.01,+F50+Z49,"")</f>
        <v>0</v>
      </c>
    </row>
    <row r="51" spans="1:26" x14ac:dyDescent="0.2">
      <c r="A51" s="249">
        <f>IF(A50="","",IF((1+A50)&lt;Input_!$C$36,1+A50,""))</f>
        <v>45464</v>
      </c>
      <c r="B51">
        <v>0.34</v>
      </c>
      <c r="C51">
        <v>0.75666666666666638</v>
      </c>
      <c r="D51">
        <f t="shared" si="2"/>
        <v>0.21186666666666659</v>
      </c>
      <c r="E51">
        <v>9.8425249999999995E-3</v>
      </c>
      <c r="G51" s="270"/>
      <c r="H51" s="250">
        <f t="shared" si="15"/>
        <v>0.71547808215154662</v>
      </c>
      <c r="I51">
        <f t="shared" si="16"/>
        <v>4.8448087277119019</v>
      </c>
      <c r="J51">
        <f t="shared" si="17"/>
        <v>1.9266198437166704</v>
      </c>
      <c r="K51">
        <f t="shared" si="6"/>
        <v>9.8425249999999995E-3</v>
      </c>
      <c r="O51" s="249">
        <f t="shared" si="0"/>
        <v>45464</v>
      </c>
      <c r="P51">
        <f>IF(A51&gt;Input_!$C$32,+P50,(IF(A51&lt;Input_!$C$23,"",('Budget (2)'!A51-Input_!$C$23)*Input_!$C$76+Input_!$C$25)))</f>
        <v>33.857142857142861</v>
      </c>
      <c r="Q51">
        <f>(+P51*Input_!$C$18)+R51</f>
        <v>13.204285714285716</v>
      </c>
      <c r="R51">
        <f>+P51*Input_!$C$19</f>
        <v>6.4328571428571433</v>
      </c>
      <c r="S51">
        <f t="shared" si="7"/>
        <v>6.7714285714285722</v>
      </c>
      <c r="T51">
        <f t="shared" si="14"/>
        <v>9.8185714285714294</v>
      </c>
      <c r="U51">
        <f t="shared" si="18"/>
        <v>11.277665870569045</v>
      </c>
      <c r="V51">
        <f t="shared" si="9"/>
        <v>0.33309561643030933</v>
      </c>
      <c r="W51">
        <f t="shared" si="19"/>
        <v>8.1499999999999986</v>
      </c>
      <c r="X51">
        <f t="shared" si="13"/>
        <v>64.456705466522976</v>
      </c>
      <c r="Y51">
        <f t="shared" si="20"/>
        <v>2.7696865349999995</v>
      </c>
      <c r="Z51">
        <f t="shared" si="21"/>
        <v>0</v>
      </c>
    </row>
    <row r="52" spans="1:26" x14ac:dyDescent="0.2">
      <c r="A52" s="249">
        <f>IF(A51="","",IF((1+A51)&lt;Input_!$C$36,1+A51,""))</f>
        <v>45465</v>
      </c>
      <c r="B52">
        <v>0.28000000000000003</v>
      </c>
      <c r="C52">
        <v>0.788333333333333</v>
      </c>
      <c r="D52">
        <f t="shared" si="2"/>
        <v>0.27591666666666653</v>
      </c>
      <c r="E52">
        <v>0</v>
      </c>
      <c r="G52" s="270"/>
      <c r="H52" s="250">
        <f t="shared" si="15"/>
        <v>0.68220174025682112</v>
      </c>
      <c r="I52">
        <f t="shared" si="16"/>
        <v>4.728075734514622</v>
      </c>
      <c r="J52">
        <f t="shared" si="17"/>
        <v>2.2025365103833376</v>
      </c>
      <c r="K52" t="str">
        <f t="shared" si="6"/>
        <v/>
      </c>
      <c r="O52" s="249">
        <f t="shared" si="0"/>
        <v>45465</v>
      </c>
      <c r="P52">
        <f>IF(A52&gt;Input_!$C$32,+P51,(IF(A52&lt;Input_!$C$23,"",('Budget (2)'!A52-Input_!$C$23)*Input_!$C$76+Input_!$C$25)))</f>
        <v>34.653061224489797</v>
      </c>
      <c r="Q52">
        <f>(+P52*Input_!$C$18)+R52</f>
        <v>13.514693877551021</v>
      </c>
      <c r="R52">
        <f>+P52*Input_!$C$19</f>
        <v>6.5840816326530618</v>
      </c>
      <c r="S52">
        <f t="shared" si="7"/>
        <v>6.9306122448979597</v>
      </c>
      <c r="T52">
        <f t="shared" si="14"/>
        <v>10.049387755102043</v>
      </c>
      <c r="U52">
        <f t="shared" si="18"/>
        <v>11.312157367167684</v>
      </c>
      <c r="V52">
        <f t="shared" si="9"/>
        <v>0.32644034805136424</v>
      </c>
      <c r="W52">
        <f t="shared" si="19"/>
        <v>8.4999999999999982</v>
      </c>
      <c r="X52">
        <f t="shared" si="13"/>
        <v>63.534124507818376</v>
      </c>
      <c r="Y52">
        <f t="shared" si="20"/>
        <v>2.7696865349999995</v>
      </c>
      <c r="Z52">
        <f t="shared" si="21"/>
        <v>0</v>
      </c>
    </row>
    <row r="53" spans="1:26" x14ac:dyDescent="0.2">
      <c r="A53" s="249">
        <f>IF(A52="","",IF((1+A52)&lt;Input_!$C$36,1+A52,""))</f>
        <v>45466</v>
      </c>
      <c r="B53">
        <v>0.35</v>
      </c>
      <c r="C53">
        <f>P5</f>
        <v>0.43888835674999999</v>
      </c>
      <c r="D53">
        <f t="shared" si="2"/>
        <v>0.14483315772749999</v>
      </c>
      <c r="E53">
        <v>0</v>
      </c>
      <c r="G53" s="270"/>
      <c r="H53" s="250">
        <f t="shared" si="15"/>
        <v>0.66890871117607609</v>
      </c>
      <c r="I53">
        <f t="shared" si="16"/>
        <v>4.7424262502565062</v>
      </c>
      <c r="J53">
        <f t="shared" si="17"/>
        <v>2.34736966811084</v>
      </c>
      <c r="K53" t="str">
        <f t="shared" si="6"/>
        <v/>
      </c>
      <c r="O53" s="249">
        <f t="shared" si="0"/>
        <v>45466</v>
      </c>
      <c r="P53">
        <f>IF(A53&gt;Input_!$C$32,+P52,(IF(A53&lt;Input_!$C$23,"",('Budget (2)'!A53-Input_!$C$23)*Input_!$C$76+Input_!$C$25)))</f>
        <v>35.448979591836732</v>
      </c>
      <c r="Q53">
        <f>(+P53*Input_!$C$18)+R53</f>
        <v>13.825102040816326</v>
      </c>
      <c r="R53">
        <f>+P53*Input_!$C$19</f>
        <v>6.7353061224489794</v>
      </c>
      <c r="S53">
        <f t="shared" si="7"/>
        <v>7.0897959183673462</v>
      </c>
      <c r="T53">
        <f t="shared" si="14"/>
        <v>10.280204081632652</v>
      </c>
      <c r="U53">
        <f t="shared" si="18"/>
        <v>11.477732372705486</v>
      </c>
      <c r="V53">
        <f t="shared" si="9"/>
        <v>0.32378174223521522</v>
      </c>
      <c r="W53">
        <f t="shared" si="19"/>
        <v>8.8299999999999983</v>
      </c>
      <c r="X53">
        <f t="shared" si="13"/>
        <v>64.712503379370034</v>
      </c>
      <c r="Y53">
        <f t="shared" si="20"/>
        <v>2.7696865349999995</v>
      </c>
      <c r="Z53">
        <f t="shared" si="21"/>
        <v>0</v>
      </c>
    </row>
    <row r="54" spans="1:26" x14ac:dyDescent="0.2">
      <c r="A54" s="249">
        <f>IF(A53="","",IF((1+A53)&lt;Input_!$C$36,1+A53,""))</f>
        <v>45467</v>
      </c>
      <c r="B54">
        <v>0.33</v>
      </c>
      <c r="C54">
        <v>0.85166666666666624</v>
      </c>
      <c r="D54">
        <f t="shared" si="2"/>
        <v>0.28104999999999986</v>
      </c>
      <c r="E54">
        <v>0</v>
      </c>
      <c r="G54" s="270"/>
      <c r="H54" s="250">
        <f t="shared" si="15"/>
        <v>0.63740832281128612</v>
      </c>
      <c r="I54">
        <f t="shared" si="16"/>
        <v>4.620559923725895</v>
      </c>
      <c r="J54">
        <f t="shared" si="17"/>
        <v>2.6284196681108405</v>
      </c>
      <c r="K54" t="str">
        <f t="shared" si="6"/>
        <v/>
      </c>
      <c r="O54" s="249">
        <f t="shared" si="0"/>
        <v>45467</v>
      </c>
      <c r="P54">
        <f>IF(A54&gt;Input_!$C$32,+P53,(IF(A54&lt;Input_!$C$23,"",('Budget (2)'!A54-Input_!$C$23)*Input_!$C$76+Input_!$C$25)))</f>
        <v>36.244897959183675</v>
      </c>
      <c r="Q54">
        <f>(+P54*Input_!$C$18)+R54</f>
        <v>14.135510204081633</v>
      </c>
      <c r="R54">
        <f>+P54*Input_!$C$19</f>
        <v>6.8865306122448979</v>
      </c>
      <c r="S54">
        <f t="shared" si="7"/>
        <v>7.2489795918367355</v>
      </c>
      <c r="T54">
        <f t="shared" si="14"/>
        <v>10.511020408163265</v>
      </c>
      <c r="U54">
        <f t="shared" si="18"/>
        <v>11.507090535970793</v>
      </c>
      <c r="V54">
        <f t="shared" si="9"/>
        <v>0.31748166456225724</v>
      </c>
      <c r="W54">
        <f t="shared" si="19"/>
        <v>9.1599999999999984</v>
      </c>
      <c r="X54">
        <f t="shared" si="13"/>
        <v>63.680221777355442</v>
      </c>
      <c r="Y54">
        <f t="shared" si="20"/>
        <v>2.7696865349999995</v>
      </c>
      <c r="Z54">
        <f t="shared" si="21"/>
        <v>0</v>
      </c>
    </row>
    <row r="55" spans="1:26" x14ac:dyDescent="0.2">
      <c r="A55" s="249">
        <f>IF(A54="","",IF((1+A54)&lt;Input_!$C$36,1+A54,""))</f>
        <v>45468</v>
      </c>
      <c r="B55">
        <v>0.33</v>
      </c>
      <c r="C55">
        <v>0.88333333333333286</v>
      </c>
      <c r="D55">
        <f t="shared" si="2"/>
        <v>0.27383333333333321</v>
      </c>
      <c r="E55">
        <v>0</v>
      </c>
      <c r="F55">
        <v>1</v>
      </c>
      <c r="G55" s="270"/>
      <c r="H55" s="250">
        <f t="shared" si="15"/>
        <v>0.74322204663701252</v>
      </c>
      <c r="I55">
        <f t="shared" si="16"/>
        <v>5.505910263861951</v>
      </c>
      <c r="J55">
        <f t="shared" si="17"/>
        <v>1.9022530014441728</v>
      </c>
      <c r="K55" t="str">
        <f t="shared" si="6"/>
        <v/>
      </c>
      <c r="O55" s="249">
        <f t="shared" si="0"/>
        <v>45468</v>
      </c>
      <c r="P55">
        <f>IF(A55&gt;Input_!$C$32,+P54,(IF(A55&lt;Input_!$C$23,"",('Budget (2)'!A55-Input_!$C$23)*Input_!$C$76+Input_!$C$25)))</f>
        <v>37.040816326530617</v>
      </c>
      <c r="Q55">
        <f>(+P55*Input_!$C$18)+R55</f>
        <v>14.445918367346941</v>
      </c>
      <c r="R55">
        <f>+P55*Input_!$C$19</f>
        <v>7.0377551020408173</v>
      </c>
      <c r="S55">
        <f t="shared" si="7"/>
        <v>7.4081632653061238</v>
      </c>
      <c r="T55">
        <f t="shared" si="14"/>
        <v>10.74183673469388</v>
      </c>
      <c r="U55">
        <f t="shared" si="18"/>
        <v>12.543665365902768</v>
      </c>
      <c r="V55">
        <f t="shared" si="9"/>
        <v>0.33864440932740253</v>
      </c>
      <c r="W55">
        <f t="shared" si="19"/>
        <v>9.4699999999999989</v>
      </c>
      <c r="X55">
        <f t="shared" si="13"/>
        <v>79.806132619267601</v>
      </c>
      <c r="Y55">
        <f t="shared" si="20"/>
        <v>2.7696865349999995</v>
      </c>
      <c r="Z55">
        <f t="shared" si="21"/>
        <v>1</v>
      </c>
    </row>
    <row r="56" spans="1:26" x14ac:dyDescent="0.2">
      <c r="A56" s="249">
        <f>IF(A55="","",IF((1+A55)&lt;Input_!$C$36,1+A55,""))</f>
        <v>45469</v>
      </c>
      <c r="B56">
        <v>0.31</v>
      </c>
      <c r="C56">
        <v>0.91499999999999948</v>
      </c>
      <c r="D56">
        <f t="shared" si="2"/>
        <v>0.22874999999999987</v>
      </c>
      <c r="E56">
        <v>0</v>
      </c>
      <c r="G56" s="270"/>
      <c r="H56" s="250">
        <f t="shared" si="15"/>
        <v>0.71839496474982589</v>
      </c>
      <c r="I56">
        <f t="shared" si="16"/>
        <v>5.436343937331336</v>
      </c>
      <c r="J56">
        <f t="shared" si="17"/>
        <v>2.1310030014441743</v>
      </c>
      <c r="K56" t="str">
        <f t="shared" si="6"/>
        <v/>
      </c>
      <c r="O56" s="249">
        <f t="shared" si="0"/>
        <v>45469</v>
      </c>
      <c r="P56">
        <f>IF(A56&gt;Input_!$C$32,+P55,(IF(A56&lt;Input_!$C$23,"",('Budget (2)'!A56-Input_!$C$23)*Input_!$C$76+Input_!$C$25)))</f>
        <v>37.836734693877553</v>
      </c>
      <c r="Q56">
        <f>(+P56*Input_!$C$18)+R56</f>
        <v>14.756326530612245</v>
      </c>
      <c r="R56">
        <f>+P56*Input_!$C$19</f>
        <v>7.188979591836735</v>
      </c>
      <c r="S56">
        <f t="shared" si="7"/>
        <v>7.5673469387755103</v>
      </c>
      <c r="T56">
        <f t="shared" si="14"/>
        <v>10.97265306122449</v>
      </c>
      <c r="U56">
        <f t="shared" si="18"/>
        <v>12.625323529168071</v>
      </c>
      <c r="V56">
        <f t="shared" si="9"/>
        <v>0.33367899294996517</v>
      </c>
      <c r="W56">
        <f t="shared" si="19"/>
        <v>9.7199999999999989</v>
      </c>
      <c r="X56">
        <f t="shared" si="13"/>
        <v>79.608254085864004</v>
      </c>
      <c r="Y56">
        <f t="shared" si="20"/>
        <v>2.7696865349999995</v>
      </c>
      <c r="Z56">
        <f t="shared" si="21"/>
        <v>1</v>
      </c>
    </row>
    <row r="57" spans="1:26" x14ac:dyDescent="0.2">
      <c r="A57" s="249">
        <f>IF(A56="","",IF((1+A56)&lt;Input_!$C$36,1+A56,""))</f>
        <v>45470</v>
      </c>
      <c r="B57">
        <v>0.25</v>
      </c>
      <c r="C57">
        <v>0.9466666666666661</v>
      </c>
      <c r="D57">
        <f t="shared" si="2"/>
        <v>0.27453333333333313</v>
      </c>
      <c r="E57">
        <v>0</v>
      </c>
      <c r="G57" s="270"/>
      <c r="H57" s="250">
        <f t="shared" si="15"/>
        <v>0.68866539777047608</v>
      </c>
      <c r="I57">
        <f t="shared" si="16"/>
        <v>5.320994277467392</v>
      </c>
      <c r="J57">
        <f t="shared" si="17"/>
        <v>2.4055363347775049</v>
      </c>
      <c r="K57" t="str">
        <f t="shared" si="6"/>
        <v/>
      </c>
      <c r="O57" s="249">
        <f t="shared" si="0"/>
        <v>45470</v>
      </c>
      <c r="P57">
        <f>IF(A57&gt;Input_!$C$32,+P56,(IF(A57&lt;Input_!$C$23,"",('Budget (2)'!A57-Input_!$C$23)*Input_!$C$76+Input_!$C$25)))</f>
        <v>38.632653061224488</v>
      </c>
      <c r="Q57">
        <f>(+P57*Input_!$C$18)+R57</f>
        <v>15.066734693877549</v>
      </c>
      <c r="R57">
        <f>+P57*Input_!$C$19</f>
        <v>7.3402040816326526</v>
      </c>
      <c r="S57">
        <f t="shared" si="7"/>
        <v>7.7265306122448969</v>
      </c>
      <c r="T57">
        <f t="shared" si="14"/>
        <v>11.203469387755101</v>
      </c>
      <c r="U57">
        <f t="shared" si="18"/>
        <v>12.661198359100045</v>
      </c>
      <c r="V57">
        <f t="shared" si="9"/>
        <v>0.3277330795540952</v>
      </c>
      <c r="W57">
        <f t="shared" si="19"/>
        <v>10.009999999999998</v>
      </c>
      <c r="X57">
        <f t="shared" si="13"/>
        <v>78.573633402405974</v>
      </c>
      <c r="Y57">
        <f t="shared" si="20"/>
        <v>2.7696865349999995</v>
      </c>
      <c r="Z57">
        <f t="shared" si="21"/>
        <v>1</v>
      </c>
    </row>
    <row r="58" spans="1:26" x14ac:dyDescent="0.2">
      <c r="A58" s="249">
        <f>IF(A57="","",IF((1+A57)&lt;Input_!$C$36,1+A57,""))</f>
        <v>45471</v>
      </c>
      <c r="B58">
        <v>0.28999999999999998</v>
      </c>
      <c r="C58">
        <v>0.97833333333333272</v>
      </c>
      <c r="D58">
        <f t="shared" si="2"/>
        <v>0.23479999999999984</v>
      </c>
      <c r="E58">
        <v>2.0078750999999999E-2</v>
      </c>
      <c r="G58" s="270"/>
      <c r="H58" s="250">
        <f t="shared" si="15"/>
        <v>0.66772095857893954</v>
      </c>
      <c r="I58">
        <f t="shared" si="16"/>
        <v>5.2654567019367802</v>
      </c>
      <c r="J58">
        <f t="shared" si="17"/>
        <v>2.6202575837775051</v>
      </c>
      <c r="K58">
        <f t="shared" si="6"/>
        <v>2.0078750999999999E-2</v>
      </c>
      <c r="O58" s="249">
        <f t="shared" si="0"/>
        <v>45471</v>
      </c>
      <c r="P58">
        <f>IF(A58&gt;Input_!$C$32,+P57,(IF(A58&lt;Input_!$C$23,"",('Budget (2)'!A58-Input_!$C$23)*Input_!$C$76+Input_!$C$25)))</f>
        <v>39.428571428571431</v>
      </c>
      <c r="Q58">
        <f>(+P58*Input_!$C$18)+R58</f>
        <v>15.377142857142857</v>
      </c>
      <c r="R58">
        <f>+P58*Input_!$C$19</f>
        <v>7.491428571428572</v>
      </c>
      <c r="S58">
        <f t="shared" si="7"/>
        <v>7.8857142857142852</v>
      </c>
      <c r="T58">
        <f t="shared" si="14"/>
        <v>11.434285714285714</v>
      </c>
      <c r="U58">
        <f t="shared" si="18"/>
        <v>12.756885273365352</v>
      </c>
      <c r="V58">
        <f t="shared" si="9"/>
        <v>0.32354419171578791</v>
      </c>
      <c r="W58">
        <f t="shared" si="19"/>
        <v>10.249999999999998</v>
      </c>
      <c r="X58">
        <f t="shared" si="13"/>
        <v>78.605112772765921</v>
      </c>
      <c r="Y58">
        <f t="shared" si="20"/>
        <v>2.7897652859999993</v>
      </c>
      <c r="Z58">
        <f t="shared" si="21"/>
        <v>1</v>
      </c>
    </row>
    <row r="59" spans="1:26" x14ac:dyDescent="0.2">
      <c r="A59" s="249">
        <f>IF(A58="","",IF((1+A58)&lt;Input_!$C$36,1+A58,""))</f>
        <v>45472</v>
      </c>
      <c r="B59">
        <v>0.24</v>
      </c>
      <c r="C59">
        <v>1.0099999999999993</v>
      </c>
      <c r="D59">
        <f t="shared" si="2"/>
        <v>9.0899999999999939E-2</v>
      </c>
      <c r="E59">
        <v>7.0078777999999994E-2</v>
      </c>
      <c r="G59" s="270"/>
      <c r="H59" s="250">
        <f t="shared" si="15"/>
        <v>0.67170760658777839</v>
      </c>
      <c r="I59">
        <f t="shared" si="16"/>
        <v>5.4038191534061681</v>
      </c>
      <c r="J59">
        <f t="shared" si="17"/>
        <v>2.6410788057775054</v>
      </c>
      <c r="K59">
        <f t="shared" si="6"/>
        <v>7.0078777999999994E-2</v>
      </c>
      <c r="O59" s="249">
        <f t="shared" si="0"/>
        <v>45472</v>
      </c>
      <c r="P59">
        <f>IF(A59&gt;Input_!$C$32,+P58,(IF(A59&lt;Input_!$C$23,"",('Budget (2)'!A59-Input_!$C$23)*Input_!$C$76+Input_!$C$25)))</f>
        <v>40.224489795918366</v>
      </c>
      <c r="Q59">
        <f>(+P59*Input_!$C$18)+R59</f>
        <v>15.687551020408163</v>
      </c>
      <c r="R59">
        <f>+P59*Input_!$C$19</f>
        <v>7.6426530612244896</v>
      </c>
      <c r="S59">
        <f t="shared" si="7"/>
        <v>8.0448979591836736</v>
      </c>
      <c r="T59">
        <f t="shared" si="14"/>
        <v>11.665102040816326</v>
      </c>
      <c r="U59">
        <f t="shared" si="18"/>
        <v>13.046472214630658</v>
      </c>
      <c r="V59">
        <f t="shared" si="9"/>
        <v>0.32434152131755567</v>
      </c>
      <c r="W59">
        <f t="shared" si="19"/>
        <v>10.339999999999998</v>
      </c>
      <c r="X59">
        <f t="shared" si="13"/>
        <v>82.165878478618865</v>
      </c>
      <c r="Y59">
        <f t="shared" si="20"/>
        <v>2.8598440639999994</v>
      </c>
      <c r="Z59">
        <f t="shared" si="21"/>
        <v>1</v>
      </c>
    </row>
    <row r="60" spans="1:26" x14ac:dyDescent="0.2">
      <c r="A60" s="249">
        <f>IF(A59="","",IF((1+A59)&lt;Input_!$C$36,1+A59,""))</f>
        <v>45473</v>
      </c>
      <c r="B60">
        <v>0.09</v>
      </c>
      <c r="C60">
        <v>1.0416666666666661</v>
      </c>
      <c r="D60">
        <f t="shared" si="2"/>
        <v>0.2395833333333332</v>
      </c>
      <c r="E60">
        <v>9.8425249999999995E-3</v>
      </c>
      <c r="G60" s="270"/>
      <c r="H60" s="250">
        <f t="shared" si="15"/>
        <v>0.65007422614071841</v>
      </c>
      <c r="I60">
        <f t="shared" si="16"/>
        <v>5.3332620185422224</v>
      </c>
      <c r="J60">
        <f t="shared" si="17"/>
        <v>2.8708196141108413</v>
      </c>
      <c r="K60">
        <f t="shared" si="6"/>
        <v>9.8425249999999995E-3</v>
      </c>
      <c r="O60" s="249">
        <f t="shared" si="0"/>
        <v>45473</v>
      </c>
      <c r="P60">
        <f>IF(A60&gt;Input_!$C$32,+P59,(IF(A60&lt;Input_!$C$23,"",('Budget (2)'!A60-Input_!$C$23)*Input_!$C$76+Input_!$C$25)))</f>
        <v>41.020408163265309</v>
      </c>
      <c r="Q60">
        <f>(+P60*Input_!$C$18)+R60</f>
        <v>15.997959183673473</v>
      </c>
      <c r="R60">
        <f>+P60*Input_!$C$19</f>
        <v>7.793877551020409</v>
      </c>
      <c r="S60">
        <f t="shared" si="7"/>
        <v>8.2040816326530646</v>
      </c>
      <c r="T60">
        <f t="shared" si="14"/>
        <v>11.89591836734694</v>
      </c>
      <c r="U60">
        <f t="shared" si="18"/>
        <v>13.127139569562631</v>
      </c>
      <c r="V60">
        <f t="shared" si="9"/>
        <v>0.32001484522814372</v>
      </c>
      <c r="W60">
        <f t="shared" si="19"/>
        <v>10.569999999999999</v>
      </c>
      <c r="X60">
        <f t="shared" si="13"/>
        <v>81.906393245798014</v>
      </c>
      <c r="Y60">
        <f t="shared" si="20"/>
        <v>2.8696865889999992</v>
      </c>
      <c r="Z60">
        <f t="shared" si="21"/>
        <v>1</v>
      </c>
    </row>
    <row r="61" spans="1:26" x14ac:dyDescent="0.2">
      <c r="A61" s="249">
        <f>IF(A60="","",IF((1+A60)&lt;Input_!$C$36,1+A60,""))</f>
        <v>45474</v>
      </c>
      <c r="B61">
        <v>0.23</v>
      </c>
      <c r="C61">
        <v>1.0733333333333328</v>
      </c>
      <c r="D61">
        <f t="shared" si="2"/>
        <v>0.23613333333333322</v>
      </c>
      <c r="E61">
        <v>0.14015755599999999</v>
      </c>
      <c r="G61" s="270"/>
      <c r="H61" s="250">
        <f t="shared" si="15"/>
        <v>0.6452587257668021</v>
      </c>
      <c r="I61">
        <f t="shared" si="16"/>
        <v>5.3964699146782742</v>
      </c>
      <c r="J61">
        <f t="shared" si="17"/>
        <v>2.9667953914441725</v>
      </c>
      <c r="K61">
        <f t="shared" si="6"/>
        <v>0.14015755599999999</v>
      </c>
      <c r="O61" s="249">
        <f t="shared" si="0"/>
        <v>45474</v>
      </c>
      <c r="P61">
        <f>IF(A61&gt;Input_!$C$32,+P60,(IF(A61&lt;Input_!$C$23,"",('Budget (2)'!A61-Input_!$C$23)*Input_!$C$76+Input_!$C$25)))</f>
        <v>41.816326530612244</v>
      </c>
      <c r="Q61">
        <f>(+P61*Input_!$C$18)+R61</f>
        <v>16.308367346938773</v>
      </c>
      <c r="R61">
        <f>+P61*Input_!$C$19</f>
        <v>7.9451020408163266</v>
      </c>
      <c r="S61">
        <f t="shared" si="7"/>
        <v>8.3632653061224467</v>
      </c>
      <c r="T61">
        <f t="shared" si="14"/>
        <v>12.12673469387755</v>
      </c>
      <c r="U61">
        <f t="shared" si="18"/>
        <v>13.341571955494601</v>
      </c>
      <c r="V61">
        <f t="shared" si="9"/>
        <v>0.31905174515336038</v>
      </c>
      <c r="W61">
        <f t="shared" si="19"/>
        <v>10.79</v>
      </c>
      <c r="X61">
        <f t="shared" si="13"/>
        <v>84.124126366219556</v>
      </c>
      <c r="Y61">
        <f t="shared" si="20"/>
        <v>3.0098441449999993</v>
      </c>
      <c r="Z61">
        <f t="shared" si="21"/>
        <v>1</v>
      </c>
    </row>
    <row r="62" spans="1:26" x14ac:dyDescent="0.2">
      <c r="A62" s="249">
        <f>IF(A61="","",IF((1+A61)&lt;Input_!$C$36,1+A61,""))</f>
        <v>45475</v>
      </c>
      <c r="B62">
        <v>0.22</v>
      </c>
      <c r="C62">
        <v>1.1049999999999995</v>
      </c>
      <c r="D62">
        <f t="shared" si="2"/>
        <v>0.22099999999999992</v>
      </c>
      <c r="E62">
        <v>0.35000018900000002</v>
      </c>
      <c r="F62">
        <v>1</v>
      </c>
      <c r="G62" s="270"/>
      <c r="H62" s="250">
        <f t="shared" si="15"/>
        <v>0.78435832155228813</v>
      </c>
      <c r="I62">
        <f t="shared" si="16"/>
        <v>6.6846537771476626</v>
      </c>
      <c r="J62">
        <f t="shared" si="17"/>
        <v>1.8377952024441733</v>
      </c>
      <c r="K62">
        <f t="shared" si="6"/>
        <v>0.35000018900000002</v>
      </c>
      <c r="O62" s="249">
        <f t="shared" si="0"/>
        <v>45475</v>
      </c>
      <c r="P62">
        <f>IF(A62&gt;Input_!$C$32,+P61,(IF(A62&lt;Input_!$C$23,"",('Budget (2)'!A62-Input_!$C$23)*Input_!$C$76+Input_!$C$25)))</f>
        <v>42.612244897959187</v>
      </c>
      <c r="Q62">
        <f>(+P62*Input_!$C$18)+R62</f>
        <v>16.618775510204081</v>
      </c>
      <c r="R62">
        <f>+P62*Input_!$C$19</f>
        <v>8.0963265306122452</v>
      </c>
      <c r="S62">
        <f t="shared" si="7"/>
        <v>8.5224489795918359</v>
      </c>
      <c r="T62">
        <f t="shared" si="14"/>
        <v>12.357551020408163</v>
      </c>
      <c r="U62">
        <f t="shared" si="18"/>
        <v>14.780980307759908</v>
      </c>
      <c r="V62">
        <f t="shared" si="9"/>
        <v>0.34687166431045757</v>
      </c>
      <c r="W62">
        <f t="shared" si="19"/>
        <v>10.989999999999998</v>
      </c>
      <c r="X62">
        <f t="shared" si="13"/>
        <v>111.16328686462066</v>
      </c>
      <c r="Y62">
        <f t="shared" si="20"/>
        <v>3.3598443339999995</v>
      </c>
      <c r="Z62">
        <f t="shared" si="21"/>
        <v>2</v>
      </c>
    </row>
    <row r="63" spans="1:26" x14ac:dyDescent="0.2">
      <c r="A63" s="249">
        <f>IF(A62="","",IF((1+A62)&lt;Input_!$C$36,1+A62,""))</f>
        <v>45476</v>
      </c>
      <c r="B63">
        <v>0.2</v>
      </c>
      <c r="C63">
        <v>1.1366666666666663</v>
      </c>
      <c r="D63">
        <f t="shared" si="2"/>
        <v>0.26143333333333324</v>
      </c>
      <c r="E63">
        <v>0</v>
      </c>
      <c r="G63" s="270"/>
      <c r="H63" s="250">
        <f t="shared" si="15"/>
        <v>0.75819887575670475</v>
      </c>
      <c r="I63">
        <f t="shared" si="16"/>
        <v>6.5824041172837191</v>
      </c>
      <c r="J63">
        <f t="shared" si="17"/>
        <v>2.099228535777506</v>
      </c>
      <c r="K63" t="str">
        <f t="shared" si="6"/>
        <v/>
      </c>
      <c r="O63" s="249">
        <f t="shared" si="0"/>
        <v>45476</v>
      </c>
      <c r="P63">
        <f>IF(A63&gt;Input_!$C$32,+P62,(IF(A63&lt;Input_!$C$23,"",('Budget (2)'!A63-Input_!$C$23)*Input_!$C$76+Input_!$C$25)))</f>
        <v>43.408163265306122</v>
      </c>
      <c r="Q63">
        <f>(+P63*Input_!$C$18)+R63</f>
        <v>16.929183673469389</v>
      </c>
      <c r="R63">
        <f>+P63*Input_!$C$19</f>
        <v>8.2475510204081637</v>
      </c>
      <c r="S63">
        <f t="shared" si="7"/>
        <v>8.6816326530612251</v>
      </c>
      <c r="T63">
        <f t="shared" si="14"/>
        <v>12.588367346938776</v>
      </c>
      <c r="U63">
        <f t="shared" si="18"/>
        <v>14.829955137691883</v>
      </c>
      <c r="V63">
        <f t="shared" si="9"/>
        <v>0.34163977515134097</v>
      </c>
      <c r="W63">
        <f t="shared" si="19"/>
        <v>11.219999999999999</v>
      </c>
      <c r="X63">
        <f t="shared" si="13"/>
        <v>110.20512510441468</v>
      </c>
      <c r="Y63">
        <f t="shared" si="20"/>
        <v>3.3598443339999995</v>
      </c>
      <c r="Z63">
        <f t="shared" si="21"/>
        <v>2</v>
      </c>
    </row>
    <row r="64" spans="1:26" x14ac:dyDescent="0.2">
      <c r="A64" s="249">
        <f>IF(A63="","",IF((1+A63)&lt;Input_!$C$36,1+A63,""))</f>
        <v>45477</v>
      </c>
      <c r="B64">
        <v>0.23</v>
      </c>
      <c r="C64">
        <v>1.168333333333333</v>
      </c>
      <c r="D64">
        <f t="shared" si="2"/>
        <v>0.17524999999999993</v>
      </c>
      <c r="E64">
        <v>0.179921357</v>
      </c>
      <c r="G64" s="270"/>
      <c r="H64" s="250">
        <f t="shared" si="15"/>
        <v>0.76308102086773399</v>
      </c>
      <c r="I64">
        <f t="shared" si="16"/>
        <v>6.7462591477531095</v>
      </c>
      <c r="J64">
        <f t="shared" si="17"/>
        <v>2.094557178777503</v>
      </c>
      <c r="K64">
        <f t="shared" si="6"/>
        <v>0.179921357</v>
      </c>
      <c r="O64" s="249">
        <f t="shared" si="0"/>
        <v>45477</v>
      </c>
      <c r="P64">
        <f>IF(A64&gt;Input_!$C$32,+P63,(IF(A64&lt;Input_!$C$23,"",('Budget (2)'!A64-Input_!$C$23)*Input_!$C$76+Input_!$C$25)))</f>
        <v>44.204081632653057</v>
      </c>
      <c r="Q64">
        <f>(+P64*Input_!$C$18)+R64</f>
        <v>17.239591836734693</v>
      </c>
      <c r="R64">
        <f>+P64*Input_!$C$19</f>
        <v>8.3987755102040804</v>
      </c>
      <c r="S64">
        <f t="shared" si="7"/>
        <v>8.8408163265306126</v>
      </c>
      <c r="T64">
        <f t="shared" si="14"/>
        <v>12.819183673469386</v>
      </c>
      <c r="U64">
        <f t="shared" si="18"/>
        <v>15.14503465795719</v>
      </c>
      <c r="V64">
        <f t="shared" si="9"/>
        <v>0.34261620417354682</v>
      </c>
      <c r="W64">
        <f t="shared" si="19"/>
        <v>11.37</v>
      </c>
      <c r="X64">
        <f t="shared" si="13"/>
        <v>114.99151227775096</v>
      </c>
      <c r="Y64">
        <f t="shared" si="20"/>
        <v>3.5397656909999995</v>
      </c>
      <c r="Z64">
        <f t="shared" si="21"/>
        <v>2</v>
      </c>
    </row>
    <row r="65" spans="1:26" x14ac:dyDescent="0.2">
      <c r="A65" s="249">
        <f>IF(A64="","",IF((1+A64)&lt;Input_!$C$36,1+A64,""))</f>
        <v>45478</v>
      </c>
      <c r="B65">
        <v>0.15</v>
      </c>
      <c r="C65">
        <v>1.1999999999999997</v>
      </c>
      <c r="D65">
        <f t="shared" si="2"/>
        <v>0.25199999999999995</v>
      </c>
      <c r="E65">
        <v>0</v>
      </c>
      <c r="G65" s="270"/>
      <c r="H65" s="250">
        <f t="shared" si="15"/>
        <v>0.73927142458027761</v>
      </c>
      <c r="I65">
        <f t="shared" si="16"/>
        <v>6.6534428212224981</v>
      </c>
      <c r="J65">
        <f t="shared" si="17"/>
        <v>2.3465571787775019</v>
      </c>
      <c r="K65" t="str">
        <f t="shared" si="6"/>
        <v/>
      </c>
      <c r="O65" s="249">
        <f t="shared" si="0"/>
        <v>45478</v>
      </c>
      <c r="P65">
        <f>IF(A65&gt;Input_!$C$32,+P64,(IF(A65&lt;Input_!$C$23,"",('Budget (2)'!A65-Input_!$C$23)*Input_!$C$76+Input_!$C$25)))</f>
        <v>45</v>
      </c>
      <c r="Q65">
        <f>(+P65*Input_!$C$18)+R65</f>
        <v>17.55</v>
      </c>
      <c r="R65">
        <f>+P65*Input_!$C$19</f>
        <v>8.5500000000000007</v>
      </c>
      <c r="S65">
        <f t="shared" si="7"/>
        <v>9</v>
      </c>
      <c r="T65">
        <f t="shared" si="14"/>
        <v>13.05</v>
      </c>
      <c r="U65">
        <f t="shared" si="18"/>
        <v>15.203442821222499</v>
      </c>
      <c r="V65">
        <f t="shared" si="9"/>
        <v>0.33785428491605551</v>
      </c>
      <c r="W65">
        <f t="shared" si="19"/>
        <v>11.58</v>
      </c>
      <c r="X65">
        <f t="shared" si="13"/>
        <v>114.20523749672955</v>
      </c>
      <c r="Y65">
        <f t="shared" si="20"/>
        <v>3.5397656909999995</v>
      </c>
      <c r="Z65">
        <f t="shared" si="21"/>
        <v>2</v>
      </c>
    </row>
    <row r="66" spans="1:26" x14ac:dyDescent="0.2">
      <c r="A66" s="249">
        <f>IF(A65="","",IF((1+A65)&lt;Input_!$C$36,1+A65,""))</f>
        <v>45479</v>
      </c>
      <c r="B66">
        <v>0.21</v>
      </c>
      <c r="C66">
        <f>Q5</f>
        <v>0.78243626224999996</v>
      </c>
      <c r="D66">
        <f t="shared" si="2"/>
        <v>7.041926360249999E-2</v>
      </c>
      <c r="E66">
        <v>0.179921357</v>
      </c>
      <c r="G66" s="270"/>
      <c r="H66" s="250">
        <f t="shared" si="15"/>
        <v>0.75575824602580177</v>
      </c>
      <c r="I66">
        <f t="shared" si="16"/>
        <v>6.9221285880893841</v>
      </c>
      <c r="J66">
        <f t="shared" si="17"/>
        <v>2.2370550853800033</v>
      </c>
      <c r="K66">
        <f t="shared" si="6"/>
        <v>0.179921357</v>
      </c>
      <c r="O66" s="249">
        <f t="shared" si="0"/>
        <v>45479</v>
      </c>
      <c r="P66">
        <f>IF(A66&gt;Input_!$C$32,+P65,(IF(A66&lt;Input_!$C$23,"",('Budget (2)'!A66-Input_!$C$23)*Input_!$C$76+Input_!$C$25)))</f>
        <v>45.795918367346935</v>
      </c>
      <c r="Q66">
        <f>(+P66*Input_!$C$18)+R66</f>
        <v>17.860408163265305</v>
      </c>
      <c r="R66">
        <f>+P66*Input_!$C$19</f>
        <v>8.7012244897959174</v>
      </c>
      <c r="S66">
        <f t="shared" si="7"/>
        <v>9.1591836734693874</v>
      </c>
      <c r="T66">
        <f t="shared" si="14"/>
        <v>13.280816326530612</v>
      </c>
      <c r="U66">
        <f t="shared" si="18"/>
        <v>15.623353077885302</v>
      </c>
      <c r="V66">
        <f t="shared" si="9"/>
        <v>0.34115164920516033</v>
      </c>
      <c r="W66">
        <f t="shared" si="19"/>
        <v>11.67</v>
      </c>
      <c r="X66">
        <f t="shared" si="13"/>
        <v>121.42767530877472</v>
      </c>
      <c r="Y66">
        <f t="shared" si="20"/>
        <v>3.7196870479999995</v>
      </c>
      <c r="Z66">
        <f t="shared" si="21"/>
        <v>2</v>
      </c>
    </row>
    <row r="67" spans="1:26" x14ac:dyDescent="0.2">
      <c r="A67" s="249">
        <f>IF(A66="","",IF((1+A66)&lt;Input_!$C$36,1+A66,""))</f>
        <v>45480</v>
      </c>
      <c r="B67">
        <v>0.09</v>
      </c>
      <c r="C67">
        <v>1.2</v>
      </c>
      <c r="D67">
        <f t="shared" si="2"/>
        <v>0.27600000000000002</v>
      </c>
      <c r="E67">
        <v>0.19015758299999999</v>
      </c>
      <c r="G67" s="270"/>
      <c r="H67" s="250">
        <f t="shared" si="15"/>
        <v>0.74638596787740619</v>
      </c>
      <c r="I67">
        <f t="shared" si="16"/>
        <v>6.8362861710893856</v>
      </c>
      <c r="J67">
        <f t="shared" si="17"/>
        <v>2.3228975023800018</v>
      </c>
      <c r="K67">
        <f t="shared" si="6"/>
        <v>0.19015758299999999</v>
      </c>
      <c r="O67" s="249">
        <f t="shared" si="0"/>
        <v>45480</v>
      </c>
      <c r="P67">
        <f>IF(A67&gt;Input_!$C$32,+P66,(IF(A67&lt;Input_!$C$23,"",('Budget (2)'!A67-Input_!$C$23)*Input_!$C$76+Input_!$C$25)))</f>
        <v>45.795918367346935</v>
      </c>
      <c r="Q67">
        <f>(+P67*Input_!$C$18)+R67</f>
        <v>17.860408163265305</v>
      </c>
      <c r="R67">
        <f>+P67*Input_!$C$19</f>
        <v>8.7012244897959174</v>
      </c>
      <c r="S67">
        <f t="shared" si="7"/>
        <v>9.1591836734693874</v>
      </c>
      <c r="T67">
        <f t="shared" si="14"/>
        <v>13.280816326530612</v>
      </c>
      <c r="U67">
        <f t="shared" si="18"/>
        <v>15.537510660885303</v>
      </c>
      <c r="V67">
        <f t="shared" si="9"/>
        <v>0.33927719357548125</v>
      </c>
      <c r="W67">
        <f t="shared" si="19"/>
        <v>11.9</v>
      </c>
      <c r="X67">
        <f t="shared" si="13"/>
        <v>119.49968559069471</v>
      </c>
      <c r="Y67">
        <f t="shared" si="20"/>
        <v>3.9098446309999995</v>
      </c>
      <c r="Z67">
        <f t="shared" si="21"/>
        <v>2</v>
      </c>
    </row>
    <row r="68" spans="1:26" x14ac:dyDescent="0.2">
      <c r="A68" s="249">
        <f>IF(A67="","",IF((1+A67)&lt;Input_!$C$36,1+A67,""))</f>
        <v>45481</v>
      </c>
      <c r="B68">
        <v>0.23</v>
      </c>
      <c r="C68">
        <v>1.2</v>
      </c>
      <c r="D68">
        <f t="shared" si="2"/>
        <v>0.28799999999999998</v>
      </c>
      <c r="E68">
        <v>9.0157529E-2</v>
      </c>
      <c r="G68" s="270"/>
      <c r="H68" s="250">
        <f t="shared" si="15"/>
        <v>0.7247855198404185</v>
      </c>
      <c r="I68">
        <f t="shared" si="16"/>
        <v>6.6384437000893843</v>
      </c>
      <c r="J68">
        <f t="shared" si="17"/>
        <v>2.5207399733800031</v>
      </c>
      <c r="K68">
        <f t="shared" si="6"/>
        <v>9.0157529E-2</v>
      </c>
      <c r="O68" s="249">
        <f t="shared" si="0"/>
        <v>45481</v>
      </c>
      <c r="P68">
        <f>IF(A68&gt;Input_!$C$32,+P67,(IF(A68&lt;Input_!$C$23,"",('Budget (2)'!A68-Input_!$C$23)*Input_!$C$76+Input_!$C$25)))</f>
        <v>45.795918367346935</v>
      </c>
      <c r="Q68">
        <f>(+P68*Input_!$C$18)+R68</f>
        <v>17.860408163265305</v>
      </c>
      <c r="R68">
        <f>+P68*Input_!$C$19</f>
        <v>8.7012244897959174</v>
      </c>
      <c r="S68">
        <f t="shared" si="7"/>
        <v>9.1591836734693874</v>
      </c>
      <c r="T68">
        <f t="shared" si="14"/>
        <v>13.280816326530612</v>
      </c>
      <c r="U68">
        <f t="shared" si="18"/>
        <v>15.339668189885302</v>
      </c>
      <c r="V68">
        <f t="shared" si="9"/>
        <v>0.3349571039680837</v>
      </c>
      <c r="W68">
        <f t="shared" si="19"/>
        <v>12.14</v>
      </c>
      <c r="X68">
        <f t="shared" si="13"/>
        <v>115.11233998313622</v>
      </c>
      <c r="Y68">
        <f t="shared" si="20"/>
        <v>4.0000021599999993</v>
      </c>
      <c r="Z68">
        <f t="shared" si="21"/>
        <v>2</v>
      </c>
    </row>
    <row r="69" spans="1:26" x14ac:dyDescent="0.2">
      <c r="A69" s="249">
        <f>IF(A68="","",IF((1+A68)&lt;Input_!$C$36,1+A68,""))</f>
        <v>45482</v>
      </c>
      <c r="B69">
        <v>0.24</v>
      </c>
      <c r="C69">
        <v>1.2</v>
      </c>
      <c r="D69">
        <f t="shared" si="2"/>
        <v>0.312</v>
      </c>
      <c r="E69">
        <v>0</v>
      </c>
      <c r="F69">
        <v>0</v>
      </c>
      <c r="G69" s="270"/>
      <c r="H69" s="250">
        <f t="shared" si="15"/>
        <v>0.69072134871742419</v>
      </c>
      <c r="I69">
        <f t="shared" si="16"/>
        <v>6.3264437000893867</v>
      </c>
      <c r="J69">
        <f t="shared" si="17"/>
        <v>2.8327399733800007</v>
      </c>
      <c r="K69" t="str">
        <f t="shared" si="6"/>
        <v/>
      </c>
      <c r="O69" s="249">
        <f t="shared" si="0"/>
        <v>45482</v>
      </c>
      <c r="P69">
        <f>IF(A69&gt;Input_!$C$32,+P68,(IF(A69&lt;Input_!$C$23,"",('Budget (2)'!A69-Input_!$C$23)*Input_!$C$76+Input_!$C$25)))</f>
        <v>45.795918367346935</v>
      </c>
      <c r="Q69">
        <f>(+P69*Input_!$C$18)+R69</f>
        <v>17.860408163265305</v>
      </c>
      <c r="R69">
        <f>+P69*Input_!$C$19</f>
        <v>8.7012244897959174</v>
      </c>
      <c r="S69">
        <f t="shared" si="7"/>
        <v>9.1591836734693874</v>
      </c>
      <c r="T69">
        <f t="shared" si="14"/>
        <v>13.280816326530612</v>
      </c>
      <c r="U69">
        <f t="shared" si="18"/>
        <v>15.027668189885304</v>
      </c>
      <c r="V69">
        <f t="shared" si="9"/>
        <v>0.32814426974348482</v>
      </c>
      <c r="W69">
        <f t="shared" si="19"/>
        <v>12.4</v>
      </c>
      <c r="X69">
        <f t="shared" si="13"/>
        <v>108.35251307346417</v>
      </c>
      <c r="Y69">
        <f t="shared" si="20"/>
        <v>4.0000021599999993</v>
      </c>
      <c r="Z69">
        <f t="shared" si="21"/>
        <v>2</v>
      </c>
    </row>
    <row r="70" spans="1:26" x14ac:dyDescent="0.2">
      <c r="A70" s="249">
        <f>IF(A69="","",IF((1+A69)&lt;Input_!$C$36,1+A69,""))</f>
        <v>45483</v>
      </c>
      <c r="B70">
        <v>0.26</v>
      </c>
      <c r="C70">
        <v>1.2</v>
      </c>
      <c r="D70">
        <f t="shared" si="2"/>
        <v>0.312</v>
      </c>
      <c r="E70">
        <v>0</v>
      </c>
      <c r="F70">
        <v>0</v>
      </c>
      <c r="G70" s="270"/>
      <c r="H70" s="250">
        <f t="shared" si="15"/>
        <v>0.65665717759442976</v>
      </c>
      <c r="I70">
        <f t="shared" si="16"/>
        <v>6.0144437000893891</v>
      </c>
      <c r="J70">
        <f t="shared" si="17"/>
        <v>3.1447399733799983</v>
      </c>
      <c r="K70" t="str">
        <f t="shared" si="6"/>
        <v/>
      </c>
      <c r="O70" s="249">
        <f t="shared" si="0"/>
        <v>45483</v>
      </c>
      <c r="P70">
        <f>IF(A70&gt;Input_!$C$32,+P69,(IF(A70&lt;Input_!$C$23,"",('Budget (2)'!A70-Input_!$C$23)*Input_!$C$76+Input_!$C$25)))</f>
        <v>45.795918367346935</v>
      </c>
      <c r="Q70">
        <f>(+P70*Input_!$C$18)+R70</f>
        <v>17.860408163265305</v>
      </c>
      <c r="R70">
        <f>+P70*Input_!$C$19</f>
        <v>8.7012244897959174</v>
      </c>
      <c r="S70">
        <f t="shared" si="7"/>
        <v>9.1591836734693874</v>
      </c>
      <c r="T70">
        <f t="shared" si="14"/>
        <v>13.280816326530612</v>
      </c>
      <c r="U70">
        <f t="shared" si="18"/>
        <v>14.715668189885307</v>
      </c>
      <c r="V70">
        <f t="shared" si="9"/>
        <v>0.32133143551888593</v>
      </c>
      <c r="W70">
        <f t="shared" si="19"/>
        <v>12.66</v>
      </c>
      <c r="X70">
        <f t="shared" si="13"/>
        <v>101.78737416379212</v>
      </c>
      <c r="Y70">
        <f t="shared" si="20"/>
        <v>4.0000021599999993</v>
      </c>
      <c r="Z70">
        <f t="shared" si="21"/>
        <v>2</v>
      </c>
    </row>
    <row r="71" spans="1:26" x14ac:dyDescent="0.2">
      <c r="A71" s="249">
        <f>IF(A70="","",IF((1+A70)&lt;Input_!$C$36,1+A70,""))</f>
        <v>45484</v>
      </c>
      <c r="B71">
        <v>0.26</v>
      </c>
      <c r="C71">
        <v>1.2</v>
      </c>
      <c r="D71">
        <f t="shared" si="2"/>
        <v>0.36</v>
      </c>
      <c r="E71">
        <v>0</v>
      </c>
      <c r="G71" s="270"/>
      <c r="H71" s="250">
        <f t="shared" si="15"/>
        <v>0.61735236476020527</v>
      </c>
      <c r="I71">
        <f t="shared" si="16"/>
        <v>5.6544437000893897</v>
      </c>
      <c r="J71">
        <f t="shared" si="17"/>
        <v>3.5047399733799978</v>
      </c>
      <c r="K71" t="str">
        <f t="shared" si="6"/>
        <v/>
      </c>
      <c r="O71" s="249">
        <f t="shared" si="0"/>
        <v>45484</v>
      </c>
      <c r="P71">
        <f>IF(A71&gt;Input_!$C$32,+P70,(IF(A71&lt;Input_!$C$23,"",('Budget (2)'!A71-Input_!$C$23)*Input_!$C$76+Input_!$C$25)))</f>
        <v>45.795918367346935</v>
      </c>
      <c r="Q71">
        <f>(+P71*Input_!$C$18)+R71</f>
        <v>17.860408163265305</v>
      </c>
      <c r="R71">
        <f>+P71*Input_!$C$19</f>
        <v>8.7012244897959174</v>
      </c>
      <c r="S71">
        <f t="shared" si="7"/>
        <v>9.1591836734693874</v>
      </c>
      <c r="T71">
        <f t="shared" si="14"/>
        <v>13.280816326530612</v>
      </c>
      <c r="U71">
        <f t="shared" si="18"/>
        <v>14.355668189885307</v>
      </c>
      <c r="V71">
        <f t="shared" si="9"/>
        <v>0.31347047295204106</v>
      </c>
      <c r="W71">
        <f t="shared" si="19"/>
        <v>12.96</v>
      </c>
      <c r="X71">
        <f t="shared" si="13"/>
        <v>94.454133883401241</v>
      </c>
      <c r="Y71">
        <f t="shared" si="20"/>
        <v>4.0000021599999993</v>
      </c>
      <c r="Z71">
        <f t="shared" si="21"/>
        <v>2</v>
      </c>
    </row>
    <row r="72" spans="1:26" x14ac:dyDescent="0.2">
      <c r="A72" s="249">
        <f>IF(A71="","",IF((1+A71)&lt;Input_!$C$36,1+A71,""))</f>
        <v>45485</v>
      </c>
      <c r="B72">
        <v>0.3</v>
      </c>
      <c r="C72">
        <f>R5</f>
        <v>0.8257884405</v>
      </c>
      <c r="D72">
        <f t="shared" si="2"/>
        <v>0.23122076334000002</v>
      </c>
      <c r="E72">
        <v>0</v>
      </c>
      <c r="G72" s="270"/>
      <c r="H72" s="250">
        <f t="shared" si="15"/>
        <v>0.59210767357557981</v>
      </c>
      <c r="I72">
        <f t="shared" si="16"/>
        <v>5.4232229367493918</v>
      </c>
      <c r="J72">
        <f t="shared" si="17"/>
        <v>3.7359607367199956</v>
      </c>
      <c r="K72" t="str">
        <f t="shared" si="6"/>
        <v/>
      </c>
      <c r="O72" s="249">
        <f t="shared" si="0"/>
        <v>45485</v>
      </c>
      <c r="P72">
        <f>IF(A72&gt;Input_!$C$32,+P71,(IF(A72&lt;Input_!$C$23,"",('Budget (2)'!A72-Input_!$C$23)*Input_!$C$76+Input_!$C$25)))</f>
        <v>45.795918367346935</v>
      </c>
      <c r="Q72">
        <f>(+P72*Input_!$C$18)+R72</f>
        <v>17.860408163265305</v>
      </c>
      <c r="R72">
        <f>+P72*Input_!$C$19</f>
        <v>8.7012244897959174</v>
      </c>
      <c r="S72">
        <f t="shared" si="7"/>
        <v>9.1591836734693874</v>
      </c>
      <c r="T72">
        <f t="shared" si="14"/>
        <v>13.280816326530612</v>
      </c>
      <c r="U72">
        <f t="shared" si="18"/>
        <v>14.124447426545309</v>
      </c>
      <c r="V72">
        <f t="shared" si="9"/>
        <v>0.30842153471511596</v>
      </c>
      <c r="W72">
        <f t="shared" si="19"/>
        <v>13.24</v>
      </c>
      <c r="X72">
        <f t="shared" si="13"/>
        <v>89.880843579082054</v>
      </c>
      <c r="Y72">
        <f t="shared" si="20"/>
        <v>4.0000021599999993</v>
      </c>
      <c r="Z72">
        <f t="shared" si="21"/>
        <v>2</v>
      </c>
    </row>
    <row r="73" spans="1:26" x14ac:dyDescent="0.2">
      <c r="A73" s="249">
        <f>IF(A72="","",IF((1+A72)&lt;Input_!$C$36,1+A72,""))</f>
        <v>45486</v>
      </c>
      <c r="B73">
        <v>0.28000000000000003</v>
      </c>
      <c r="C73">
        <v>1.2</v>
      </c>
      <c r="D73">
        <f t="shared" si="2"/>
        <v>0.36</v>
      </c>
      <c r="E73">
        <v>0</v>
      </c>
      <c r="G73" s="270"/>
      <c r="H73" s="250">
        <f t="shared" si="15"/>
        <v>0.55280286074135521</v>
      </c>
      <c r="I73">
        <f t="shared" si="16"/>
        <v>5.0632229367493924</v>
      </c>
      <c r="J73">
        <f t="shared" si="17"/>
        <v>4.0959607367199951</v>
      </c>
      <c r="K73" t="str">
        <f t="shared" si="6"/>
        <v/>
      </c>
      <c r="O73" s="249">
        <f t="shared" si="0"/>
        <v>45486</v>
      </c>
      <c r="P73">
        <f>IF(A73&gt;Input_!$C$32,+P72,(IF(A73&lt;Input_!$C$23,"",('Budget (2)'!A73-Input_!$C$23)*Input_!$C$76+Input_!$C$25)))</f>
        <v>45.795918367346935</v>
      </c>
      <c r="Q73">
        <f>(+P73*Input_!$C$18)+R73</f>
        <v>17.860408163265305</v>
      </c>
      <c r="R73">
        <f>+P73*Input_!$C$19</f>
        <v>8.7012244897959174</v>
      </c>
      <c r="S73">
        <f t="shared" si="7"/>
        <v>9.1591836734693874</v>
      </c>
      <c r="T73">
        <f t="shared" si="14"/>
        <v>13.280816326530612</v>
      </c>
      <c r="U73">
        <f t="shared" si="18"/>
        <v>13.76444742654531</v>
      </c>
      <c r="V73">
        <f t="shared" si="9"/>
        <v>0.30056057214827103</v>
      </c>
      <c r="W73">
        <f t="shared" si="19"/>
        <v>13.540000000000001</v>
      </c>
      <c r="X73">
        <f t="shared" si="13"/>
        <v>82.973282248295973</v>
      </c>
      <c r="Y73">
        <f t="shared" si="20"/>
        <v>4.0000021599999993</v>
      </c>
      <c r="Z73">
        <f t="shared" si="21"/>
        <v>2</v>
      </c>
    </row>
    <row r="74" spans="1:26" x14ac:dyDescent="0.2">
      <c r="A74" s="249">
        <f>IF(A73="","",IF((1+A73)&lt;Input_!$C$36,1+A73,""))</f>
        <v>45487</v>
      </c>
      <c r="B74">
        <v>0.3</v>
      </c>
      <c r="C74">
        <v>1.2</v>
      </c>
      <c r="D74">
        <f t="shared" si="2"/>
        <v>0.36</v>
      </c>
      <c r="E74">
        <v>0</v>
      </c>
      <c r="G74" s="270"/>
      <c r="H74" s="250">
        <f t="shared" si="15"/>
        <v>0.51349804790713072</v>
      </c>
      <c r="I74">
        <f t="shared" si="16"/>
        <v>4.703222936749393</v>
      </c>
      <c r="J74">
        <f t="shared" si="17"/>
        <v>4.4559607367199945</v>
      </c>
      <c r="K74" t="str">
        <f t="shared" si="6"/>
        <v/>
      </c>
      <c r="O74" s="249">
        <f t="shared" si="0"/>
        <v>45487</v>
      </c>
      <c r="P74">
        <f>IF(A74&gt;Input_!$C$32,+P73,(IF(A74&lt;Input_!$C$23,"",('Budget (2)'!A74-Input_!$C$23)*Input_!$C$76+Input_!$C$25)))</f>
        <v>45.795918367346935</v>
      </c>
      <c r="Q74">
        <f>(+P74*Input_!$C$18)+R74</f>
        <v>17.860408163265305</v>
      </c>
      <c r="R74">
        <f>+P74*Input_!$C$19</f>
        <v>8.7012244897959174</v>
      </c>
      <c r="S74">
        <f t="shared" si="7"/>
        <v>9.1591836734693874</v>
      </c>
      <c r="T74">
        <f t="shared" si="14"/>
        <v>13.280816326530612</v>
      </c>
      <c r="U74">
        <f t="shared" si="18"/>
        <v>13.40444742654531</v>
      </c>
      <c r="V74">
        <f t="shared" si="9"/>
        <v>0.29269960958142616</v>
      </c>
      <c r="W74">
        <f t="shared" si="19"/>
        <v>13.840000000000002</v>
      </c>
      <c r="X74">
        <f t="shared" si="13"/>
        <v>76.3249209175099</v>
      </c>
      <c r="Y74">
        <f t="shared" si="20"/>
        <v>4.0000021599999993</v>
      </c>
      <c r="Z74">
        <f t="shared" si="21"/>
        <v>2</v>
      </c>
    </row>
    <row r="75" spans="1:26" x14ac:dyDescent="0.2">
      <c r="A75" s="249">
        <f>IF(A74="","",IF((1+A74)&lt;Input_!$C$36,1+A74,""))</f>
        <v>45488</v>
      </c>
      <c r="B75">
        <v>0.3</v>
      </c>
      <c r="C75">
        <v>1.2</v>
      </c>
      <c r="D75">
        <f t="shared" si="2"/>
        <v>0.26400000000000001</v>
      </c>
      <c r="E75">
        <v>0</v>
      </c>
      <c r="G75" s="270"/>
      <c r="H75" s="250">
        <f t="shared" si="15"/>
        <v>0.48467451849536608</v>
      </c>
      <c r="I75">
        <f t="shared" si="16"/>
        <v>4.4392229367493936</v>
      </c>
      <c r="J75">
        <f t="shared" si="17"/>
        <v>4.7199607367199938</v>
      </c>
      <c r="K75" t="str">
        <f t="shared" si="6"/>
        <v/>
      </c>
      <c r="O75" s="249">
        <f t="shared" si="0"/>
        <v>45488</v>
      </c>
      <c r="P75">
        <f>IF(A75&gt;Input_!$C$32,+P74,(IF(A75&lt;Input_!$C$23,"",('Budget (2)'!A75-Input_!$C$23)*Input_!$C$76+Input_!$C$25)))</f>
        <v>45.795918367346935</v>
      </c>
      <c r="Q75">
        <f>(+P75*Input_!$C$18)+R75</f>
        <v>17.860408163265305</v>
      </c>
      <c r="R75">
        <f>+P75*Input_!$C$19</f>
        <v>8.7012244897959174</v>
      </c>
      <c r="S75">
        <f t="shared" si="7"/>
        <v>9.1591836734693874</v>
      </c>
      <c r="T75">
        <f t="shared" si="14"/>
        <v>13.280816326530612</v>
      </c>
      <c r="U75">
        <f t="shared" si="18"/>
        <v>13.140447426545311</v>
      </c>
      <c r="V75">
        <f t="shared" si="9"/>
        <v>0.28693490369907321</v>
      </c>
      <c r="W75">
        <f t="shared" si="19"/>
        <v>14.060000000000002</v>
      </c>
      <c r="X75">
        <f t="shared" si="13"/>
        <v>71.614191941600097</v>
      </c>
      <c r="Y75">
        <f t="shared" si="20"/>
        <v>4.0000021599999993</v>
      </c>
      <c r="Z75">
        <f t="shared" si="21"/>
        <v>2</v>
      </c>
    </row>
    <row r="76" spans="1:26" x14ac:dyDescent="0.2">
      <c r="A76" s="249">
        <f>IF(A75="","",IF((1+A75)&lt;Input_!$C$36,1+A75,""))</f>
        <v>45489</v>
      </c>
      <c r="B76">
        <v>0.22</v>
      </c>
      <c r="C76">
        <v>1.2</v>
      </c>
      <c r="D76">
        <f t="shared" si="2"/>
        <v>0.24</v>
      </c>
      <c r="E76">
        <v>0</v>
      </c>
      <c r="F76">
        <v>0</v>
      </c>
      <c r="G76" s="270"/>
      <c r="H76" s="250">
        <f t="shared" si="15"/>
        <v>0.45847130993921653</v>
      </c>
      <c r="I76">
        <f t="shared" si="16"/>
        <v>4.1992229367493952</v>
      </c>
      <c r="J76">
        <f t="shared" si="17"/>
        <v>4.9599607367199923</v>
      </c>
      <c r="K76" t="str">
        <f t="shared" si="6"/>
        <v/>
      </c>
      <c r="O76" s="249">
        <f t="shared" si="0"/>
        <v>45489</v>
      </c>
      <c r="P76">
        <f>IF(A76&gt;Input_!$C$32,+P75,(IF(A76&lt;Input_!$C$23,"",('Budget (2)'!A76-Input_!$C$23)*Input_!$C$76+Input_!$C$25)))</f>
        <v>45.795918367346935</v>
      </c>
      <c r="Q76">
        <f>(+P76*Input_!$C$18)+R76</f>
        <v>17.860408163265305</v>
      </c>
      <c r="R76">
        <f>+P76*Input_!$C$19</f>
        <v>8.7012244897959174</v>
      </c>
      <c r="S76">
        <f t="shared" si="7"/>
        <v>9.1591836734693874</v>
      </c>
      <c r="T76">
        <f t="shared" si="14"/>
        <v>13.280816326530612</v>
      </c>
      <c r="U76">
        <f t="shared" si="18"/>
        <v>12.900447426545313</v>
      </c>
      <c r="V76">
        <f t="shared" si="9"/>
        <v>0.28169426198784331</v>
      </c>
      <c r="W76">
        <f t="shared" si="19"/>
        <v>14.260000000000002</v>
      </c>
      <c r="X76">
        <f t="shared" si="13"/>
        <v>67.452671054409393</v>
      </c>
      <c r="Y76">
        <f t="shared" si="20"/>
        <v>4.0000021599999993</v>
      </c>
      <c r="Z76">
        <f t="shared" si="21"/>
        <v>2</v>
      </c>
    </row>
    <row r="77" spans="1:26" x14ac:dyDescent="0.2">
      <c r="A77" s="249">
        <f>IF(A76="","",IF((1+A76)&lt;Input_!$C$36,1+A76,""))</f>
        <v>45490</v>
      </c>
      <c r="B77">
        <v>0.2</v>
      </c>
      <c r="C77">
        <v>1.2</v>
      </c>
      <c r="D77">
        <f t="shared" si="2"/>
        <v>0.28799999999999998</v>
      </c>
      <c r="E77">
        <v>0</v>
      </c>
      <c r="F77">
        <v>0</v>
      </c>
      <c r="G77" s="270"/>
      <c r="H77" s="250">
        <f t="shared" si="15"/>
        <v>0.42702745967183681</v>
      </c>
      <c r="I77">
        <f t="shared" si="16"/>
        <v>3.9112229367493949</v>
      </c>
      <c r="J77">
        <f t="shared" si="17"/>
        <v>5.2479607367199925</v>
      </c>
      <c r="K77" t="str">
        <f t="shared" si="6"/>
        <v/>
      </c>
      <c r="O77" s="249">
        <f t="shared" si="0"/>
        <v>45490</v>
      </c>
      <c r="P77">
        <f>IF(A77&gt;Input_!$C$32,+P76,(IF(A77&lt;Input_!$C$23,"",('Budget (2)'!A77-Input_!$C$23)*Input_!$C$76+Input_!$C$25)))</f>
        <v>45.795918367346935</v>
      </c>
      <c r="Q77">
        <f>(+P77*Input_!$C$18)+R77</f>
        <v>17.860408163265305</v>
      </c>
      <c r="R77">
        <f>+P77*Input_!$C$19</f>
        <v>8.7012244897959174</v>
      </c>
      <c r="S77">
        <f t="shared" si="7"/>
        <v>9.1591836734693874</v>
      </c>
      <c r="T77">
        <f t="shared" si="14"/>
        <v>13.280816326530612</v>
      </c>
      <c r="U77">
        <f t="shared" si="18"/>
        <v>12.612447426545312</v>
      </c>
      <c r="V77">
        <f t="shared" si="9"/>
        <v>0.27540549193436736</v>
      </c>
      <c r="W77">
        <f t="shared" si="19"/>
        <v>14.500000000000002</v>
      </c>
      <c r="X77">
        <f t="shared" si="13"/>
        <v>62.610909989780517</v>
      </c>
      <c r="Y77">
        <f t="shared" si="20"/>
        <v>4.0000021599999993</v>
      </c>
      <c r="Z77">
        <f t="shared" si="21"/>
        <v>2</v>
      </c>
    </row>
    <row r="78" spans="1:26" x14ac:dyDescent="0.2">
      <c r="A78" s="249">
        <f>IF(A77="","",IF((1+A77)&lt;Input_!$C$36,1+A77,""))</f>
        <v>45491</v>
      </c>
      <c r="B78">
        <v>0.24</v>
      </c>
      <c r="C78">
        <v>1.2</v>
      </c>
      <c r="D78">
        <f t="shared" si="2"/>
        <v>0.24</v>
      </c>
      <c r="E78">
        <v>4.0157501999999998E-2</v>
      </c>
      <c r="G78" s="270"/>
      <c r="H78" s="250">
        <f t="shared" si="15"/>
        <v>0.40520864861568717</v>
      </c>
      <c r="I78">
        <f t="shared" si="16"/>
        <v>3.711380438749396</v>
      </c>
      <c r="J78">
        <f t="shared" si="17"/>
        <v>5.4478032347199914</v>
      </c>
      <c r="K78">
        <f t="shared" si="6"/>
        <v>4.0157501999999998E-2</v>
      </c>
      <c r="O78" s="249">
        <f t="shared" si="0"/>
        <v>45491</v>
      </c>
      <c r="P78">
        <f>IF(A78&gt;Input_!$C$32,+P77,(IF(A78&lt;Input_!$C$23,"",('Budget (2)'!A78-Input_!$C$23)*Input_!$C$76+Input_!$C$25)))</f>
        <v>45.795918367346935</v>
      </c>
      <c r="Q78">
        <f>(+P78*Input_!$C$18)+R78</f>
        <v>17.860408163265305</v>
      </c>
      <c r="R78">
        <f>+P78*Input_!$C$19</f>
        <v>8.7012244897959174</v>
      </c>
      <c r="S78">
        <f t="shared" si="7"/>
        <v>9.1591836734693874</v>
      </c>
      <c r="T78">
        <f t="shared" si="14"/>
        <v>13.280816326530612</v>
      </c>
      <c r="U78">
        <f t="shared" si="18"/>
        <v>12.412604928545313</v>
      </c>
      <c r="V78">
        <f t="shared" si="9"/>
        <v>0.27104172972313745</v>
      </c>
      <c r="W78">
        <f t="shared" si="19"/>
        <v>14.700000000000001</v>
      </c>
      <c r="X78">
        <f t="shared" si="13"/>
        <v>59.348715452258034</v>
      </c>
      <c r="Y78">
        <f t="shared" si="20"/>
        <v>4.0401596619999989</v>
      </c>
      <c r="Z78">
        <f t="shared" si="21"/>
        <v>2</v>
      </c>
    </row>
    <row r="79" spans="1:26" x14ac:dyDescent="0.2">
      <c r="A79" s="249">
        <f>IF(A78="","",IF((1+A78)&lt;Input_!$C$36,1+A78,""))</f>
        <v>45492</v>
      </c>
      <c r="B79">
        <v>0.2</v>
      </c>
      <c r="C79">
        <f>S5</f>
        <v>0.82991012225000005</v>
      </c>
      <c r="D79">
        <f t="shared" si="2"/>
        <v>0.1244865183375</v>
      </c>
      <c r="E79">
        <v>0</v>
      </c>
      <c r="G79" s="270"/>
      <c r="H79" s="250">
        <f t="shared" si="15"/>
        <v>0.3916172061055771</v>
      </c>
      <c r="I79">
        <f t="shared" si="16"/>
        <v>3.5868939204118977</v>
      </c>
      <c r="J79">
        <f t="shared" si="17"/>
        <v>5.5722897530574897</v>
      </c>
      <c r="K79" t="str">
        <f t="shared" si="6"/>
        <v/>
      </c>
      <c r="O79" s="249">
        <f t="shared" ref="O79:O116" si="22">+A79</f>
        <v>45492</v>
      </c>
      <c r="P79">
        <f>IF(A79&gt;Input_!$C$32,+P78,(IF(A79&lt;Input_!$C$23,"",('Budget (2)'!A79-Input_!$C$23)*Input_!$C$76+Input_!$C$25)))</f>
        <v>45.795918367346935</v>
      </c>
      <c r="Q79">
        <f>(+P79*Input_!$C$18)+R79</f>
        <v>17.860408163265305</v>
      </c>
      <c r="R79">
        <f>+P79*Input_!$C$19</f>
        <v>8.7012244897959174</v>
      </c>
      <c r="S79">
        <f t="shared" si="7"/>
        <v>9.1591836734693874</v>
      </c>
      <c r="T79">
        <f t="shared" si="14"/>
        <v>13.280816326530612</v>
      </c>
      <c r="U79">
        <f t="shared" si="18"/>
        <v>12.288118410207815</v>
      </c>
      <c r="V79">
        <f t="shared" si="9"/>
        <v>0.2683234412211154</v>
      </c>
      <c r="W79">
        <f t="shared" si="19"/>
        <v>14.850000000000001</v>
      </c>
      <c r="X79">
        <f t="shared" si="13"/>
        <v>57.356993545406539</v>
      </c>
      <c r="Y79">
        <f t="shared" si="20"/>
        <v>4.0401596619999989</v>
      </c>
      <c r="Z79">
        <f t="shared" si="21"/>
        <v>2</v>
      </c>
    </row>
    <row r="80" spans="1:26" x14ac:dyDescent="0.2">
      <c r="A80" s="249">
        <f>IF(A79="","",IF((1+A79)&lt;Input_!$C$36,1+A79,""))</f>
        <v>45493</v>
      </c>
      <c r="B80">
        <v>0.15</v>
      </c>
      <c r="C80">
        <v>1.2</v>
      </c>
      <c r="D80">
        <f t="shared" si="2"/>
        <v>0.20400000000000001</v>
      </c>
      <c r="E80">
        <v>1.6500008909999997</v>
      </c>
      <c r="G80" s="270"/>
      <c r="H80" s="250">
        <f t="shared" si="15"/>
        <v>0.54949163493579067</v>
      </c>
      <c r="I80">
        <f t="shared" si="16"/>
        <v>5.0328948114118948</v>
      </c>
      <c r="J80">
        <f t="shared" si="17"/>
        <v>4.1262888620574927</v>
      </c>
      <c r="K80">
        <f t="shared" si="6"/>
        <v>1.6500008909999997</v>
      </c>
      <c r="O80" s="249">
        <f t="shared" si="22"/>
        <v>45493</v>
      </c>
      <c r="P80">
        <f>IF(A80&gt;Input_!$C$32,+P79,(IF(A80&lt;Input_!$C$23,"",('Budget (2)'!A80-Input_!$C$23)*Input_!$C$76+Input_!$C$25)))</f>
        <v>45.795918367346935</v>
      </c>
      <c r="Q80">
        <f>(+P80*Input_!$C$18)+R80</f>
        <v>17.860408163265305</v>
      </c>
      <c r="R80">
        <f>+P80*Input_!$C$19</f>
        <v>8.7012244897959174</v>
      </c>
      <c r="S80">
        <f t="shared" si="7"/>
        <v>9.1591836734693874</v>
      </c>
      <c r="T80">
        <f t="shared" si="14"/>
        <v>13.280816326530612</v>
      </c>
      <c r="U80">
        <f t="shared" si="18"/>
        <v>13.734119301207812</v>
      </c>
      <c r="V80">
        <f t="shared" si="9"/>
        <v>0.29989832698715813</v>
      </c>
      <c r="W80">
        <f t="shared" si="19"/>
        <v>15.020000000000001</v>
      </c>
      <c r="X80">
        <f t="shared" si="13"/>
        <v>82.403194096891369</v>
      </c>
      <c r="Y80">
        <f t="shared" si="20"/>
        <v>5.6901605529999983</v>
      </c>
      <c r="Z80">
        <f t="shared" si="21"/>
        <v>2</v>
      </c>
    </row>
    <row r="81" spans="1:26" x14ac:dyDescent="0.2">
      <c r="A81" s="249">
        <f>IF(A80="","",IF((1+A80)&lt;Input_!$C$36,1+A80,""))</f>
        <v>45494</v>
      </c>
      <c r="B81">
        <v>0.17</v>
      </c>
      <c r="C81">
        <v>1.2</v>
      </c>
      <c r="D81">
        <f t="shared" si="2"/>
        <v>0.216</v>
      </c>
      <c r="E81">
        <v>0</v>
      </c>
      <c r="G81" s="270"/>
      <c r="H81" s="250">
        <f t="shared" si="15"/>
        <v>0.52590874723525582</v>
      </c>
      <c r="I81">
        <f t="shared" si="16"/>
        <v>4.8168948114118937</v>
      </c>
      <c r="J81">
        <f t="shared" si="17"/>
        <v>4.3422888620574938</v>
      </c>
      <c r="K81" t="str">
        <f t="shared" si="6"/>
        <v/>
      </c>
      <c r="O81" s="249">
        <f t="shared" si="22"/>
        <v>45494</v>
      </c>
      <c r="P81">
        <f>IF(A81&gt;Input_!$C$32,+P80,(IF(A81&lt;Input_!$C$23,"",('Budget (2)'!A81-Input_!$C$23)*Input_!$C$76+Input_!$C$25)))</f>
        <v>45.795918367346935</v>
      </c>
      <c r="Q81">
        <f>(+P81*Input_!$C$18)+R81</f>
        <v>17.860408163265305</v>
      </c>
      <c r="R81">
        <f>+P81*Input_!$C$19</f>
        <v>8.7012244897959174</v>
      </c>
      <c r="S81">
        <f t="shared" si="7"/>
        <v>9.1591836734693874</v>
      </c>
      <c r="T81">
        <f t="shared" ref="T81:T112" si="23">+(1-$F$4)*S81+R81</f>
        <v>13.280816326530612</v>
      </c>
      <c r="U81">
        <f t="shared" si="18"/>
        <v>13.518119301207811</v>
      </c>
      <c r="V81">
        <f t="shared" si="9"/>
        <v>0.29518174944705117</v>
      </c>
      <c r="W81">
        <f t="shared" si="19"/>
        <v>15.200000000000001</v>
      </c>
      <c r="X81">
        <f t="shared" si="13"/>
        <v>78.396175048565496</v>
      </c>
      <c r="Y81">
        <f t="shared" si="20"/>
        <v>5.6901605529999983</v>
      </c>
      <c r="Z81">
        <f t="shared" si="21"/>
        <v>2</v>
      </c>
    </row>
    <row r="82" spans="1:26" x14ac:dyDescent="0.2">
      <c r="A82" s="249">
        <f>IF(A81="","",IF((1+A81)&lt;Input_!$C$36,1+A81,""))</f>
        <v>45495</v>
      </c>
      <c r="B82">
        <v>0.18</v>
      </c>
      <c r="C82">
        <v>1.2</v>
      </c>
      <c r="D82">
        <f t="shared" ref="D82:D130" si="24">IF(B83="","",IF(B83&lt;0.0001,0,IF(B83&gt;0.0001,C82*B83,"")))</f>
        <v>0.216</v>
      </c>
      <c r="E82">
        <v>0</v>
      </c>
      <c r="G82" s="270"/>
      <c r="H82" s="250">
        <f t="shared" ref="H82:H113" si="25">IF(B83="","",IF(B83&gt;-0.0001,IF(G82&gt;0.0001,+G82,IF((+U82-R82)/(Q82-R82)&gt;1,1,(MAX(0,(+U82-R82)/(Q82-R82))))),""))</f>
        <v>0.50232585953472086</v>
      </c>
      <c r="I82">
        <f t="shared" ref="I82:I113" si="26">IF(B83="","",IF(B83&gt;-0.0001,IF((+U82-R82)&lt;0,0,+U82-R82),""))</f>
        <v>4.6008948114118926</v>
      </c>
      <c r="J82">
        <f t="shared" ref="J82:J113" si="27">IF(B83="","",IF(B83&gt;-0.0001,IF((Q82-U82)&lt;0,0,Q82-U82),""))</f>
        <v>4.5582888620574948</v>
      </c>
      <c r="K82" t="str">
        <f t="shared" ref="K82:K145" si="28">IF(E82&gt;0.001,MIN(J81+D82,E82),"")</f>
        <v/>
      </c>
      <c r="O82" s="249">
        <f t="shared" si="22"/>
        <v>45495</v>
      </c>
      <c r="P82">
        <f>IF(A82&gt;Input_!$C$32,+P81,(IF(A82&lt;Input_!$C$23,"",('Budget (2)'!A82-Input_!$C$23)*Input_!$C$76+Input_!$C$25)))</f>
        <v>45.795918367346935</v>
      </c>
      <c r="Q82">
        <f>(+P82*Input_!$C$18)+R82</f>
        <v>17.860408163265305</v>
      </c>
      <c r="R82">
        <f>+P82*Input_!$C$19</f>
        <v>8.7012244897959174</v>
      </c>
      <c r="S82">
        <f t="shared" ref="S82:S116" si="29">+Q82-R82</f>
        <v>9.1591836734693874</v>
      </c>
      <c r="T82">
        <f t="shared" si="23"/>
        <v>13.280816326530612</v>
      </c>
      <c r="U82">
        <f t="shared" ref="U82:U113" si="30">IF(B83="",0,IF(B83&gt;-0.0001,MAX(IF(G82&gt;0.001,(G82*S82+R82),MIN((+U81+E82+F82-D82+Q82-Q81),Q82)),R82),""))</f>
        <v>13.30211930120781</v>
      </c>
      <c r="V82">
        <f t="shared" ref="V82:V145" si="31">U82/P82</f>
        <v>0.29046517190694415</v>
      </c>
      <c r="W82">
        <f t="shared" ref="W82:W113" si="32">IF(+B83&gt;-0.01,+B83+W81,"")</f>
        <v>15.38</v>
      </c>
      <c r="X82">
        <f t="shared" si="13"/>
        <v>74.482468000239606</v>
      </c>
      <c r="Y82">
        <f t="shared" ref="Y82:Y113" si="33">IF(+B83&gt;-0.01,+E82+Y81,"")</f>
        <v>5.6901605529999983</v>
      </c>
      <c r="Z82">
        <f t="shared" ref="Z82:Z113" si="34">IF(+B83&gt;-0.01,+F82+Z81,"")</f>
        <v>2</v>
      </c>
    </row>
    <row r="83" spans="1:26" x14ac:dyDescent="0.2">
      <c r="A83" s="249">
        <f>IF(A82="","",IF((1+A82)&lt;Input_!$C$36,1+A82,""))</f>
        <v>45496</v>
      </c>
      <c r="B83">
        <v>0.18</v>
      </c>
      <c r="C83">
        <v>1.2</v>
      </c>
      <c r="D83">
        <f t="shared" si="24"/>
        <v>0.27600000000000002</v>
      </c>
      <c r="E83">
        <v>5.0000026999999996E-2</v>
      </c>
      <c r="F83">
        <v>1</v>
      </c>
      <c r="G83" s="270"/>
      <c r="H83" s="250">
        <f t="shared" si="25"/>
        <v>0.58683121007616468</v>
      </c>
      <c r="I83">
        <f t="shared" si="26"/>
        <v>5.3748948384118922</v>
      </c>
      <c r="J83">
        <f t="shared" si="27"/>
        <v>3.7842888350574952</v>
      </c>
      <c r="K83">
        <f t="shared" si="28"/>
        <v>5.0000026999999996E-2</v>
      </c>
      <c r="O83" s="249">
        <f t="shared" si="22"/>
        <v>45496</v>
      </c>
      <c r="P83">
        <f>IF(A83&gt;Input_!$C$32,+P82,(IF(A83&lt;Input_!$C$23,"",('Budget (2)'!A83-Input_!$C$23)*Input_!$C$76+Input_!$C$25)))</f>
        <v>45.795918367346935</v>
      </c>
      <c r="Q83">
        <f>(+P83*Input_!$C$18)+R83</f>
        <v>17.860408163265305</v>
      </c>
      <c r="R83">
        <f>+P83*Input_!$C$19</f>
        <v>8.7012244897959174</v>
      </c>
      <c r="S83">
        <f t="shared" si="29"/>
        <v>9.1591836734693874</v>
      </c>
      <c r="T83">
        <f t="shared" si="23"/>
        <v>13.280816326530612</v>
      </c>
      <c r="U83">
        <f t="shared" si="30"/>
        <v>14.07611932820781</v>
      </c>
      <c r="V83">
        <f t="shared" si="31"/>
        <v>0.30736624201523294</v>
      </c>
      <c r="W83">
        <f t="shared" si="32"/>
        <v>15.610000000000001</v>
      </c>
      <c r="X83">
        <f t="shared" ref="X83:X130" si="35">IF(E83="",0,IF(E83&gt;-0.0001,MAX(IF(I83&gt;0.001,(I83*U83+T83),MIN((+X82+G83+H83-F83+S83-S82),S83)),T83),""))</f>
        <v>88.938477448584635</v>
      </c>
      <c r="Y83">
        <f t="shared" si="33"/>
        <v>5.7401605799999986</v>
      </c>
      <c r="Z83">
        <f t="shared" si="34"/>
        <v>3</v>
      </c>
    </row>
    <row r="84" spans="1:26" x14ac:dyDescent="0.2">
      <c r="A84" s="249">
        <f>IF(A83="","",IF((1+A83)&lt;Input_!$C$36,1+A83,""))</f>
        <v>45497</v>
      </c>
      <c r="B84">
        <v>0.23</v>
      </c>
      <c r="C84">
        <v>1.2</v>
      </c>
      <c r="D84">
        <f t="shared" si="24"/>
        <v>0.3</v>
      </c>
      <c r="E84">
        <v>0</v>
      </c>
      <c r="G84" s="270"/>
      <c r="H84" s="250">
        <f t="shared" si="25"/>
        <v>0.55407719938097744</v>
      </c>
      <c r="I84">
        <f t="shared" si="26"/>
        <v>5.0748948384118915</v>
      </c>
      <c r="J84">
        <f t="shared" si="27"/>
        <v>4.084288835057496</v>
      </c>
      <c r="K84" t="str">
        <f t="shared" si="28"/>
        <v/>
      </c>
      <c r="O84" s="249">
        <f t="shared" si="22"/>
        <v>45497</v>
      </c>
      <c r="P84">
        <f>IF(A84&gt;Input_!$C$32,+P83,(IF(A84&lt;Input_!$C$23,"",('Budget (2)'!A84-Input_!$C$23)*Input_!$C$76+Input_!$C$25)))</f>
        <v>45.795918367346935</v>
      </c>
      <c r="Q84">
        <f>(+P84*Input_!$C$18)+R84</f>
        <v>17.860408163265305</v>
      </c>
      <c r="R84">
        <f>+P84*Input_!$C$19</f>
        <v>8.7012244897959174</v>
      </c>
      <c r="S84">
        <f t="shared" si="29"/>
        <v>9.1591836734693874</v>
      </c>
      <c r="T84">
        <f t="shared" si="23"/>
        <v>13.280816326530612</v>
      </c>
      <c r="U84">
        <f t="shared" si="30"/>
        <v>13.776119328207809</v>
      </c>
      <c r="V84">
        <f t="shared" si="31"/>
        <v>0.30081543987619547</v>
      </c>
      <c r="W84">
        <f t="shared" si="32"/>
        <v>15.860000000000001</v>
      </c>
      <c r="X84">
        <f t="shared" si="35"/>
        <v>83.193173198598714</v>
      </c>
      <c r="Y84">
        <f t="shared" si="33"/>
        <v>5.7401605799999986</v>
      </c>
      <c r="Z84">
        <f t="shared" si="34"/>
        <v>3</v>
      </c>
    </row>
    <row r="85" spans="1:26" x14ac:dyDescent="0.2">
      <c r="A85" s="249">
        <f>IF(A84="","",IF((1+A84)&lt;Input_!$C$36,1+A84,""))</f>
        <v>45498</v>
      </c>
      <c r="B85">
        <v>0.25</v>
      </c>
      <c r="C85">
        <v>1.2</v>
      </c>
      <c r="D85">
        <f t="shared" si="24"/>
        <v>0.38400000000000001</v>
      </c>
      <c r="E85">
        <v>0</v>
      </c>
      <c r="G85" s="270"/>
      <c r="H85" s="250">
        <f t="shared" si="25"/>
        <v>0.51215206569113791</v>
      </c>
      <c r="I85">
        <f t="shared" si="26"/>
        <v>4.6908948384118911</v>
      </c>
      <c r="J85">
        <f t="shared" si="27"/>
        <v>4.4682888350574963</v>
      </c>
      <c r="K85" t="str">
        <f t="shared" si="28"/>
        <v/>
      </c>
      <c r="O85" s="249">
        <f t="shared" si="22"/>
        <v>45498</v>
      </c>
      <c r="P85">
        <f>IF(A85&gt;Input_!$C$32,+P84,(IF(A85&lt;Input_!$C$23,"",('Budget (2)'!A85-Input_!$C$23)*Input_!$C$76+Input_!$C$25)))</f>
        <v>45.795918367346935</v>
      </c>
      <c r="Q85">
        <f>(+P85*Input_!$C$18)+R85</f>
        <v>17.860408163265305</v>
      </c>
      <c r="R85">
        <f>+P85*Input_!$C$19</f>
        <v>8.7012244897959174</v>
      </c>
      <c r="S85">
        <f t="shared" si="29"/>
        <v>9.1591836734693874</v>
      </c>
      <c r="T85">
        <f t="shared" si="23"/>
        <v>13.280816326530612</v>
      </c>
      <c r="U85">
        <f t="shared" si="30"/>
        <v>13.392119328207809</v>
      </c>
      <c r="V85">
        <f t="shared" si="31"/>
        <v>0.2924304131382276</v>
      </c>
      <c r="W85">
        <f t="shared" si="32"/>
        <v>16.18</v>
      </c>
      <c r="X85">
        <f t="shared" si="35"/>
        <v>76.101839758616734</v>
      </c>
      <c r="Y85">
        <f t="shared" si="33"/>
        <v>5.7401605799999986</v>
      </c>
      <c r="Z85">
        <f t="shared" si="34"/>
        <v>3</v>
      </c>
    </row>
    <row r="86" spans="1:26" x14ac:dyDescent="0.2">
      <c r="A86" s="249">
        <f>IF(A85="","",IF((1+A85)&lt;Input_!$C$36,1+A85,""))</f>
        <v>45499</v>
      </c>
      <c r="B86">
        <v>0.32</v>
      </c>
      <c r="C86">
        <v>1.2</v>
      </c>
      <c r="D86">
        <f t="shared" si="24"/>
        <v>0.372</v>
      </c>
      <c r="E86">
        <v>0</v>
      </c>
      <c r="G86" s="270"/>
      <c r="H86" s="250">
        <f t="shared" si="25"/>
        <v>0.4715370924291058</v>
      </c>
      <c r="I86">
        <f t="shared" si="26"/>
        <v>4.3188948384118913</v>
      </c>
      <c r="J86">
        <f t="shared" si="27"/>
        <v>4.8402888350574962</v>
      </c>
      <c r="K86" t="str">
        <f t="shared" si="28"/>
        <v/>
      </c>
      <c r="O86" s="249">
        <f t="shared" si="22"/>
        <v>45499</v>
      </c>
      <c r="P86">
        <f>IF(A86&gt;Input_!$C$32,+P85,(IF(A86&lt;Input_!$C$23,"",('Budget (2)'!A86-Input_!$C$23)*Input_!$C$76+Input_!$C$25)))</f>
        <v>45.795918367346935</v>
      </c>
      <c r="Q86">
        <f>(+P86*Input_!$C$18)+R86</f>
        <v>17.860408163265305</v>
      </c>
      <c r="R86">
        <f>+P86*Input_!$C$19</f>
        <v>8.7012244897959174</v>
      </c>
      <c r="S86">
        <f t="shared" si="29"/>
        <v>9.1591836734693874</v>
      </c>
      <c r="T86">
        <f t="shared" si="23"/>
        <v>13.280816326530612</v>
      </c>
      <c r="U86">
        <f t="shared" si="30"/>
        <v>13.020119328207809</v>
      </c>
      <c r="V86">
        <f t="shared" si="31"/>
        <v>0.28430741848582114</v>
      </c>
      <c r="W86">
        <f t="shared" si="32"/>
        <v>16.489999999999998</v>
      </c>
      <c r="X86">
        <f t="shared" si="35"/>
        <v>69.513342488634208</v>
      </c>
      <c r="Y86">
        <f t="shared" si="33"/>
        <v>5.7401605799999986</v>
      </c>
      <c r="Z86">
        <f t="shared" si="34"/>
        <v>3</v>
      </c>
    </row>
    <row r="87" spans="1:26" x14ac:dyDescent="0.2">
      <c r="A87" s="249">
        <f>IF(A86="","",IF((1+A86)&lt;Input_!$C$36,1+A86,""))</f>
        <v>45500</v>
      </c>
      <c r="B87">
        <v>0.31</v>
      </c>
      <c r="C87">
        <v>1.2</v>
      </c>
      <c r="D87">
        <f t="shared" si="24"/>
        <v>0.28799999999999998</v>
      </c>
      <c r="E87">
        <v>0</v>
      </c>
      <c r="G87" s="270"/>
      <c r="H87" s="250">
        <f t="shared" si="25"/>
        <v>0.44009324216172607</v>
      </c>
      <c r="I87">
        <f t="shared" si="26"/>
        <v>4.030894838411891</v>
      </c>
      <c r="J87">
        <f t="shared" si="27"/>
        <v>5.1282888350574964</v>
      </c>
      <c r="K87" t="str">
        <f t="shared" si="28"/>
        <v/>
      </c>
      <c r="O87" s="249">
        <f t="shared" si="22"/>
        <v>45500</v>
      </c>
      <c r="P87">
        <f>IF(A87&gt;Input_!$C$32,+P86,(IF(A87&lt;Input_!$C$23,"",('Budget (2)'!A87-Input_!$C$23)*Input_!$C$76+Input_!$C$25)))</f>
        <v>45.795918367346935</v>
      </c>
      <c r="Q87">
        <f>(+P87*Input_!$C$18)+R87</f>
        <v>17.860408163265305</v>
      </c>
      <c r="R87">
        <f>+P87*Input_!$C$19</f>
        <v>8.7012244897959174</v>
      </c>
      <c r="S87">
        <f t="shared" si="29"/>
        <v>9.1591836734693874</v>
      </c>
      <c r="T87">
        <f t="shared" si="23"/>
        <v>13.280816326530612</v>
      </c>
      <c r="U87">
        <f t="shared" si="30"/>
        <v>12.732119328207808</v>
      </c>
      <c r="V87">
        <f t="shared" si="31"/>
        <v>0.27801864843234519</v>
      </c>
      <c r="W87">
        <f t="shared" si="32"/>
        <v>16.729999999999997</v>
      </c>
      <c r="X87">
        <f t="shared" si="35"/>
        <v>64.602650408647747</v>
      </c>
      <c r="Y87">
        <f t="shared" si="33"/>
        <v>5.7401605799999986</v>
      </c>
      <c r="Z87">
        <f t="shared" si="34"/>
        <v>3</v>
      </c>
    </row>
    <row r="88" spans="1:26" x14ac:dyDescent="0.2">
      <c r="A88" s="249">
        <f>IF(A87="","",IF((1+A87)&lt;Input_!$C$36,1+A87,""))</f>
        <v>45501</v>
      </c>
      <c r="B88">
        <v>0.24</v>
      </c>
      <c r="C88">
        <v>1.2</v>
      </c>
      <c r="D88">
        <f t="shared" si="24"/>
        <v>0.28799999999999998</v>
      </c>
      <c r="E88">
        <v>0</v>
      </c>
      <c r="G88" s="270"/>
      <c r="H88" s="250">
        <f t="shared" si="25"/>
        <v>0.40864939189434635</v>
      </c>
      <c r="I88">
        <f t="shared" si="26"/>
        <v>3.7428948384118907</v>
      </c>
      <c r="J88">
        <f t="shared" si="27"/>
        <v>5.4162888350574967</v>
      </c>
      <c r="K88" t="str">
        <f t="shared" si="28"/>
        <v/>
      </c>
      <c r="O88" s="249">
        <f t="shared" si="22"/>
        <v>45501</v>
      </c>
      <c r="P88">
        <f>IF(A88&gt;Input_!$C$32,+P87,(IF(A88&lt;Input_!$C$23,"",('Budget (2)'!A88-Input_!$C$23)*Input_!$C$76+Input_!$C$25)))</f>
        <v>45.795918367346935</v>
      </c>
      <c r="Q88">
        <f>(+P88*Input_!$C$18)+R88</f>
        <v>17.860408163265305</v>
      </c>
      <c r="R88">
        <f>+P88*Input_!$C$19</f>
        <v>8.7012244897959174</v>
      </c>
      <c r="S88">
        <f t="shared" si="29"/>
        <v>9.1591836734693874</v>
      </c>
      <c r="T88">
        <f t="shared" si="23"/>
        <v>13.280816326530612</v>
      </c>
      <c r="U88">
        <f t="shared" si="30"/>
        <v>12.444119328207808</v>
      </c>
      <c r="V88">
        <f t="shared" si="31"/>
        <v>0.27172987837886925</v>
      </c>
      <c r="W88">
        <f t="shared" si="32"/>
        <v>16.969999999999995</v>
      </c>
      <c r="X88">
        <f t="shared" si="35"/>
        <v>59.85784632866126</v>
      </c>
      <c r="Y88">
        <f t="shared" si="33"/>
        <v>5.7401605799999986</v>
      </c>
      <c r="Z88">
        <f t="shared" si="34"/>
        <v>3</v>
      </c>
    </row>
    <row r="89" spans="1:26" x14ac:dyDescent="0.2">
      <c r="A89" s="249">
        <f>IF(A88="","",IF((1+A88)&lt;Input_!$C$36,1+A88,""))</f>
        <v>45502</v>
      </c>
      <c r="B89">
        <v>0.24</v>
      </c>
      <c r="C89">
        <v>1.2</v>
      </c>
      <c r="D89">
        <f t="shared" si="24"/>
        <v>0.3</v>
      </c>
      <c r="E89">
        <v>0</v>
      </c>
      <c r="G89" s="270"/>
      <c r="H89" s="250">
        <f t="shared" si="25"/>
        <v>0.37589538119915911</v>
      </c>
      <c r="I89">
        <f t="shared" si="26"/>
        <v>3.44289483841189</v>
      </c>
      <c r="J89">
        <f t="shared" si="27"/>
        <v>5.7162888350574974</v>
      </c>
      <c r="K89" t="str">
        <f t="shared" si="28"/>
        <v/>
      </c>
      <c r="O89" s="249">
        <f t="shared" si="22"/>
        <v>45502</v>
      </c>
      <c r="P89">
        <f>IF(A89&gt;Input_!$C$32,+P88,(IF(A89&lt;Input_!$C$23,"",('Budget (2)'!A89-Input_!$C$23)*Input_!$C$76+Input_!$C$25)))</f>
        <v>45.795918367346935</v>
      </c>
      <c r="Q89">
        <f>(+P89*Input_!$C$18)+R89</f>
        <v>17.860408163265305</v>
      </c>
      <c r="R89">
        <f>+P89*Input_!$C$19</f>
        <v>8.7012244897959174</v>
      </c>
      <c r="S89">
        <f t="shared" si="29"/>
        <v>9.1591836734693874</v>
      </c>
      <c r="T89">
        <f t="shared" si="23"/>
        <v>13.280816326530612</v>
      </c>
      <c r="U89">
        <f t="shared" si="30"/>
        <v>12.144119328207807</v>
      </c>
      <c r="V89">
        <f t="shared" si="31"/>
        <v>0.26517907623983183</v>
      </c>
      <c r="W89">
        <f t="shared" si="32"/>
        <v>17.219999999999995</v>
      </c>
      <c r="X89">
        <f t="shared" si="35"/>
        <v>55.091742078675345</v>
      </c>
      <c r="Y89">
        <f t="shared" si="33"/>
        <v>5.7401605799999986</v>
      </c>
      <c r="Z89">
        <f t="shared" si="34"/>
        <v>3</v>
      </c>
    </row>
    <row r="90" spans="1:26" x14ac:dyDescent="0.2">
      <c r="A90" s="249">
        <f>IF(A89="","",IF((1+A89)&lt;Input_!$C$36,1+A89,""))</f>
        <v>45503</v>
      </c>
      <c r="B90">
        <v>0.25</v>
      </c>
      <c r="C90">
        <v>1.2</v>
      </c>
      <c r="D90">
        <f t="shared" si="24"/>
        <v>0.28799999999999998</v>
      </c>
      <c r="E90">
        <v>0</v>
      </c>
      <c r="F90">
        <v>1</v>
      </c>
      <c r="G90" s="270"/>
      <c r="H90" s="250">
        <f t="shared" si="25"/>
        <v>0.45363156658240333</v>
      </c>
      <c r="I90">
        <f t="shared" si="26"/>
        <v>4.1548948384118898</v>
      </c>
      <c r="J90">
        <f t="shared" si="27"/>
        <v>5.0042888350574977</v>
      </c>
      <c r="K90" t="str">
        <f t="shared" si="28"/>
        <v/>
      </c>
      <c r="O90" s="249">
        <f t="shared" si="22"/>
        <v>45503</v>
      </c>
      <c r="P90">
        <f>IF(A90&gt;Input_!$C$32,+P89,(IF(A90&lt;Input_!$C$23,"",('Budget (2)'!A90-Input_!$C$23)*Input_!$C$76+Input_!$C$25)))</f>
        <v>45.795918367346935</v>
      </c>
      <c r="Q90">
        <f>(+P90*Input_!$C$18)+R90</f>
        <v>17.860408163265305</v>
      </c>
      <c r="R90">
        <f>+P90*Input_!$C$19</f>
        <v>8.7012244897959174</v>
      </c>
      <c r="S90">
        <f t="shared" si="29"/>
        <v>9.1591836734693874</v>
      </c>
      <c r="T90">
        <f t="shared" si="23"/>
        <v>13.280816326530612</v>
      </c>
      <c r="U90">
        <f t="shared" si="30"/>
        <v>12.856119328207807</v>
      </c>
      <c r="V90">
        <f t="shared" si="31"/>
        <v>0.28072631331648068</v>
      </c>
      <c r="W90">
        <f t="shared" si="32"/>
        <v>17.459999999999994</v>
      </c>
      <c r="X90">
        <f t="shared" si="35"/>
        <v>66.696640165308565</v>
      </c>
      <c r="Y90">
        <f t="shared" si="33"/>
        <v>5.7401605799999986</v>
      </c>
      <c r="Z90">
        <f t="shared" si="34"/>
        <v>4</v>
      </c>
    </row>
    <row r="91" spans="1:26" x14ac:dyDescent="0.2">
      <c r="A91" s="249">
        <f>IF(A90="","",IF((1+A90)&lt;Input_!$C$36,1+A90,""))</f>
        <v>45504</v>
      </c>
      <c r="B91">
        <v>0.24</v>
      </c>
      <c r="C91">
        <f>T5</f>
        <v>0.98499810100000007</v>
      </c>
      <c r="D91">
        <f t="shared" si="24"/>
        <v>0.23639954424000001</v>
      </c>
      <c r="E91">
        <v>0</v>
      </c>
      <c r="G91" s="270"/>
      <c r="H91" s="250">
        <f t="shared" si="25"/>
        <v>0.42782145591448917</v>
      </c>
      <c r="I91">
        <f t="shared" si="26"/>
        <v>3.9184952941718922</v>
      </c>
      <c r="J91">
        <f t="shared" si="27"/>
        <v>5.2406883792974952</v>
      </c>
      <c r="K91" t="str">
        <f t="shared" si="28"/>
        <v/>
      </c>
      <c r="O91" s="249">
        <f t="shared" si="22"/>
        <v>45504</v>
      </c>
      <c r="P91">
        <f>IF(A91&gt;Input_!$C$32,+P90,(IF(A91&lt;Input_!$C$23,"",('Budget (2)'!A91-Input_!$C$23)*Input_!$C$76+Input_!$C$25)))</f>
        <v>45.795918367346935</v>
      </c>
      <c r="Q91">
        <f>(+P91*Input_!$C$18)+R91</f>
        <v>17.860408163265305</v>
      </c>
      <c r="R91">
        <f>+P91*Input_!$C$19</f>
        <v>8.7012244897959174</v>
      </c>
      <c r="S91">
        <f t="shared" si="29"/>
        <v>9.1591836734693874</v>
      </c>
      <c r="T91">
        <f t="shared" si="23"/>
        <v>13.280816326530612</v>
      </c>
      <c r="U91">
        <f t="shared" si="30"/>
        <v>12.61971978396781</v>
      </c>
      <c r="V91">
        <f t="shared" si="31"/>
        <v>0.27556429118289782</v>
      </c>
      <c r="W91">
        <f t="shared" si="32"/>
        <v>17.699999999999992</v>
      </c>
      <c r="X91">
        <f t="shared" si="35"/>
        <v>62.731128913776402</v>
      </c>
      <c r="Y91">
        <f t="shared" si="33"/>
        <v>5.7401605799999986</v>
      </c>
      <c r="Z91">
        <f t="shared" si="34"/>
        <v>4</v>
      </c>
    </row>
    <row r="92" spans="1:26" x14ac:dyDescent="0.2">
      <c r="A92" s="249">
        <f>IF(A91="","",IF((1+A91)&lt;Input_!$C$36,1+A91,""))</f>
        <v>45505</v>
      </c>
      <c r="B92">
        <v>0.24</v>
      </c>
      <c r="C92">
        <v>1.2</v>
      </c>
      <c r="D92">
        <f t="shared" si="24"/>
        <v>0.312</v>
      </c>
      <c r="E92">
        <v>0</v>
      </c>
      <c r="G92" s="270"/>
      <c r="H92" s="250">
        <f t="shared" si="25"/>
        <v>0.39375728479149474</v>
      </c>
      <c r="I92">
        <f t="shared" si="26"/>
        <v>3.6064952941718946</v>
      </c>
      <c r="J92">
        <f t="shared" si="27"/>
        <v>5.5526883792974928</v>
      </c>
      <c r="K92" t="str">
        <f t="shared" si="28"/>
        <v/>
      </c>
      <c r="O92" s="249">
        <f t="shared" si="22"/>
        <v>45505</v>
      </c>
      <c r="P92">
        <f>IF(A92&gt;Input_!$C$32,+P91,(IF(A92&lt;Input_!$C$23,"",('Budget (2)'!A92-Input_!$C$23)*Input_!$C$76+Input_!$C$25)))</f>
        <v>45.795918367346935</v>
      </c>
      <c r="Q92">
        <f>(+P92*Input_!$C$18)+R92</f>
        <v>17.860408163265305</v>
      </c>
      <c r="R92">
        <f>+P92*Input_!$C$19</f>
        <v>8.7012244897959174</v>
      </c>
      <c r="S92">
        <f t="shared" si="29"/>
        <v>9.1591836734693874</v>
      </c>
      <c r="T92">
        <f t="shared" si="23"/>
        <v>13.280816326530612</v>
      </c>
      <c r="U92">
        <f t="shared" si="30"/>
        <v>12.307719783967812</v>
      </c>
      <c r="V92">
        <f t="shared" si="31"/>
        <v>0.26875145695829894</v>
      </c>
      <c r="W92">
        <f t="shared" si="32"/>
        <v>17.959999999999994</v>
      </c>
      <c r="X92">
        <f t="shared" si="35"/>
        <v>57.66854980939685</v>
      </c>
      <c r="Y92">
        <f t="shared" si="33"/>
        <v>5.7401605799999986</v>
      </c>
      <c r="Z92">
        <f t="shared" si="34"/>
        <v>4</v>
      </c>
    </row>
    <row r="93" spans="1:26" x14ac:dyDescent="0.2">
      <c r="A93" s="249">
        <f>IF(A92="","",IF((1+A92)&lt;Input_!$C$36,1+A92,""))</f>
        <v>45506</v>
      </c>
      <c r="B93">
        <v>0.26</v>
      </c>
      <c r="C93">
        <v>1.2</v>
      </c>
      <c r="D93">
        <f t="shared" si="24"/>
        <v>0.32400000000000001</v>
      </c>
      <c r="E93">
        <v>0</v>
      </c>
      <c r="G93" s="270"/>
      <c r="H93" s="250">
        <f t="shared" si="25"/>
        <v>0.3583829532406928</v>
      </c>
      <c r="I93">
        <f t="shared" si="26"/>
        <v>3.2824952941718966</v>
      </c>
      <c r="J93">
        <f t="shared" si="27"/>
        <v>5.8766883792974909</v>
      </c>
      <c r="K93" t="str">
        <f t="shared" si="28"/>
        <v/>
      </c>
      <c r="O93" s="249">
        <f t="shared" si="22"/>
        <v>45506</v>
      </c>
      <c r="P93">
        <f>IF(A93&gt;Input_!$C$32,+P92,(IF(A93&lt;Input_!$C$23,"",('Budget (2)'!A93-Input_!$C$23)*Input_!$C$76+Input_!$C$25)))</f>
        <v>45.795918367346935</v>
      </c>
      <c r="Q93">
        <f>(+P93*Input_!$C$18)+R93</f>
        <v>17.860408163265305</v>
      </c>
      <c r="R93">
        <f>+P93*Input_!$C$19</f>
        <v>8.7012244897959174</v>
      </c>
      <c r="S93">
        <f t="shared" si="29"/>
        <v>9.1591836734693874</v>
      </c>
      <c r="T93">
        <f t="shared" si="23"/>
        <v>13.280816326530612</v>
      </c>
      <c r="U93">
        <f t="shared" si="30"/>
        <v>11.983719783967814</v>
      </c>
      <c r="V93">
        <f t="shared" si="31"/>
        <v>0.26167659064813859</v>
      </c>
      <c r="W93">
        <f t="shared" si="32"/>
        <v>18.229999999999993</v>
      </c>
      <c r="X93">
        <f t="shared" si="35"/>
        <v>52.617320124079619</v>
      </c>
      <c r="Y93">
        <f t="shared" si="33"/>
        <v>5.7401605799999986</v>
      </c>
      <c r="Z93">
        <f t="shared" si="34"/>
        <v>4</v>
      </c>
    </row>
    <row r="94" spans="1:26" x14ac:dyDescent="0.2">
      <c r="A94" s="249">
        <f>IF(A93="","",IF((1+A93)&lt;Input_!$C$36,1+A93,""))</f>
        <v>45507</v>
      </c>
      <c r="B94">
        <v>0.27</v>
      </c>
      <c r="C94">
        <v>1.1807916666666842</v>
      </c>
      <c r="D94">
        <f t="shared" si="24"/>
        <v>0.37785333333333898</v>
      </c>
      <c r="E94">
        <v>0</v>
      </c>
      <c r="G94" s="270"/>
      <c r="H94" s="250">
        <f t="shared" si="25"/>
        <v>0.31712891283665151</v>
      </c>
      <c r="I94">
        <f t="shared" si="26"/>
        <v>2.9046419608385552</v>
      </c>
      <c r="J94">
        <f t="shared" si="27"/>
        <v>6.2545417126308323</v>
      </c>
      <c r="K94" t="str">
        <f t="shared" si="28"/>
        <v/>
      </c>
      <c r="O94" s="249">
        <f t="shared" si="22"/>
        <v>45507</v>
      </c>
      <c r="P94">
        <f>IF(A94&gt;Input_!$C$32,+P93,(IF(A94&lt;Input_!$C$23,"",('Budget (2)'!A94-Input_!$C$23)*Input_!$C$76+Input_!$C$25)))</f>
        <v>45.795918367346935</v>
      </c>
      <c r="Q94">
        <f>(+P94*Input_!$C$18)+R94</f>
        <v>17.860408163265305</v>
      </c>
      <c r="R94">
        <f>+P94*Input_!$C$19</f>
        <v>8.7012244897959174</v>
      </c>
      <c r="S94">
        <f t="shared" si="29"/>
        <v>9.1591836734693874</v>
      </c>
      <c r="T94">
        <f t="shared" si="23"/>
        <v>13.280816326530612</v>
      </c>
      <c r="U94">
        <f t="shared" si="30"/>
        <v>11.605866450634473</v>
      </c>
      <c r="V94">
        <f t="shared" si="31"/>
        <v>0.25342578256733028</v>
      </c>
      <c r="W94">
        <f t="shared" si="32"/>
        <v>18.549999999999994</v>
      </c>
      <c r="X94">
        <f t="shared" si="35"/>
        <v>46.991703010931928</v>
      </c>
      <c r="Y94">
        <f t="shared" si="33"/>
        <v>5.7401605799999986</v>
      </c>
      <c r="Z94">
        <f t="shared" si="34"/>
        <v>4</v>
      </c>
    </row>
    <row r="95" spans="1:26" x14ac:dyDescent="0.2">
      <c r="A95" s="249">
        <f>IF(A94="","",IF((1+A94)&lt;Input_!$C$36,1+A94,""))</f>
        <v>45508</v>
      </c>
      <c r="B95">
        <v>0.32</v>
      </c>
      <c r="C95">
        <v>1.0458440476190625</v>
      </c>
      <c r="D95">
        <f t="shared" si="24"/>
        <v>0.33467009523809998</v>
      </c>
      <c r="E95">
        <v>0</v>
      </c>
      <c r="G95" s="270"/>
      <c r="H95" s="250">
        <f t="shared" si="25"/>
        <v>0.28058961990735815</v>
      </c>
      <c r="I95">
        <f t="shared" si="26"/>
        <v>2.569971865600456</v>
      </c>
      <c r="J95">
        <f t="shared" si="27"/>
        <v>6.5892118078689315</v>
      </c>
      <c r="K95" t="str">
        <f t="shared" si="28"/>
        <v/>
      </c>
      <c r="O95" s="249">
        <f t="shared" si="22"/>
        <v>45508</v>
      </c>
      <c r="P95">
        <f>IF(A95&gt;Input_!$C$32,+P94,(IF(A95&lt;Input_!$C$23,"",('Budget (2)'!A95-Input_!$C$23)*Input_!$C$76+Input_!$C$25)))</f>
        <v>45.795918367346935</v>
      </c>
      <c r="Q95">
        <f>(+P95*Input_!$C$18)+R95</f>
        <v>17.860408163265305</v>
      </c>
      <c r="R95">
        <f>+P95*Input_!$C$19</f>
        <v>8.7012244897959174</v>
      </c>
      <c r="S95">
        <f t="shared" si="29"/>
        <v>9.1591836734693874</v>
      </c>
      <c r="T95">
        <f t="shared" si="23"/>
        <v>13.280816326530612</v>
      </c>
      <c r="U95">
        <f t="shared" si="30"/>
        <v>11.271196355396373</v>
      </c>
      <c r="V95">
        <f t="shared" si="31"/>
        <v>0.24611792398147164</v>
      </c>
      <c r="W95">
        <f t="shared" si="32"/>
        <v>18.869999999999994</v>
      </c>
      <c r="X95">
        <f t="shared" si="35"/>
        <v>42.247473851557686</v>
      </c>
      <c r="Y95">
        <f t="shared" si="33"/>
        <v>5.7401605799999986</v>
      </c>
      <c r="Z95">
        <f t="shared" si="34"/>
        <v>4</v>
      </c>
    </row>
    <row r="96" spans="1:26" x14ac:dyDescent="0.2">
      <c r="A96" s="249">
        <f>IF(A95="","",IF((1+A95)&lt;Input_!$C$36,1+A95,""))</f>
        <v>45509</v>
      </c>
      <c r="B96">
        <v>0.32</v>
      </c>
      <c r="C96">
        <v>0.92631901360545432</v>
      </c>
      <c r="D96">
        <f t="shared" si="24"/>
        <v>0.13894785204081814</v>
      </c>
      <c r="E96">
        <v>0</v>
      </c>
      <c r="G96" s="270"/>
      <c r="H96" s="250">
        <f t="shared" si="25"/>
        <v>0.26541928846796403</v>
      </c>
      <c r="I96">
        <f t="shared" si="26"/>
        <v>2.4310240135596377</v>
      </c>
      <c r="J96">
        <f t="shared" si="27"/>
        <v>6.7281596599097497</v>
      </c>
      <c r="K96" t="str">
        <f t="shared" si="28"/>
        <v/>
      </c>
      <c r="O96" s="249">
        <f t="shared" si="22"/>
        <v>45509</v>
      </c>
      <c r="P96">
        <f>IF(A96&gt;Input_!$C$32,+P95,(IF(A96&lt;Input_!$C$23,"",('Budget (2)'!A96-Input_!$C$23)*Input_!$C$76+Input_!$C$25)))</f>
        <v>45.795918367346935</v>
      </c>
      <c r="Q96">
        <f>(+P96*Input_!$C$18)+R96</f>
        <v>17.860408163265305</v>
      </c>
      <c r="R96">
        <f>+P96*Input_!$C$19</f>
        <v>8.7012244897959174</v>
      </c>
      <c r="S96">
        <f t="shared" si="29"/>
        <v>9.1591836734693874</v>
      </c>
      <c r="T96">
        <f t="shared" si="23"/>
        <v>13.280816326530612</v>
      </c>
      <c r="U96">
        <f t="shared" si="30"/>
        <v>11.132248503355555</v>
      </c>
      <c r="V96">
        <f t="shared" si="31"/>
        <v>0.24308385769359281</v>
      </c>
      <c r="W96">
        <f t="shared" si="32"/>
        <v>19.019999999999992</v>
      </c>
      <c r="X96">
        <f>IF(E96="",0,IF(E96&gt;-0.0001,MAX(IF(I96&gt;0.001,(I96*U96+T96),MIN((+X95+G96+H96-F96+S96-S95),S96)),T96),""))</f>
        <v>40.343579763101303</v>
      </c>
      <c r="Y96">
        <f t="shared" si="33"/>
        <v>5.7401605799999986</v>
      </c>
      <c r="Z96">
        <f t="shared" si="34"/>
        <v>4</v>
      </c>
    </row>
    <row r="97" spans="1:26" x14ac:dyDescent="0.2">
      <c r="A97" s="249">
        <f>IF(A96="","",IF((1+A96)&lt;Input_!$C$36,1+A96,""))</f>
        <v>45510</v>
      </c>
      <c r="B97">
        <v>0.15</v>
      </c>
      <c r="C97">
        <v>0.87669478073373486</v>
      </c>
      <c r="D97">
        <f t="shared" si="24"/>
        <v>0.19287285176142166</v>
      </c>
      <c r="E97">
        <v>0</v>
      </c>
      <c r="F97">
        <v>0.3</v>
      </c>
      <c r="G97" s="270"/>
      <c r="H97" s="250">
        <f t="shared" si="25"/>
        <v>0.27711543433180175</v>
      </c>
      <c r="I97">
        <f t="shared" si="26"/>
        <v>2.5381511617982166</v>
      </c>
      <c r="J97">
        <f t="shared" si="27"/>
        <v>6.6210325116711708</v>
      </c>
      <c r="K97" t="str">
        <f t="shared" si="28"/>
        <v/>
      </c>
      <c r="O97" s="249">
        <f t="shared" si="22"/>
        <v>45510</v>
      </c>
      <c r="P97">
        <f>IF(A97&gt;Input_!$C$32,+P96,(IF(A97&lt;Input_!$C$23,"",('Budget (2)'!A97-Input_!$C$23)*Input_!$C$76+Input_!$C$25)))</f>
        <v>45.795918367346935</v>
      </c>
      <c r="Q97">
        <f>(+P97*Input_!$C$18)+R97</f>
        <v>17.860408163265305</v>
      </c>
      <c r="R97">
        <f>+P97*Input_!$C$19</f>
        <v>8.7012244897959174</v>
      </c>
      <c r="S97">
        <f t="shared" si="29"/>
        <v>9.1591836734693874</v>
      </c>
      <c r="T97">
        <f t="shared" si="23"/>
        <v>13.280816326530612</v>
      </c>
      <c r="U97">
        <f t="shared" si="30"/>
        <v>11.239375651594134</v>
      </c>
      <c r="V97">
        <f t="shared" si="31"/>
        <v>0.24542308686636036</v>
      </c>
      <c r="W97">
        <f t="shared" si="32"/>
        <v>19.239999999999991</v>
      </c>
      <c r="X97">
        <f>IF(E97="",0,IF(E97&gt;-0.0001,MAX(IF(I97&gt;0.001,(I97*U97+T97),MIN((+X96+G97+H97-F97+S97-S96),S97)),T97),""))</f>
        <v>41.808050694510854</v>
      </c>
      <c r="Y97">
        <f t="shared" si="33"/>
        <v>5.7401605799999986</v>
      </c>
      <c r="Z97">
        <f t="shared" si="34"/>
        <v>4.3</v>
      </c>
    </row>
    <row r="98" spans="1:26" x14ac:dyDescent="0.2">
      <c r="A98" s="249">
        <f>IF(A97="","",IF((1+A97)&lt;Input_!$C$36,1+A97,""))</f>
        <v>45511</v>
      </c>
      <c r="B98">
        <v>0.22</v>
      </c>
      <c r="C98">
        <v>1.2</v>
      </c>
      <c r="D98">
        <f t="shared" si="24"/>
        <v>0.16800000000000001</v>
      </c>
      <c r="E98">
        <v>0</v>
      </c>
      <c r="F98">
        <v>0.7</v>
      </c>
      <c r="G98" s="270"/>
      <c r="H98" s="250">
        <f t="shared" si="25"/>
        <v>0.33519921329793367</v>
      </c>
      <c r="I98">
        <f t="shared" si="26"/>
        <v>3.0701511617982167</v>
      </c>
      <c r="J98">
        <f t="shared" si="27"/>
        <v>6.0890325116711708</v>
      </c>
      <c r="K98" t="str">
        <f t="shared" si="28"/>
        <v/>
      </c>
      <c r="O98" s="249">
        <f t="shared" si="22"/>
        <v>45511</v>
      </c>
      <c r="P98">
        <f>IF(A98&gt;Input_!$C$32,+P97,(IF(A98&lt;Input_!$C$23,"",('Budget (2)'!A98-Input_!$C$23)*Input_!$C$76+Input_!$C$25)))</f>
        <v>45.795918367346935</v>
      </c>
      <c r="Q98">
        <f>(+P98*Input_!$C$18)+R98</f>
        <v>17.860408163265305</v>
      </c>
      <c r="R98">
        <f>+P98*Input_!$C$19</f>
        <v>8.7012244897959174</v>
      </c>
      <c r="S98">
        <f t="shared" si="29"/>
        <v>9.1591836734693874</v>
      </c>
      <c r="T98">
        <f t="shared" si="23"/>
        <v>13.280816326530612</v>
      </c>
      <c r="U98">
        <f t="shared" si="30"/>
        <v>11.771375651594134</v>
      </c>
      <c r="V98">
        <f t="shared" si="31"/>
        <v>0.25703984265958674</v>
      </c>
      <c r="W98">
        <f t="shared" si="32"/>
        <v>19.379999999999992</v>
      </c>
      <c r="X98">
        <f t="shared" si="35"/>
        <v>49.420718959235586</v>
      </c>
      <c r="Y98">
        <f t="shared" si="33"/>
        <v>5.7401605799999986</v>
      </c>
      <c r="Z98">
        <f t="shared" si="34"/>
        <v>5</v>
      </c>
    </row>
    <row r="99" spans="1:26" x14ac:dyDescent="0.2">
      <c r="A99" s="249">
        <f>IF(A98="","",IF((1+A98)&lt;Input_!$C$36,1+A98,""))</f>
        <v>45512</v>
      </c>
      <c r="B99">
        <v>0.14000000000000001</v>
      </c>
      <c r="C99">
        <v>1.2</v>
      </c>
      <c r="D99">
        <f t="shared" si="24"/>
        <v>3.5999999999999997E-2</v>
      </c>
      <c r="E99">
        <v>0.12007880499999998</v>
      </c>
      <c r="H99" s="250">
        <f t="shared" si="25"/>
        <v>0.34437894022529558</v>
      </c>
      <c r="I99">
        <f t="shared" si="26"/>
        <v>3.1542299667982174</v>
      </c>
      <c r="J99">
        <f t="shared" si="27"/>
        <v>6.00495370667117</v>
      </c>
      <c r="K99">
        <f t="shared" si="28"/>
        <v>0.12007880499999998</v>
      </c>
      <c r="O99" s="249">
        <f t="shared" si="22"/>
        <v>45512</v>
      </c>
      <c r="P99">
        <f>IF(A99&gt;Input_!$C$32,+P98,(IF(A99&lt;Input_!$C$23,"",('Budget (2)'!A99-Input_!$C$23)*Input_!$C$76+Input_!$C$25)))</f>
        <v>45.795918367346935</v>
      </c>
      <c r="Q99">
        <f>(+P99*Input_!$C$18)+R99</f>
        <v>17.860408163265305</v>
      </c>
      <c r="R99">
        <f>+P99*Input_!$C$19</f>
        <v>8.7012244897959174</v>
      </c>
      <c r="S99">
        <f t="shared" si="29"/>
        <v>9.1591836734693874</v>
      </c>
      <c r="T99">
        <f t="shared" si="23"/>
        <v>13.280816326530612</v>
      </c>
      <c r="U99">
        <f t="shared" si="30"/>
        <v>11.855454456594135</v>
      </c>
      <c r="V99">
        <f t="shared" si="31"/>
        <v>0.25887578804505912</v>
      </c>
      <c r="W99">
        <f t="shared" si="32"/>
        <v>19.409999999999993</v>
      </c>
      <c r="X99">
        <f t="shared" si="35"/>
        <v>50.675646043531309</v>
      </c>
      <c r="Y99">
        <f t="shared" si="33"/>
        <v>5.860239384999999</v>
      </c>
      <c r="Z99">
        <f t="shared" si="34"/>
        <v>5</v>
      </c>
    </row>
    <row r="100" spans="1:26" x14ac:dyDescent="0.2">
      <c r="A100" s="249">
        <f>IF(A99="","",IF((1+A99)&lt;Input_!$C$36,1+A99,""))</f>
        <v>45513</v>
      </c>
      <c r="B100">
        <v>0.03</v>
      </c>
      <c r="C100">
        <v>1.2</v>
      </c>
      <c r="D100">
        <f t="shared" si="24"/>
        <v>8.4000000000000005E-2</v>
      </c>
      <c r="E100">
        <v>5.9842552E-2</v>
      </c>
      <c r="H100" s="250">
        <f t="shared" si="25"/>
        <v>0.34174142919142747</v>
      </c>
      <c r="I100">
        <f t="shared" si="26"/>
        <v>3.130072518798217</v>
      </c>
      <c r="J100">
        <f t="shared" si="27"/>
        <v>6.0291111546711704</v>
      </c>
      <c r="K100">
        <f t="shared" si="28"/>
        <v>5.9842552E-2</v>
      </c>
      <c r="O100" s="249">
        <f t="shared" si="22"/>
        <v>45513</v>
      </c>
      <c r="P100">
        <f>IF(A100&gt;Input_!$C$32,+P99,(IF(A100&lt;Input_!$C$23,"",('Budget (2)'!A100-Input_!$C$23)*Input_!$C$76+Input_!$C$25)))</f>
        <v>45.795918367346935</v>
      </c>
      <c r="Q100">
        <f>(+P100*Input_!$C$18)+R100</f>
        <v>17.860408163265305</v>
      </c>
      <c r="R100">
        <f>+P100*Input_!$C$19</f>
        <v>8.7012244897959174</v>
      </c>
      <c r="S100">
        <f t="shared" si="29"/>
        <v>9.1591836734693874</v>
      </c>
      <c r="T100">
        <f t="shared" si="23"/>
        <v>13.280816326530612</v>
      </c>
      <c r="U100">
        <f t="shared" si="30"/>
        <v>11.831297008594134</v>
      </c>
      <c r="V100">
        <f t="shared" si="31"/>
        <v>0.25834828583828551</v>
      </c>
      <c r="W100">
        <f t="shared" si="32"/>
        <v>19.479999999999993</v>
      </c>
      <c r="X100">
        <f t="shared" si="35"/>
        <v>50.313633954870667</v>
      </c>
      <c r="Y100">
        <f t="shared" si="33"/>
        <v>5.9200819369999991</v>
      </c>
      <c r="Z100">
        <f t="shared" si="34"/>
        <v>5</v>
      </c>
    </row>
    <row r="101" spans="1:26" x14ac:dyDescent="0.2">
      <c r="A101" s="249">
        <f>IF(A100="","",IF((1+A100)&lt;Input_!$C$36,1+A100,""))</f>
        <v>45514</v>
      </c>
      <c r="B101">
        <v>7.0000000000000007E-2</v>
      </c>
      <c r="C101">
        <v>1.2</v>
      </c>
      <c r="D101">
        <f t="shared" si="24"/>
        <v>0.108</v>
      </c>
      <c r="E101">
        <v>5.9842552E-2</v>
      </c>
      <c r="H101" s="250">
        <f t="shared" si="25"/>
        <v>0.33648359730194422</v>
      </c>
      <c r="I101">
        <f t="shared" si="26"/>
        <v>3.0819150707982157</v>
      </c>
      <c r="J101">
        <f t="shared" si="27"/>
        <v>6.0772686026711717</v>
      </c>
      <c r="K101">
        <f t="shared" si="28"/>
        <v>5.9842552E-2</v>
      </c>
      <c r="O101" s="249">
        <f t="shared" si="22"/>
        <v>45514</v>
      </c>
      <c r="P101">
        <f>IF(A101&gt;Input_!$C$32,+P100,(IF(A101&lt;Input_!$C$23,"",('Budget (2)'!A101-Input_!$C$23)*Input_!$C$76+Input_!$C$25)))</f>
        <v>45.795918367346935</v>
      </c>
      <c r="Q101">
        <f>(+P101*Input_!$C$18)+R101</f>
        <v>17.860408163265305</v>
      </c>
      <c r="R101">
        <f>+P101*Input_!$C$19</f>
        <v>8.7012244897959174</v>
      </c>
      <c r="S101">
        <f t="shared" si="29"/>
        <v>9.1591836734693874</v>
      </c>
      <c r="T101">
        <f t="shared" si="23"/>
        <v>13.280816326530612</v>
      </c>
      <c r="U101">
        <f t="shared" si="30"/>
        <v>11.783139560594133</v>
      </c>
      <c r="V101">
        <f t="shared" si="31"/>
        <v>0.25729671946038885</v>
      </c>
      <c r="W101">
        <f t="shared" si="32"/>
        <v>19.569999999999993</v>
      </c>
      <c r="X101">
        <f t="shared" si="35"/>
        <v>49.595451719644338</v>
      </c>
      <c r="Y101">
        <f t="shared" si="33"/>
        <v>5.9799244889999992</v>
      </c>
      <c r="Z101">
        <f t="shared" si="34"/>
        <v>5</v>
      </c>
    </row>
    <row r="102" spans="1:26" x14ac:dyDescent="0.2">
      <c r="A102" s="249">
        <f>IF(A101="","",IF((1+A101)&lt;Input_!$C$36,1+A101,""))</f>
        <v>45515</v>
      </c>
      <c r="B102">
        <v>0.09</v>
      </c>
      <c r="C102">
        <v>1.176923076923077</v>
      </c>
      <c r="D102">
        <f t="shared" si="24"/>
        <v>0.10592307692307693</v>
      </c>
      <c r="E102">
        <v>0</v>
      </c>
      <c r="H102" s="250">
        <f t="shared" si="25"/>
        <v>0.32491891198725897</v>
      </c>
      <c r="I102">
        <f t="shared" si="26"/>
        <v>2.9759919938751391</v>
      </c>
      <c r="J102">
        <f t="shared" si="27"/>
        <v>6.1831916795942483</v>
      </c>
      <c r="K102" t="str">
        <f t="shared" si="28"/>
        <v/>
      </c>
      <c r="O102" s="249">
        <f t="shared" si="22"/>
        <v>45515</v>
      </c>
      <c r="P102">
        <f>IF(A102&gt;Input_!$C$32,+P101,(IF(A102&lt;Input_!$C$23,"",('Budget (2)'!A102-Input_!$C$23)*Input_!$C$76+Input_!$C$25)))</f>
        <v>45.795918367346935</v>
      </c>
      <c r="Q102">
        <f>(+P102*Input_!$C$18)+R102</f>
        <v>17.860408163265305</v>
      </c>
      <c r="R102">
        <f>+P102*Input_!$C$19</f>
        <v>8.7012244897959174</v>
      </c>
      <c r="S102">
        <f t="shared" si="29"/>
        <v>9.1591836734693874</v>
      </c>
      <c r="T102">
        <f t="shared" si="23"/>
        <v>13.280816326530612</v>
      </c>
      <c r="U102">
        <f t="shared" si="30"/>
        <v>11.677216483671057</v>
      </c>
      <c r="V102">
        <f t="shared" si="31"/>
        <v>0.25498378239745179</v>
      </c>
      <c r="W102">
        <f t="shared" si="32"/>
        <v>19.659999999999993</v>
      </c>
      <c r="X102">
        <f t="shared" si="35"/>
        <v>48.032119092682478</v>
      </c>
      <c r="Y102">
        <f t="shared" si="33"/>
        <v>5.9799244889999992</v>
      </c>
      <c r="Z102">
        <f t="shared" si="34"/>
        <v>5</v>
      </c>
    </row>
    <row r="103" spans="1:26" x14ac:dyDescent="0.2">
      <c r="A103" s="249">
        <f>IF(A102="","",IF((1+A102)&lt;Input_!$C$36,1+A102,""))</f>
        <v>45516</v>
      </c>
      <c r="B103">
        <v>0.09</v>
      </c>
      <c r="C103">
        <v>1.153846153846154</v>
      </c>
      <c r="D103">
        <f t="shared" si="24"/>
        <v>0.1730769230769231</v>
      </c>
      <c r="E103">
        <v>0.20000010799999998</v>
      </c>
      <c r="H103" s="250">
        <f t="shared" si="25"/>
        <v>0.32785838627698854</v>
      </c>
      <c r="I103">
        <f t="shared" si="26"/>
        <v>3.0029151787982133</v>
      </c>
      <c r="J103">
        <f t="shared" si="27"/>
        <v>6.1562684946711741</v>
      </c>
      <c r="K103">
        <f t="shared" si="28"/>
        <v>0.20000010799999998</v>
      </c>
      <c r="O103" s="249">
        <f t="shared" si="22"/>
        <v>45516</v>
      </c>
      <c r="P103">
        <f>IF(A103&gt;Input_!$C$32,+P102,(IF(A103&lt;Input_!$C$23,"",('Budget (2)'!A103-Input_!$C$23)*Input_!$C$76+Input_!$C$25)))</f>
        <v>45.795918367346935</v>
      </c>
      <c r="Q103">
        <f>(+P103*Input_!$C$18)+R103</f>
        <v>17.860408163265305</v>
      </c>
      <c r="R103">
        <f>+P103*Input_!$C$19</f>
        <v>8.7012244897959174</v>
      </c>
      <c r="S103">
        <f t="shared" si="29"/>
        <v>9.1591836734693874</v>
      </c>
      <c r="T103">
        <f t="shared" si="23"/>
        <v>13.280816326530612</v>
      </c>
      <c r="U103">
        <f t="shared" si="30"/>
        <v>11.704139668594131</v>
      </c>
      <c r="V103">
        <f t="shared" si="31"/>
        <v>0.2555716772553977</v>
      </c>
      <c r="W103">
        <f t="shared" si="32"/>
        <v>19.809999999999992</v>
      </c>
      <c r="X103">
        <f t="shared" si="35"/>
        <v>48.427354992126219</v>
      </c>
      <c r="Y103">
        <f t="shared" si="33"/>
        <v>6.1799245969999994</v>
      </c>
      <c r="Z103">
        <f t="shared" si="34"/>
        <v>5</v>
      </c>
    </row>
    <row r="104" spans="1:26" x14ac:dyDescent="0.2">
      <c r="A104" s="249">
        <f>IF(A103="","",IF((1+A103)&lt;Input_!$C$36,1+A103,""))</f>
        <v>45517</v>
      </c>
      <c r="B104">
        <v>0.15</v>
      </c>
      <c r="C104">
        <v>1.130769230769231</v>
      </c>
      <c r="D104">
        <f t="shared" si="24"/>
        <v>0.19223076923076929</v>
      </c>
      <c r="E104">
        <v>0.17007883200000001</v>
      </c>
      <c r="F104">
        <v>1</v>
      </c>
      <c r="H104" s="250">
        <f t="shared" si="25"/>
        <v>0.43461987263102653</v>
      </c>
      <c r="I104">
        <f t="shared" si="26"/>
        <v>3.980763241567443</v>
      </c>
      <c r="J104">
        <f t="shared" si="27"/>
        <v>5.1784204319019445</v>
      </c>
      <c r="K104">
        <f t="shared" si="28"/>
        <v>0.17007883200000001</v>
      </c>
      <c r="O104" s="249">
        <f t="shared" si="22"/>
        <v>45517</v>
      </c>
      <c r="P104">
        <f>IF(A104&gt;Input_!$C$32,+P103,(IF(A104&lt;Input_!$C$23,"",('Budget (2)'!A104-Input_!$C$23)*Input_!$C$76+Input_!$C$25)))</f>
        <v>45.795918367346935</v>
      </c>
      <c r="Q104">
        <f>(+P104*Input_!$C$18)+R104</f>
        <v>17.860408163265305</v>
      </c>
      <c r="R104">
        <f>+P104*Input_!$C$19</f>
        <v>8.7012244897959174</v>
      </c>
      <c r="S104">
        <f t="shared" si="29"/>
        <v>9.1591836734693874</v>
      </c>
      <c r="T104">
        <f t="shared" si="23"/>
        <v>13.280816326530612</v>
      </c>
      <c r="U104">
        <f t="shared" si="30"/>
        <v>12.68198773136336</v>
      </c>
      <c r="V104">
        <f t="shared" si="31"/>
        <v>0.27692397452620532</v>
      </c>
      <c r="W104">
        <f t="shared" si="32"/>
        <v>19.979999999999993</v>
      </c>
      <c r="X104">
        <f t="shared" si="35"/>
        <v>63.764806917551162</v>
      </c>
      <c r="Y104">
        <f t="shared" si="33"/>
        <v>6.3500034289999991</v>
      </c>
      <c r="Z104">
        <f t="shared" si="34"/>
        <v>6</v>
      </c>
    </row>
    <row r="105" spans="1:26" x14ac:dyDescent="0.2">
      <c r="A105" s="249">
        <f>IF(A104="","",IF((1+A104)&lt;Input_!$C$36,1+A104,""))</f>
        <v>45518</v>
      </c>
      <c r="B105">
        <v>0.17</v>
      </c>
      <c r="C105">
        <v>1.107692307692308</v>
      </c>
      <c r="D105">
        <f t="shared" si="24"/>
        <v>0.27692307692307699</v>
      </c>
      <c r="E105">
        <v>2.9921276E-2</v>
      </c>
      <c r="H105" s="250">
        <f t="shared" si="25"/>
        <v>0.40765220720047679</v>
      </c>
      <c r="I105">
        <f t="shared" si="26"/>
        <v>3.7337614406443667</v>
      </c>
      <c r="J105">
        <f t="shared" si="27"/>
        <v>5.4254222328250208</v>
      </c>
      <c r="K105">
        <f t="shared" si="28"/>
        <v>2.9921276E-2</v>
      </c>
      <c r="O105" s="249">
        <f t="shared" si="22"/>
        <v>45518</v>
      </c>
      <c r="P105">
        <f>IF(A105&gt;Input_!$C$32,+P104,(IF(A105&lt;Input_!$C$23,"",('Budget (2)'!A105-Input_!$C$23)*Input_!$C$76+Input_!$C$25)))</f>
        <v>45.795918367346935</v>
      </c>
      <c r="Q105">
        <f>(+P105*Input_!$C$18)+R105</f>
        <v>17.860408163265305</v>
      </c>
      <c r="R105">
        <f>+P105*Input_!$C$19</f>
        <v>8.7012244897959174</v>
      </c>
      <c r="S105">
        <f t="shared" si="29"/>
        <v>9.1591836734693874</v>
      </c>
      <c r="T105">
        <f t="shared" si="23"/>
        <v>13.280816326530612</v>
      </c>
      <c r="U105">
        <f t="shared" si="30"/>
        <v>12.434985930440284</v>
      </c>
      <c r="V105">
        <f t="shared" si="31"/>
        <v>0.27153044144009536</v>
      </c>
      <c r="W105">
        <f t="shared" si="32"/>
        <v>20.229999999999993</v>
      </c>
      <c r="X105">
        <f t="shared" si="35"/>
        <v>59.710087308563757</v>
      </c>
      <c r="Y105">
        <f t="shared" si="33"/>
        <v>6.3799247049999988</v>
      </c>
      <c r="Z105">
        <f t="shared" si="34"/>
        <v>6</v>
      </c>
    </row>
    <row r="106" spans="1:26" x14ac:dyDescent="0.2">
      <c r="A106" s="249">
        <f>IF(A105="","",IF((1+A105)&lt;Input_!$C$36,1+A105,""))</f>
        <v>45519</v>
      </c>
      <c r="B106">
        <v>0.25</v>
      </c>
      <c r="C106">
        <v>1.084615384615385</v>
      </c>
      <c r="D106">
        <f t="shared" si="24"/>
        <v>0.22776923076923083</v>
      </c>
      <c r="E106">
        <v>0</v>
      </c>
      <c r="H106" s="250">
        <f t="shared" si="25"/>
        <v>0.38278435446497666</v>
      </c>
      <c r="I106">
        <f t="shared" si="26"/>
        <v>3.5059922098751333</v>
      </c>
      <c r="J106">
        <f t="shared" si="27"/>
        <v>5.6531914635942542</v>
      </c>
      <c r="K106" t="str">
        <f t="shared" si="28"/>
        <v/>
      </c>
      <c r="O106" s="249">
        <f t="shared" si="22"/>
        <v>45519</v>
      </c>
      <c r="P106">
        <f>IF(A106&gt;Input_!$C$32,+P105,(IF(A106&lt;Input_!$C$23,"",('Budget (2)'!A106-Input_!$C$23)*Input_!$C$76+Input_!$C$25)))</f>
        <v>45.795918367346935</v>
      </c>
      <c r="Q106">
        <f>(+P106*Input_!$C$18)+R106</f>
        <v>17.860408163265305</v>
      </c>
      <c r="R106">
        <f>+P106*Input_!$C$19</f>
        <v>8.7012244897959174</v>
      </c>
      <c r="S106">
        <f t="shared" si="29"/>
        <v>9.1591836734693874</v>
      </c>
      <c r="T106">
        <f t="shared" si="23"/>
        <v>13.280816326530612</v>
      </c>
      <c r="U106">
        <f t="shared" si="30"/>
        <v>12.207216699671051</v>
      </c>
      <c r="V106">
        <f t="shared" si="31"/>
        <v>0.26655687089299535</v>
      </c>
      <c r="W106">
        <f t="shared" si="32"/>
        <v>20.439999999999994</v>
      </c>
      <c r="X106">
        <f t="shared" si="35"/>
        <v>56.079222979834952</v>
      </c>
      <c r="Y106">
        <f t="shared" si="33"/>
        <v>6.3799247049999988</v>
      </c>
      <c r="Z106">
        <f t="shared" si="34"/>
        <v>6</v>
      </c>
    </row>
    <row r="107" spans="1:26" x14ac:dyDescent="0.2">
      <c r="A107" s="249">
        <f>IF(A106="","",IF((1+A106)&lt;Input_!$C$36,1+A106,""))</f>
        <v>45520</v>
      </c>
      <c r="B107">
        <v>0.21</v>
      </c>
      <c r="C107">
        <v>1.061538461538462</v>
      </c>
      <c r="D107">
        <f t="shared" si="24"/>
        <v>0.24415384615384628</v>
      </c>
      <c r="E107">
        <v>0</v>
      </c>
      <c r="H107" s="250">
        <f t="shared" si="25"/>
        <v>0.3561276288376628</v>
      </c>
      <c r="I107">
        <f t="shared" si="26"/>
        <v>3.2618383637212869</v>
      </c>
      <c r="J107">
        <f t="shared" si="27"/>
        <v>5.8973453097481006</v>
      </c>
      <c r="K107" t="str">
        <f t="shared" si="28"/>
        <v/>
      </c>
      <c r="O107" s="249">
        <f t="shared" si="22"/>
        <v>45520</v>
      </c>
      <c r="P107">
        <f>IF(A107&gt;Input_!$C$32,+P106,(IF(A107&lt;Input_!$C$23,"",('Budget (2)'!A107-Input_!$C$23)*Input_!$C$76+Input_!$C$25)))</f>
        <v>45.795918367346935</v>
      </c>
      <c r="Q107">
        <f>(+P107*Input_!$C$18)+R107</f>
        <v>17.860408163265305</v>
      </c>
      <c r="R107">
        <f>+P107*Input_!$C$19</f>
        <v>8.7012244897959174</v>
      </c>
      <c r="S107">
        <f t="shared" si="29"/>
        <v>9.1591836734693874</v>
      </c>
      <c r="T107">
        <f t="shared" si="23"/>
        <v>13.280816326530612</v>
      </c>
      <c r="U107">
        <f t="shared" si="30"/>
        <v>11.963062853517204</v>
      </c>
      <c r="V107">
        <f t="shared" si="31"/>
        <v>0.26122552576753255</v>
      </c>
      <c r="W107">
        <f t="shared" si="32"/>
        <v>20.669999999999995</v>
      </c>
      <c r="X107">
        <f t="shared" si="35"/>
        <v>52.302393689742082</v>
      </c>
      <c r="Y107">
        <f t="shared" si="33"/>
        <v>6.3799247049999988</v>
      </c>
      <c r="Z107">
        <f t="shared" si="34"/>
        <v>6</v>
      </c>
    </row>
    <row r="108" spans="1:26" x14ac:dyDescent="0.2">
      <c r="A108" s="249">
        <f>IF(A107="","",IF((1+A107)&lt;Input_!$C$36,1+A107,""))</f>
        <v>45521</v>
      </c>
      <c r="B108">
        <v>0.23</v>
      </c>
      <c r="C108">
        <v>1.038461538461539</v>
      </c>
      <c r="D108">
        <f t="shared" si="24"/>
        <v>0.19730769230769241</v>
      </c>
      <c r="E108">
        <v>7.9921302999999985E-2</v>
      </c>
      <c r="H108" s="250">
        <f t="shared" si="25"/>
        <v>0.34331137866815081</v>
      </c>
      <c r="I108">
        <f t="shared" si="26"/>
        <v>3.1444519744135935</v>
      </c>
      <c r="J108">
        <f t="shared" si="27"/>
        <v>6.014731699055794</v>
      </c>
      <c r="K108">
        <f t="shared" si="28"/>
        <v>7.9921302999999985E-2</v>
      </c>
      <c r="O108" s="249">
        <f t="shared" si="22"/>
        <v>45521</v>
      </c>
      <c r="P108">
        <f>IF(A108&gt;Input_!$C$32,+P107,(IF(A108&lt;Input_!$C$23,"",('Budget (2)'!A108-Input_!$C$23)*Input_!$C$76+Input_!$C$25)))</f>
        <v>45.795918367346935</v>
      </c>
      <c r="Q108">
        <f>(+P108*Input_!$C$18)+R108</f>
        <v>17.860408163265305</v>
      </c>
      <c r="R108">
        <f>+P108*Input_!$C$19</f>
        <v>8.7012244897959174</v>
      </c>
      <c r="S108">
        <f t="shared" si="29"/>
        <v>9.1591836734693874</v>
      </c>
      <c r="T108">
        <f t="shared" si="23"/>
        <v>13.280816326530612</v>
      </c>
      <c r="U108">
        <f t="shared" si="30"/>
        <v>11.845676464209511</v>
      </c>
      <c r="V108">
        <f t="shared" si="31"/>
        <v>0.25866227573363015</v>
      </c>
      <c r="W108">
        <f t="shared" si="32"/>
        <v>20.859999999999996</v>
      </c>
      <c r="X108">
        <f t="shared" si="35"/>
        <v>50.528977072678842</v>
      </c>
      <c r="Y108">
        <f t="shared" si="33"/>
        <v>6.4598460079999986</v>
      </c>
      <c r="Z108">
        <f t="shared" si="34"/>
        <v>6</v>
      </c>
    </row>
    <row r="109" spans="1:26" x14ac:dyDescent="0.2">
      <c r="A109" s="249">
        <f>IF(A108="","",IF((1+A108)&lt;Input_!$C$36,1+A108,""))</f>
        <v>45522</v>
      </c>
      <c r="B109">
        <v>0.19</v>
      </c>
      <c r="C109">
        <v>1.015384615384616</v>
      </c>
      <c r="D109">
        <f t="shared" si="24"/>
        <v>0.19292307692307703</v>
      </c>
      <c r="E109">
        <v>0</v>
      </c>
      <c r="H109" s="250">
        <f t="shared" si="25"/>
        <v>0.32224803025186127</v>
      </c>
      <c r="I109">
        <f t="shared" si="26"/>
        <v>2.9515288974905172</v>
      </c>
      <c r="J109">
        <f t="shared" si="27"/>
        <v>6.2076547759788703</v>
      </c>
      <c r="K109" t="str">
        <f t="shared" si="28"/>
        <v/>
      </c>
      <c r="O109" s="249">
        <f t="shared" si="22"/>
        <v>45522</v>
      </c>
      <c r="P109">
        <f>IF(A109&gt;Input_!$C$32,+P108,(IF(A109&lt;Input_!$C$23,"",('Budget (2)'!A109-Input_!$C$23)*Input_!$C$76+Input_!$C$25)))</f>
        <v>45.795918367346935</v>
      </c>
      <c r="Q109">
        <f>(+P109*Input_!$C$18)+R109</f>
        <v>17.860408163265305</v>
      </c>
      <c r="R109">
        <f>+P109*Input_!$C$19</f>
        <v>8.7012244897959174</v>
      </c>
      <c r="S109">
        <f t="shared" si="29"/>
        <v>9.1591836734693874</v>
      </c>
      <c r="T109">
        <f t="shared" si="23"/>
        <v>13.280816326530612</v>
      </c>
      <c r="U109">
        <f t="shared" si="30"/>
        <v>11.652753387286435</v>
      </c>
      <c r="V109">
        <f t="shared" si="31"/>
        <v>0.25444960605037226</v>
      </c>
      <c r="W109">
        <f t="shared" si="32"/>
        <v>21.049999999999997</v>
      </c>
      <c r="X109">
        <f t="shared" si="35"/>
        <v>47.674254684437031</v>
      </c>
      <c r="Y109">
        <f t="shared" si="33"/>
        <v>6.4598460079999986</v>
      </c>
      <c r="Z109">
        <f t="shared" si="34"/>
        <v>6</v>
      </c>
    </row>
    <row r="110" spans="1:26" x14ac:dyDescent="0.2">
      <c r="A110" s="249">
        <f>IF(A109="","",IF((1+A109)&lt;Input_!$C$36,1+A109,""))</f>
        <v>45523</v>
      </c>
      <c r="B110">
        <v>0.19</v>
      </c>
      <c r="C110">
        <v>0.99230769230769289</v>
      </c>
      <c r="D110">
        <f t="shared" si="24"/>
        <v>0.2083846153846155</v>
      </c>
      <c r="E110">
        <v>0</v>
      </c>
      <c r="H110" s="250">
        <f t="shared" si="25"/>
        <v>0.29949659051512767</v>
      </c>
      <c r="I110">
        <f t="shared" si="26"/>
        <v>2.743144282105904</v>
      </c>
      <c r="J110">
        <f t="shared" si="27"/>
        <v>6.4160393913634834</v>
      </c>
      <c r="K110" t="str">
        <f t="shared" si="28"/>
        <v/>
      </c>
      <c r="O110" s="249">
        <f t="shared" si="22"/>
        <v>45523</v>
      </c>
      <c r="P110">
        <f>IF(A110&gt;Input_!$C$32,+P109,(IF(A110&lt;Input_!$C$23,"",('Budget (2)'!A110-Input_!$C$23)*Input_!$C$76+Input_!$C$25)))</f>
        <v>45.795918367346935</v>
      </c>
      <c r="Q110">
        <f>(+P110*Input_!$C$18)+R110</f>
        <v>17.860408163265305</v>
      </c>
      <c r="R110">
        <f>+P110*Input_!$C$19</f>
        <v>8.7012244897959174</v>
      </c>
      <c r="S110">
        <f t="shared" si="29"/>
        <v>9.1591836734693874</v>
      </c>
      <c r="T110">
        <f t="shared" si="23"/>
        <v>13.280816326530612</v>
      </c>
      <c r="U110">
        <f t="shared" si="30"/>
        <v>11.444368771901821</v>
      </c>
      <c r="V110">
        <f t="shared" si="31"/>
        <v>0.24989931810302554</v>
      </c>
      <c r="W110">
        <f t="shared" si="32"/>
        <v>21.259999999999998</v>
      </c>
      <c r="X110">
        <f t="shared" si="35"/>
        <v>44.674371085484459</v>
      </c>
      <c r="Y110">
        <f t="shared" si="33"/>
        <v>6.4598460079999986</v>
      </c>
      <c r="Z110">
        <f t="shared" si="34"/>
        <v>6</v>
      </c>
    </row>
    <row r="111" spans="1:26" x14ac:dyDescent="0.2">
      <c r="A111" s="249">
        <f>IF(A110="","",IF((1+A110)&lt;Input_!$C$36,1+A110,""))</f>
        <v>45524</v>
      </c>
      <c r="B111">
        <v>0.21</v>
      </c>
      <c r="C111">
        <f>U5</f>
        <v>0.97841235150000005</v>
      </c>
      <c r="D111">
        <f t="shared" si="24"/>
        <v>0.16633009975500002</v>
      </c>
      <c r="E111">
        <v>0</v>
      </c>
      <c r="F111">
        <v>1</v>
      </c>
      <c r="H111" s="250">
        <f t="shared" si="25"/>
        <v>0.39051669994472871</v>
      </c>
      <c r="I111">
        <f t="shared" si="26"/>
        <v>3.576814182350903</v>
      </c>
      <c r="J111">
        <f t="shared" si="27"/>
        <v>5.5823694911184845</v>
      </c>
      <c r="K111" t="str">
        <f t="shared" si="28"/>
        <v/>
      </c>
      <c r="O111" s="249">
        <f t="shared" si="22"/>
        <v>45524</v>
      </c>
      <c r="P111">
        <f>IF(A111&gt;Input_!$C$32,+P110,(IF(A111&lt;Input_!$C$23,"",('Budget (2)'!A111-Input_!$C$23)*Input_!$C$76+Input_!$C$25)))</f>
        <v>45.795918367346935</v>
      </c>
      <c r="Q111">
        <f>(+P111*Input_!$C$18)+R111</f>
        <v>17.860408163265305</v>
      </c>
      <c r="R111">
        <f>+P111*Input_!$C$19</f>
        <v>8.7012244897959174</v>
      </c>
      <c r="S111">
        <f t="shared" si="29"/>
        <v>9.1591836734693874</v>
      </c>
      <c r="T111">
        <f t="shared" si="23"/>
        <v>13.280816326530612</v>
      </c>
      <c r="U111">
        <f t="shared" si="30"/>
        <v>12.27803867214682</v>
      </c>
      <c r="V111">
        <f t="shared" si="31"/>
        <v>0.26810333998894575</v>
      </c>
      <c r="W111">
        <f t="shared" si="32"/>
        <v>21.43</v>
      </c>
      <c r="X111">
        <f t="shared" si="35"/>
        <v>57.197079180518209</v>
      </c>
      <c r="Y111">
        <f t="shared" si="33"/>
        <v>6.4598460079999986</v>
      </c>
      <c r="Z111">
        <f t="shared" si="34"/>
        <v>7</v>
      </c>
    </row>
    <row r="112" spans="1:26" x14ac:dyDescent="0.2">
      <c r="A112" s="249">
        <f>IF(A111="","",IF((1+A111)&lt;Input_!$C$36,1+A111,""))</f>
        <v>45525</v>
      </c>
      <c r="B112">
        <v>0.17</v>
      </c>
      <c r="C112">
        <v>0.94615384615384668</v>
      </c>
      <c r="D112">
        <f t="shared" si="24"/>
        <v>0.19869230769230781</v>
      </c>
      <c r="E112">
        <v>0</v>
      </c>
      <c r="H112" s="250">
        <f t="shared" si="25"/>
        <v>0.36882346670737776</v>
      </c>
      <c r="I112">
        <f t="shared" si="26"/>
        <v>3.3781218746585946</v>
      </c>
      <c r="J112">
        <f t="shared" si="27"/>
        <v>5.7810617988107929</v>
      </c>
      <c r="K112" t="str">
        <f t="shared" si="28"/>
        <v/>
      </c>
      <c r="O112" s="249">
        <f t="shared" si="22"/>
        <v>45525</v>
      </c>
      <c r="P112">
        <f>IF(A112&gt;Input_!$C$32,+P111,(IF(A112&lt;Input_!$C$23,"",('Budget (2)'!A112-Input_!$C$23)*Input_!$C$76+Input_!$C$25)))</f>
        <v>45.795918367346935</v>
      </c>
      <c r="Q112">
        <f>(+P112*Input_!$C$18)+R112</f>
        <v>17.860408163265305</v>
      </c>
      <c r="R112">
        <f>+P112*Input_!$C$19</f>
        <v>8.7012244897959174</v>
      </c>
      <c r="S112">
        <f t="shared" si="29"/>
        <v>9.1591836734693874</v>
      </c>
      <c r="T112">
        <f t="shared" si="23"/>
        <v>13.280816326530612</v>
      </c>
      <c r="U112">
        <f t="shared" si="30"/>
        <v>12.079346364454512</v>
      </c>
      <c r="V112">
        <f t="shared" si="31"/>
        <v>0.26376469334147556</v>
      </c>
      <c r="W112">
        <f t="shared" si="32"/>
        <v>21.64</v>
      </c>
      <c r="X112">
        <f t="shared" si="35"/>
        <v>54.086320511872167</v>
      </c>
      <c r="Y112">
        <f t="shared" si="33"/>
        <v>6.4598460079999986</v>
      </c>
      <c r="Z112">
        <f t="shared" si="34"/>
        <v>7</v>
      </c>
    </row>
    <row r="113" spans="1:26" x14ac:dyDescent="0.2">
      <c r="A113" s="249">
        <f>IF(A112="","",IF((1+A112)&lt;Input_!$C$36,1+A112,""))</f>
        <v>45526</v>
      </c>
      <c r="B113">
        <v>0.21</v>
      </c>
      <c r="C113">
        <v>0.92307692307692357</v>
      </c>
      <c r="D113">
        <f t="shared" si="24"/>
        <v>0.10153846153846159</v>
      </c>
      <c r="E113">
        <v>0</v>
      </c>
      <c r="H113" s="250">
        <f t="shared" si="25"/>
        <v>0.35773749385669878</v>
      </c>
      <c r="I113">
        <f t="shared" si="26"/>
        <v>3.2765834131201306</v>
      </c>
      <c r="J113">
        <f t="shared" si="27"/>
        <v>5.8826002603492569</v>
      </c>
      <c r="K113" t="str">
        <f t="shared" si="28"/>
        <v/>
      </c>
      <c r="O113" s="249">
        <f t="shared" si="22"/>
        <v>45526</v>
      </c>
      <c r="P113">
        <f>IF(A113&gt;Input_!$C$32,+P112,(IF(A113&lt;Input_!$C$23,"",('Budget (2)'!A113-Input_!$C$23)*Input_!$C$76+Input_!$C$25)))</f>
        <v>45.795918367346935</v>
      </c>
      <c r="Q113">
        <f>(+P113*Input_!$C$18)+R113</f>
        <v>17.860408163265305</v>
      </c>
      <c r="R113">
        <f>+P113*Input_!$C$19</f>
        <v>8.7012244897959174</v>
      </c>
      <c r="S113">
        <f t="shared" si="29"/>
        <v>9.1591836734693874</v>
      </c>
      <c r="T113">
        <f t="shared" ref="T113:T130" si="36">+(1-$F$4)*S113+R113</f>
        <v>13.280816326530612</v>
      </c>
      <c r="U113">
        <f t="shared" si="30"/>
        <v>11.977807902916048</v>
      </c>
      <c r="V113">
        <f t="shared" si="31"/>
        <v>0.26154749877133976</v>
      </c>
      <c r="W113">
        <f t="shared" si="32"/>
        <v>21.75</v>
      </c>
      <c r="X113">
        <f t="shared" si="35"/>
        <v>52.52710302676455</v>
      </c>
      <c r="Y113">
        <f t="shared" si="33"/>
        <v>6.4598460079999986</v>
      </c>
      <c r="Z113">
        <f t="shared" si="34"/>
        <v>7</v>
      </c>
    </row>
    <row r="114" spans="1:26" x14ac:dyDescent="0.2">
      <c r="A114" s="249">
        <f>IF(A113="","",IF((1+A113)&lt;Input_!$C$36,1+A113,""))</f>
        <v>45527</v>
      </c>
      <c r="B114">
        <v>0.11</v>
      </c>
      <c r="C114">
        <v>0.90000000000000047</v>
      </c>
      <c r="D114">
        <f t="shared" si="24"/>
        <v>0.19800000000000009</v>
      </c>
      <c r="E114">
        <v>0.12992132999999997</v>
      </c>
      <c r="H114" s="250">
        <f t="shared" ref="H114:H129" si="37">IF(B115="","",IF(B115&gt;-0.0001,IF(G114&gt;0.0001,+G114,IF((+U114-R114)/(Q114-R114)&gt;1,1,(MAX(0,(+U114-R114)/(Q114-R114))))),""))</f>
        <v>0.35030466223905188</v>
      </c>
      <c r="I114">
        <f t="shared" ref="I114:I129" si="38">IF(B115="","",IF(B115&gt;-0.0001,IF((+U114-R114)&lt;0,0,+U114-R114),""))</f>
        <v>3.2085047431201321</v>
      </c>
      <c r="J114">
        <f t="shared" ref="J114:J129" si="39">IF(B115="","",IF(B115&gt;-0.0001,IF((Q114-U114)&lt;0,0,Q114-U114),""))</f>
        <v>5.9506789303492553</v>
      </c>
      <c r="K114">
        <f t="shared" si="28"/>
        <v>0.12992132999999997</v>
      </c>
      <c r="O114" s="249">
        <f t="shared" si="22"/>
        <v>45527</v>
      </c>
      <c r="P114">
        <f>IF(A114&gt;Input_!$C$32,+P113,(IF(A114&lt;Input_!$C$23,"",('Budget (2)'!A114-Input_!$C$23)*Input_!$C$76+Input_!$C$25)))</f>
        <v>45.795918367346935</v>
      </c>
      <c r="Q114">
        <f>(+P114*Input_!$C$18)+R114</f>
        <v>17.860408163265305</v>
      </c>
      <c r="R114">
        <f>+P114*Input_!$C$19</f>
        <v>8.7012244897959174</v>
      </c>
      <c r="S114">
        <f t="shared" si="29"/>
        <v>9.1591836734693874</v>
      </c>
      <c r="T114">
        <f t="shared" si="36"/>
        <v>13.280816326530612</v>
      </c>
      <c r="U114">
        <f t="shared" ref="U114:U129" si="40">IF(B115="",0,IF(B115&gt;-0.0001,MAX(IF(G114&gt;0.001,(G114*S114+R114),MIN((+U113+E114+F114-D114+Q114-Q113),Q114)),R114),""))</f>
        <v>11.90972923291605</v>
      </c>
      <c r="V114">
        <f t="shared" si="31"/>
        <v>0.26006093244781037</v>
      </c>
      <c r="W114">
        <f t="shared" ref="W114:W129" si="41">IF(+B115&gt;-0.01,+B115+W113,"")</f>
        <v>21.97</v>
      </c>
      <c r="X114">
        <f t="shared" si="35"/>
        <v>51.493239059618247</v>
      </c>
      <c r="Y114">
        <f t="shared" ref="Y114:Y129" si="42">IF(+B115&gt;-0.01,+E114+Y113,"")</f>
        <v>6.5897673379999988</v>
      </c>
      <c r="Z114">
        <f t="shared" ref="Z114:Z129" si="43">IF(+B115&gt;-0.01,+F114+Z113,"")</f>
        <v>7</v>
      </c>
    </row>
    <row r="115" spans="1:26" x14ac:dyDescent="0.2">
      <c r="A115" s="249">
        <f>IF(A114="","",IF((1+A114)&lt;Input_!$C$36,1+A114,""))</f>
        <v>45528</v>
      </c>
      <c r="B115">
        <v>0.22</v>
      </c>
      <c r="C115">
        <v>0.87692307692307736</v>
      </c>
      <c r="D115">
        <f t="shared" si="24"/>
        <v>0.28061538461538477</v>
      </c>
      <c r="E115">
        <v>0.12007880499999998</v>
      </c>
      <c r="H115" s="250">
        <f t="shared" si="37"/>
        <v>0.33277727275341523</v>
      </c>
      <c r="I115">
        <f t="shared" si="38"/>
        <v>3.0479681635047502</v>
      </c>
      <c r="J115">
        <f t="shared" si="39"/>
        <v>6.1112155099646372</v>
      </c>
      <c r="K115">
        <f t="shared" si="28"/>
        <v>0.12007880499999998</v>
      </c>
      <c r="O115" s="249">
        <f t="shared" si="22"/>
        <v>45528</v>
      </c>
      <c r="P115">
        <f>IF(A115&gt;Input_!$C$32,+P114,(IF(A115&lt;Input_!$C$23,"",('Budget (2)'!A115-Input_!$C$23)*Input_!$C$76+Input_!$C$25)))</f>
        <v>45.795918367346935</v>
      </c>
      <c r="Q115">
        <f>(+P115*Input_!$C$18)+R115</f>
        <v>17.860408163265305</v>
      </c>
      <c r="R115">
        <f>+P115*Input_!$C$19</f>
        <v>8.7012244897959174</v>
      </c>
      <c r="S115">
        <f t="shared" si="29"/>
        <v>9.1591836734693874</v>
      </c>
      <c r="T115">
        <f t="shared" si="36"/>
        <v>13.280816326530612</v>
      </c>
      <c r="U115">
        <f t="shared" si="40"/>
        <v>11.749192653300668</v>
      </c>
      <c r="V115">
        <f t="shared" si="31"/>
        <v>0.25655545455068307</v>
      </c>
      <c r="W115">
        <f t="shared" si="41"/>
        <v>22.29</v>
      </c>
      <c r="X115">
        <f t="shared" si="35"/>
        <v>49.091981480674953</v>
      </c>
      <c r="Y115">
        <f t="shared" si="42"/>
        <v>6.7098461429999992</v>
      </c>
      <c r="Z115">
        <f t="shared" si="43"/>
        <v>7</v>
      </c>
    </row>
    <row r="116" spans="1:26" x14ac:dyDescent="0.2">
      <c r="A116" s="249">
        <f>IF(A115="","",IF((1+A115)&lt;Input_!$C$36,1+A115,""))</f>
        <v>45529</v>
      </c>
      <c r="B116">
        <v>0.32</v>
      </c>
      <c r="C116">
        <f>V5</f>
        <v>0.96681335474999996</v>
      </c>
      <c r="D116">
        <f t="shared" si="24"/>
        <v>0.26103960578250002</v>
      </c>
      <c r="E116">
        <v>0</v>
      </c>
      <c r="H116" s="250">
        <f t="shared" si="37"/>
        <v>0.30427695928785709</v>
      </c>
      <c r="I116">
        <f t="shared" si="38"/>
        <v>2.7869285577222502</v>
      </c>
      <c r="J116">
        <f t="shared" si="39"/>
        <v>6.3722551157471372</v>
      </c>
      <c r="K116" t="str">
        <f t="shared" si="28"/>
        <v/>
      </c>
      <c r="O116" s="249">
        <f t="shared" si="22"/>
        <v>45529</v>
      </c>
      <c r="P116">
        <f>IF(A116&gt;Input_!$C$32,+P115,(IF(A116&lt;Input_!$C$23,"",('Budget (2)'!A116-Input_!$C$23)*Input_!$C$76+Input_!$C$25)))</f>
        <v>45.795918367346935</v>
      </c>
      <c r="Q116">
        <f>(+P116*Input_!$C$18)+R116</f>
        <v>17.860408163265305</v>
      </c>
      <c r="R116">
        <f>+P116*Input_!$C$19</f>
        <v>8.7012244897959174</v>
      </c>
      <c r="S116">
        <f t="shared" si="29"/>
        <v>9.1591836734693874</v>
      </c>
      <c r="T116">
        <f t="shared" si="36"/>
        <v>13.280816326530612</v>
      </c>
      <c r="U116">
        <f t="shared" si="40"/>
        <v>11.488153047518168</v>
      </c>
      <c r="V116">
        <f t="shared" si="31"/>
        <v>0.25085539185757144</v>
      </c>
      <c r="W116">
        <f t="shared" si="41"/>
        <v>22.56</v>
      </c>
      <c r="X116">
        <f t="shared" si="35"/>
        <v>45.297478130142892</v>
      </c>
      <c r="Y116">
        <f t="shared" si="42"/>
        <v>6.7098461429999992</v>
      </c>
      <c r="Z116">
        <f t="shared" si="43"/>
        <v>7</v>
      </c>
    </row>
    <row r="117" spans="1:26" x14ac:dyDescent="0.2">
      <c r="A117" s="249">
        <f>IF(A116="","",IF((1+A116)&lt;Input_!$C$36,1+A116,""))</f>
        <v>45530</v>
      </c>
      <c r="B117">
        <v>0.27</v>
      </c>
      <c r="C117">
        <v>0.83076923076923115</v>
      </c>
      <c r="D117">
        <f t="shared" si="24"/>
        <v>0.14953846153846159</v>
      </c>
      <c r="E117">
        <v>0</v>
      </c>
      <c r="H117" s="250">
        <f t="shared" si="37"/>
        <v>0.28795034472594833</v>
      </c>
      <c r="I117">
        <f t="shared" si="38"/>
        <v>2.6373900961837879</v>
      </c>
      <c r="J117">
        <f t="shared" si="39"/>
        <v>6.5217935772855995</v>
      </c>
      <c r="K117" t="str">
        <f t="shared" si="28"/>
        <v/>
      </c>
      <c r="O117" s="249">
        <f>+A117</f>
        <v>45530</v>
      </c>
      <c r="P117">
        <f>IF(A117&gt;Input_!$C$32,+P116,(IF(A117&lt;Input_!$C$23,"",('Budget (2)'!A117-Input_!$C$23)*Input_!$C$76+Input_!$C$25)))</f>
        <v>45.795918367346935</v>
      </c>
      <c r="Q117">
        <f>(+P117*Input_!$C$18)+R117</f>
        <v>17.860408163265305</v>
      </c>
      <c r="R117">
        <f>+P117*Input_!$C$19</f>
        <v>8.7012244897959174</v>
      </c>
      <c r="S117">
        <f>+Q117-R117</f>
        <v>9.1591836734693874</v>
      </c>
      <c r="T117">
        <f t="shared" si="36"/>
        <v>13.280816326530612</v>
      </c>
      <c r="U117">
        <f t="shared" si="40"/>
        <v>11.338614585979705</v>
      </c>
      <c r="V117">
        <f t="shared" si="31"/>
        <v>0.24759006894518967</v>
      </c>
      <c r="W117">
        <f t="shared" si="41"/>
        <v>22.74</v>
      </c>
      <c r="X117">
        <f t="shared" si="35"/>
        <v>43.185166140038532</v>
      </c>
      <c r="Y117">
        <f t="shared" si="42"/>
        <v>6.7098461429999992</v>
      </c>
      <c r="Z117">
        <f t="shared" si="43"/>
        <v>7</v>
      </c>
    </row>
    <row r="118" spans="1:26" x14ac:dyDescent="0.2">
      <c r="A118" s="249">
        <f>IF(A117="","",IF((1+A117)&lt;Input_!$C$36,1+A117,""))</f>
        <v>45531</v>
      </c>
      <c r="B118">
        <v>0.18</v>
      </c>
      <c r="C118">
        <v>0.80769230769230804</v>
      </c>
      <c r="D118">
        <f t="shared" si="24"/>
        <v>0.20192307692307701</v>
      </c>
      <c r="E118">
        <v>0.179921357</v>
      </c>
      <c r="F118">
        <v>1</v>
      </c>
      <c r="H118" s="250">
        <f t="shared" si="37"/>
        <v>0.39472823181099581</v>
      </c>
      <c r="I118">
        <f t="shared" si="38"/>
        <v>3.6153883762607126</v>
      </c>
      <c r="J118">
        <f t="shared" si="39"/>
        <v>5.5437952972086748</v>
      </c>
      <c r="K118">
        <f t="shared" si="28"/>
        <v>0.179921357</v>
      </c>
      <c r="O118" s="249">
        <f t="shared" ref="O118:O167" si="44">+A118</f>
        <v>45531</v>
      </c>
      <c r="P118">
        <f>IF(A118&gt;Input_!$C$32,+P117,(IF(A118&lt;Input_!$C$23,"",('Budget (2)'!A118-Input_!$C$23)*Input_!$C$76+Input_!$C$25)))</f>
        <v>45.795918367346935</v>
      </c>
      <c r="Q118">
        <f>(+P118*Input_!$C$18)+R118</f>
        <v>17.860408163265305</v>
      </c>
      <c r="R118">
        <f>+P118*Input_!$C$19</f>
        <v>8.7012244897959174</v>
      </c>
      <c r="S118">
        <f t="shared" ref="S118:S130" si="45">+Q118-R118</f>
        <v>9.1591836734693874</v>
      </c>
      <c r="T118">
        <f t="shared" si="36"/>
        <v>13.280816326530612</v>
      </c>
      <c r="U118">
        <f t="shared" si="40"/>
        <v>12.31661286605663</v>
      </c>
      <c r="V118">
        <f t="shared" si="31"/>
        <v>0.26894564636219914</v>
      </c>
      <c r="W118">
        <f t="shared" si="41"/>
        <v>22.99</v>
      </c>
      <c r="X118">
        <f t="shared" si="35"/>
        <v>57.810155317374893</v>
      </c>
      <c r="Y118">
        <f t="shared" si="42"/>
        <v>6.8897674999999996</v>
      </c>
      <c r="Z118">
        <f t="shared" si="43"/>
        <v>8</v>
      </c>
    </row>
    <row r="119" spans="1:26" x14ac:dyDescent="0.2">
      <c r="A119" s="249">
        <f>IF(A118="","",IF((1+A118)&lt;Input_!$C$36,1+A118,""))</f>
        <v>45532</v>
      </c>
      <c r="B119">
        <v>0.25</v>
      </c>
      <c r="C119">
        <v>0.78461538461538494</v>
      </c>
      <c r="D119">
        <f t="shared" si="24"/>
        <v>0.10200000000000005</v>
      </c>
      <c r="E119">
        <v>5.9842552E-2</v>
      </c>
      <c r="H119" s="250">
        <f t="shared" si="37"/>
        <v>0.39012548013541637</v>
      </c>
      <c r="I119">
        <f t="shared" si="38"/>
        <v>3.5732309282607115</v>
      </c>
      <c r="J119">
        <f t="shared" si="39"/>
        <v>5.5859527452086759</v>
      </c>
      <c r="K119">
        <f t="shared" si="28"/>
        <v>5.9842552E-2</v>
      </c>
      <c r="O119" s="249">
        <f t="shared" si="44"/>
        <v>45532</v>
      </c>
      <c r="P119">
        <f>IF(A119&gt;Input_!$C$32,+P118,(IF(A119&lt;Input_!$C$23,"",('Budget (2)'!A119-Input_!$C$23)*Input_!$C$76+Input_!$C$25)))</f>
        <v>45.795918367346935</v>
      </c>
      <c r="Q119">
        <f>(+P119*Input_!$C$18)+R119</f>
        <v>17.860408163265305</v>
      </c>
      <c r="R119">
        <f>+P119*Input_!$C$19</f>
        <v>8.7012244897959174</v>
      </c>
      <c r="S119">
        <f t="shared" si="45"/>
        <v>9.1591836734693874</v>
      </c>
      <c r="T119">
        <f t="shared" si="36"/>
        <v>13.280816326530612</v>
      </c>
      <c r="U119">
        <f t="shared" si="40"/>
        <v>12.274455418056629</v>
      </c>
      <c r="V119">
        <f t="shared" si="31"/>
        <v>0.2680250960270833</v>
      </c>
      <c r="W119">
        <f t="shared" si="41"/>
        <v>23.119999999999997</v>
      </c>
      <c r="X119">
        <f t="shared" si="35"/>
        <v>57.140280053887821</v>
      </c>
      <c r="Y119">
        <f t="shared" si="42"/>
        <v>6.9496100519999997</v>
      </c>
      <c r="Z119">
        <f t="shared" si="43"/>
        <v>8</v>
      </c>
    </row>
    <row r="120" spans="1:26" x14ac:dyDescent="0.2">
      <c r="A120" s="249">
        <f>IF(A119="","",IF((1+A119)&lt;Input_!$C$36,1+A119,""))</f>
        <v>45533</v>
      </c>
      <c r="B120">
        <v>0.13</v>
      </c>
      <c r="C120">
        <v>0.76153846153846183</v>
      </c>
      <c r="D120">
        <f t="shared" si="24"/>
        <v>0.1218461538461539</v>
      </c>
      <c r="E120">
        <v>0</v>
      </c>
      <c r="H120" s="250">
        <f t="shared" si="37"/>
        <v>0.37682231271460198</v>
      </c>
      <c r="I120">
        <f t="shared" si="38"/>
        <v>3.4513847744145583</v>
      </c>
      <c r="J120">
        <f t="shared" si="39"/>
        <v>5.7077988990548292</v>
      </c>
      <c r="K120" t="str">
        <f t="shared" si="28"/>
        <v/>
      </c>
      <c r="O120" s="249">
        <f t="shared" si="44"/>
        <v>45533</v>
      </c>
      <c r="P120">
        <f>IF(A120&gt;Input_!$C$32,+P119,(IF(A120&lt;Input_!$C$23,"",('Budget (2)'!A120-Input_!$C$23)*Input_!$C$76+Input_!$C$25)))</f>
        <v>45.795918367346935</v>
      </c>
      <c r="Q120">
        <f>(+P120*Input_!$C$18)+R120</f>
        <v>17.860408163265305</v>
      </c>
      <c r="R120">
        <f>+P120*Input_!$C$19</f>
        <v>8.7012244897959174</v>
      </c>
      <c r="S120">
        <f t="shared" si="45"/>
        <v>9.1591836734693874</v>
      </c>
      <c r="T120">
        <f t="shared" si="36"/>
        <v>13.280816326530612</v>
      </c>
      <c r="U120">
        <f t="shared" si="40"/>
        <v>12.152609264210476</v>
      </c>
      <c r="V120">
        <f t="shared" si="31"/>
        <v>0.2653644625429204</v>
      </c>
      <c r="W120">
        <f t="shared" si="41"/>
        <v>23.279999999999998</v>
      </c>
      <c r="X120">
        <f t="shared" si="35"/>
        <v>55.224146910435955</v>
      </c>
      <c r="Y120">
        <f t="shared" si="42"/>
        <v>6.9496100519999997</v>
      </c>
      <c r="Z120">
        <f t="shared" si="43"/>
        <v>8</v>
      </c>
    </row>
    <row r="121" spans="1:26" x14ac:dyDescent="0.2">
      <c r="A121" s="249">
        <f>IF(A120="","",IF((1+A120)&lt;Input_!$C$36,1+A120,""))</f>
        <v>45534</v>
      </c>
      <c r="B121">
        <v>0.16</v>
      </c>
      <c r="C121">
        <v>0.73846153846153872</v>
      </c>
      <c r="D121">
        <f t="shared" si="24"/>
        <v>0.13292307692307698</v>
      </c>
      <c r="E121">
        <v>0</v>
      </c>
      <c r="H121" s="250">
        <f t="shared" si="37"/>
        <v>0.36230976643734975</v>
      </c>
      <c r="I121">
        <f t="shared" si="38"/>
        <v>3.3184616974914807</v>
      </c>
      <c r="J121">
        <f t="shared" si="39"/>
        <v>5.8407219759779068</v>
      </c>
      <c r="K121" t="str">
        <f t="shared" si="28"/>
        <v/>
      </c>
      <c r="O121" s="249">
        <f t="shared" si="44"/>
        <v>45534</v>
      </c>
      <c r="P121">
        <f>IF(A121&gt;Input_!$C$32,+P120,(IF(A121&lt;Input_!$C$23,"",('Budget (2)'!A121-Input_!$C$23)*Input_!$C$76+Input_!$C$25)))</f>
        <v>45.795918367346935</v>
      </c>
      <c r="Q121">
        <f>(+P121*Input_!$C$18)+R121</f>
        <v>17.860408163265305</v>
      </c>
      <c r="R121">
        <f>+P121*Input_!$C$19</f>
        <v>8.7012244897959174</v>
      </c>
      <c r="S121">
        <f t="shared" si="45"/>
        <v>9.1591836734693874</v>
      </c>
      <c r="T121">
        <f t="shared" si="36"/>
        <v>13.280816326530612</v>
      </c>
      <c r="U121">
        <f t="shared" si="40"/>
        <v>12.019686187287398</v>
      </c>
      <c r="V121">
        <f t="shared" si="31"/>
        <v>0.26246195328746996</v>
      </c>
      <c r="W121">
        <f t="shared" si="41"/>
        <v>23.459999999999997</v>
      </c>
      <c r="X121">
        <f t="shared" si="35"/>
        <v>53.167684554911254</v>
      </c>
      <c r="Y121">
        <f t="shared" si="42"/>
        <v>6.9496100519999997</v>
      </c>
      <c r="Z121">
        <f t="shared" si="43"/>
        <v>8</v>
      </c>
    </row>
    <row r="122" spans="1:26" x14ac:dyDescent="0.2">
      <c r="A122" s="249">
        <f>IF(A121="","",IF((1+A121)&lt;Input_!$C$36,1+A121,""))</f>
        <v>45535</v>
      </c>
      <c r="B122">
        <v>0.18</v>
      </c>
      <c r="C122">
        <f>W5</f>
        <v>0.95152740150000004</v>
      </c>
      <c r="D122">
        <f t="shared" si="24"/>
        <v>0.180790206285</v>
      </c>
      <c r="E122">
        <v>0</v>
      </c>
      <c r="H122" s="250">
        <f t="shared" si="37"/>
        <v>0.34257108526986979</v>
      </c>
      <c r="I122">
        <f t="shared" si="38"/>
        <v>3.1376714912064809</v>
      </c>
      <c r="J122">
        <f t="shared" si="39"/>
        <v>6.0215121822629065</v>
      </c>
      <c r="K122" t="str">
        <f t="shared" si="28"/>
        <v/>
      </c>
      <c r="O122" s="249">
        <f t="shared" si="44"/>
        <v>45535</v>
      </c>
      <c r="P122">
        <f>IF(A122&gt;Input_!$C$32,+P121,(IF(A122&lt;Input_!$C$23,"",('Budget (2)'!A122-Input_!$C$23)*Input_!$C$76+Input_!$C$25)))</f>
        <v>45.795918367346935</v>
      </c>
      <c r="Q122">
        <f>(+P122*Input_!$C$18)+R122</f>
        <v>17.860408163265305</v>
      </c>
      <c r="R122">
        <f>+P122*Input_!$C$19</f>
        <v>8.7012244897959174</v>
      </c>
      <c r="S122">
        <f t="shared" si="45"/>
        <v>9.1591836734693874</v>
      </c>
      <c r="T122">
        <f t="shared" si="36"/>
        <v>13.280816326530612</v>
      </c>
      <c r="U122">
        <f t="shared" si="40"/>
        <v>11.838895981002398</v>
      </c>
      <c r="V122">
        <f t="shared" si="31"/>
        <v>0.25851421705397398</v>
      </c>
      <c r="W122">
        <f t="shared" si="41"/>
        <v>23.65</v>
      </c>
      <c r="X122">
        <f t="shared" si="35"/>
        <v>50.427382733480819</v>
      </c>
      <c r="Y122">
        <f t="shared" si="42"/>
        <v>6.9496100519999997</v>
      </c>
      <c r="Z122">
        <f t="shared" si="43"/>
        <v>8</v>
      </c>
    </row>
    <row r="123" spans="1:26" x14ac:dyDescent="0.2">
      <c r="A123" s="249">
        <f>IF(A122="","",IF((1+A122)&lt;Input_!$C$36,1+A122,""))</f>
        <v>45536</v>
      </c>
      <c r="B123">
        <v>0.19</v>
      </c>
      <c r="C123">
        <v>0.69230769230769251</v>
      </c>
      <c r="D123">
        <f t="shared" si="24"/>
        <v>0.14538461538461542</v>
      </c>
      <c r="E123">
        <v>0</v>
      </c>
      <c r="H123" s="250">
        <f t="shared" si="37"/>
        <v>0.32669798777912501</v>
      </c>
      <c r="I123">
        <f t="shared" si="38"/>
        <v>2.992286875821863</v>
      </c>
      <c r="J123">
        <f t="shared" si="39"/>
        <v>6.1668967976475244</v>
      </c>
      <c r="K123" t="str">
        <f t="shared" si="28"/>
        <v/>
      </c>
      <c r="O123" s="249">
        <f t="shared" si="44"/>
        <v>45536</v>
      </c>
      <c r="P123">
        <f>IF(A123&gt;Input_!$C$32,+P122,(IF(A123&lt;Input_!$C$23,"",('Budget (2)'!A123-Input_!$C$23)*Input_!$C$76+Input_!$C$25)))</f>
        <v>45.795918367346935</v>
      </c>
      <c r="Q123">
        <f>(+P123*Input_!$C$18)+R123</f>
        <v>17.860408163265305</v>
      </c>
      <c r="R123">
        <f>+P123*Input_!$C$19</f>
        <v>8.7012244897959174</v>
      </c>
      <c r="S123">
        <f t="shared" si="45"/>
        <v>9.1591836734693874</v>
      </c>
      <c r="T123">
        <f t="shared" si="36"/>
        <v>13.280816326530612</v>
      </c>
      <c r="U123">
        <f t="shared" si="40"/>
        <v>11.69351136561778</v>
      </c>
      <c r="V123">
        <f t="shared" si="31"/>
        <v>0.25533959755582497</v>
      </c>
      <c r="W123">
        <f t="shared" si="41"/>
        <v>23.86</v>
      </c>
      <c r="X123">
        <f t="shared" si="35"/>
        <v>48.271156918142488</v>
      </c>
      <c r="Y123">
        <f t="shared" si="42"/>
        <v>6.9496100519999997</v>
      </c>
      <c r="Z123">
        <f t="shared" si="43"/>
        <v>8</v>
      </c>
    </row>
    <row r="124" spans="1:26" x14ac:dyDescent="0.2">
      <c r="A124" s="249">
        <f>IF(A123="","",IF((1+A123)&lt;Input_!$C$36,1+A123,""))</f>
        <v>45537</v>
      </c>
      <c r="B124">
        <v>0.21</v>
      </c>
      <c r="C124">
        <v>0.66923076923076941</v>
      </c>
      <c r="D124">
        <f t="shared" si="24"/>
        <v>0.17400000000000004</v>
      </c>
      <c r="E124">
        <v>0</v>
      </c>
      <c r="H124" s="250">
        <f t="shared" si="37"/>
        <v>0.30770066157591647</v>
      </c>
      <c r="I124">
        <f t="shared" si="38"/>
        <v>2.8182868758218635</v>
      </c>
      <c r="J124">
        <f t="shared" si="39"/>
        <v>6.3408967976475239</v>
      </c>
      <c r="K124" t="str">
        <f t="shared" si="28"/>
        <v/>
      </c>
      <c r="O124" s="249">
        <f t="shared" si="44"/>
        <v>45537</v>
      </c>
      <c r="P124">
        <f>IF(A124&gt;Input_!$C$32,+P123,(IF(A124&lt;Input_!$C$23,"",('Budget (2)'!A124-Input_!$C$23)*Input_!$C$76+Input_!$C$25)))</f>
        <v>45.795918367346935</v>
      </c>
      <c r="Q124">
        <f>(+P124*Input_!$C$18)+R124</f>
        <v>17.860408163265305</v>
      </c>
      <c r="R124">
        <f>+P124*Input_!$C$19</f>
        <v>8.7012244897959174</v>
      </c>
      <c r="S124">
        <f t="shared" si="45"/>
        <v>9.1591836734693874</v>
      </c>
      <c r="T124">
        <f t="shared" si="36"/>
        <v>13.280816326530612</v>
      </c>
      <c r="U124">
        <f t="shared" si="40"/>
        <v>11.519511365617781</v>
      </c>
      <c r="V124">
        <f t="shared" si="31"/>
        <v>0.2515401323151833</v>
      </c>
      <c r="W124">
        <f t="shared" si="41"/>
        <v>24.12</v>
      </c>
      <c r="X124">
        <f t="shared" si="35"/>
        <v>45.746104024131995</v>
      </c>
      <c r="Y124">
        <f t="shared" si="42"/>
        <v>6.9496100519999997</v>
      </c>
      <c r="Z124">
        <f t="shared" si="43"/>
        <v>8</v>
      </c>
    </row>
    <row r="125" spans="1:26" x14ac:dyDescent="0.2">
      <c r="A125" s="249">
        <f>IF(A124="","",IF((1+A124)&lt;Input_!$C$36,1+A124,""))</f>
        <v>45538</v>
      </c>
      <c r="B125">
        <v>0.26</v>
      </c>
      <c r="C125">
        <v>0.6461538461538463</v>
      </c>
      <c r="D125">
        <f t="shared" si="24"/>
        <v>0.16153846153846158</v>
      </c>
      <c r="E125">
        <v>0</v>
      </c>
      <c r="F125">
        <v>1</v>
      </c>
      <c r="H125" s="250">
        <f t="shared" si="37"/>
        <v>0.39924392223682409</v>
      </c>
      <c r="I125">
        <f t="shared" si="38"/>
        <v>3.6567484142834008</v>
      </c>
      <c r="J125">
        <f t="shared" si="39"/>
        <v>5.5024352591859866</v>
      </c>
      <c r="K125" t="str">
        <f t="shared" si="28"/>
        <v/>
      </c>
      <c r="O125" s="249">
        <f t="shared" si="44"/>
        <v>45538</v>
      </c>
      <c r="P125">
        <f>IF(A125&gt;Input_!$C$32,+P124,(IF(A125&lt;Input_!$C$23,"",('Budget (2)'!A125-Input_!$C$23)*Input_!$C$76+Input_!$C$25)))</f>
        <v>45.795918367346935</v>
      </c>
      <c r="Q125">
        <f>(+P125*Input_!$C$18)+R125</f>
        <v>17.860408163265305</v>
      </c>
      <c r="R125">
        <f>+P125*Input_!$C$19</f>
        <v>8.7012244897959174</v>
      </c>
      <c r="S125">
        <f t="shared" si="45"/>
        <v>9.1591836734693874</v>
      </c>
      <c r="T125">
        <f t="shared" si="36"/>
        <v>13.280816326530612</v>
      </c>
      <c r="U125">
        <f t="shared" si="40"/>
        <v>12.357972904079318</v>
      </c>
      <c r="V125">
        <f t="shared" si="31"/>
        <v>0.26984878444736482</v>
      </c>
      <c r="W125">
        <f t="shared" si="41"/>
        <v>24.37</v>
      </c>
      <c r="X125">
        <f t="shared" si="35"/>
        <v>58.470814147279896</v>
      </c>
      <c r="Y125">
        <f t="shared" si="42"/>
        <v>6.9496100519999997</v>
      </c>
      <c r="Z125">
        <f t="shared" si="43"/>
        <v>9</v>
      </c>
    </row>
    <row r="126" spans="1:26" x14ac:dyDescent="0.2">
      <c r="A126" s="249">
        <f>IF(A125="","",IF((1+A125)&lt;Input_!$C$36,1+A125,""))</f>
        <v>45539</v>
      </c>
      <c r="B126">
        <v>0.25</v>
      </c>
      <c r="C126">
        <v>0.62307692307692319</v>
      </c>
      <c r="D126">
        <f t="shared" si="24"/>
        <v>8.1000000000000016E-2</v>
      </c>
      <c r="E126">
        <v>0</v>
      </c>
      <c r="H126" s="250">
        <f t="shared" si="37"/>
        <v>0.3904003393491236</v>
      </c>
      <c r="I126">
        <f t="shared" si="38"/>
        <v>3.5757484142834013</v>
      </c>
      <c r="J126">
        <f t="shared" si="39"/>
        <v>5.5834352591859862</v>
      </c>
      <c r="K126" t="str">
        <f t="shared" si="28"/>
        <v/>
      </c>
      <c r="O126" s="249">
        <f t="shared" si="44"/>
        <v>45539</v>
      </c>
      <c r="P126">
        <f>IF(A126&gt;Input_!$C$32,+P125,(IF(A126&lt;Input_!$C$23,"",('Budget (2)'!A126-Input_!$C$23)*Input_!$C$76+Input_!$C$25)))</f>
        <v>45.795918367346935</v>
      </c>
      <c r="Q126">
        <f>(+P126*Input_!$C$18)+R126</f>
        <v>17.860408163265305</v>
      </c>
      <c r="R126">
        <f>+P126*Input_!$C$19</f>
        <v>8.7012244897959174</v>
      </c>
      <c r="S126">
        <f t="shared" si="45"/>
        <v>9.1591836734693874</v>
      </c>
      <c r="T126">
        <f t="shared" si="36"/>
        <v>13.280816326530612</v>
      </c>
      <c r="U126">
        <f t="shared" si="40"/>
        <v>12.276972904079319</v>
      </c>
      <c r="V126">
        <f t="shared" si="31"/>
        <v>0.26808006786982469</v>
      </c>
      <c r="W126">
        <f t="shared" si="41"/>
        <v>24.5</v>
      </c>
      <c r="X126">
        <f t="shared" si="35"/>
        <v>57.180182720492517</v>
      </c>
      <c r="Y126">
        <f t="shared" si="42"/>
        <v>6.9496100519999997</v>
      </c>
      <c r="Z126">
        <f t="shared" si="43"/>
        <v>9</v>
      </c>
    </row>
    <row r="127" spans="1:26" x14ac:dyDescent="0.2">
      <c r="A127" s="249">
        <f>IF(A126="","",IF((1+A126)&lt;Input_!$C$36,1+A126,""))</f>
        <v>45540</v>
      </c>
      <c r="B127">
        <v>0.13</v>
      </c>
      <c r="C127">
        <v>0.60000000000000009</v>
      </c>
      <c r="D127">
        <f t="shared" si="24"/>
        <v>9.6000000000000016E-2</v>
      </c>
      <c r="E127">
        <v>0</v>
      </c>
      <c r="H127" s="250">
        <f t="shared" si="37"/>
        <v>0.3799190559266637</v>
      </c>
      <c r="I127">
        <f t="shared" si="38"/>
        <v>3.4797484142834012</v>
      </c>
      <c r="J127">
        <f t="shared" si="39"/>
        <v>5.6794352591859862</v>
      </c>
      <c r="K127" t="str">
        <f t="shared" si="28"/>
        <v/>
      </c>
      <c r="O127" s="249">
        <f t="shared" si="44"/>
        <v>45540</v>
      </c>
      <c r="P127">
        <f>IF(A127&gt;Input_!$C$32,+P126,(IF(A127&lt;Input_!$C$23,"",('Budget (2)'!A127-Input_!$C$23)*Input_!$C$76+Input_!$C$25)))</f>
        <v>45.795918367346935</v>
      </c>
      <c r="Q127">
        <f>(+P127*Input_!$C$18)+R127</f>
        <v>17.860408163265305</v>
      </c>
      <c r="R127">
        <f>+P127*Input_!$C$19</f>
        <v>8.7012244897959174</v>
      </c>
      <c r="S127">
        <f t="shared" si="45"/>
        <v>9.1591836734693874</v>
      </c>
      <c r="T127">
        <f t="shared" si="36"/>
        <v>13.280816326530612</v>
      </c>
      <c r="U127">
        <f t="shared" si="40"/>
        <v>12.180972904079319</v>
      </c>
      <c r="V127">
        <f t="shared" si="31"/>
        <v>0.26598381118533271</v>
      </c>
      <c r="W127">
        <f t="shared" si="41"/>
        <v>24.66</v>
      </c>
      <c r="X127">
        <f t="shared" si="35"/>
        <v>55.667537473929698</v>
      </c>
      <c r="Y127">
        <f t="shared" si="42"/>
        <v>6.9496100519999997</v>
      </c>
      <c r="Z127">
        <f t="shared" si="43"/>
        <v>9</v>
      </c>
    </row>
    <row r="128" spans="1:26" x14ac:dyDescent="0.2">
      <c r="A128" s="249">
        <f>IF(A127="","",IF((1+A127)&lt;Input_!$C$36,1+A127,""))</f>
        <v>45541</v>
      </c>
      <c r="B128">
        <v>0.16</v>
      </c>
      <c r="C128">
        <f>X5</f>
        <v>0.87451155075000009</v>
      </c>
      <c r="D128">
        <f t="shared" si="24"/>
        <v>0.16615719464250001</v>
      </c>
      <c r="E128">
        <v>0</v>
      </c>
      <c r="H128" s="250">
        <f t="shared" si="37"/>
        <v>0.36177800749198774</v>
      </c>
      <c r="I128">
        <f t="shared" si="38"/>
        <v>3.3135912196408999</v>
      </c>
      <c r="J128">
        <f t="shared" si="39"/>
        <v>5.8455924538284876</v>
      </c>
      <c r="K128" t="str">
        <f t="shared" si="28"/>
        <v/>
      </c>
      <c r="O128" s="249">
        <f t="shared" si="44"/>
        <v>45541</v>
      </c>
      <c r="P128">
        <f>IF(A128&gt;Input_!$C$32,+P127,(IF(A128&lt;Input_!$C$23,"",('Budget (2)'!A128-Input_!$C$23)*Input_!$C$76+Input_!$C$25)))</f>
        <v>45.795918367346935</v>
      </c>
      <c r="Q128">
        <f>(+P128*Input_!$C$18)+R128</f>
        <v>17.860408163265305</v>
      </c>
      <c r="R128">
        <f>+P128*Input_!$C$19</f>
        <v>8.7012244897959174</v>
      </c>
      <c r="S128">
        <f t="shared" si="45"/>
        <v>9.1591836734693874</v>
      </c>
      <c r="T128">
        <f t="shared" si="36"/>
        <v>13.280816326530612</v>
      </c>
      <c r="U128">
        <f t="shared" si="40"/>
        <v>12.014815709436817</v>
      </c>
      <c r="V128">
        <f t="shared" si="31"/>
        <v>0.26235560149839754</v>
      </c>
      <c r="W128">
        <f t="shared" si="41"/>
        <v>24.85</v>
      </c>
      <c r="X128">
        <f t="shared" si="35"/>
        <v>53.093004166923997</v>
      </c>
      <c r="Y128">
        <f t="shared" si="42"/>
        <v>6.9496100519999997</v>
      </c>
      <c r="Z128">
        <f t="shared" si="43"/>
        <v>9</v>
      </c>
    </row>
    <row r="129" spans="1:26" x14ac:dyDescent="0.2">
      <c r="A129" s="249">
        <f>IF(A128="","",IF((1+A128)&lt;Input_!$C$36,1+A128,""))</f>
        <v>45542</v>
      </c>
      <c r="B129">
        <v>0.19</v>
      </c>
      <c r="C129">
        <v>0.6</v>
      </c>
      <c r="D129">
        <f t="shared" si="24"/>
        <v>0.13200000000000001</v>
      </c>
      <c r="E129">
        <v>0</v>
      </c>
      <c r="H129" s="250">
        <f t="shared" si="37"/>
        <v>0.34736624278610562</v>
      </c>
      <c r="I129">
        <f t="shared" si="38"/>
        <v>3.181591219640902</v>
      </c>
      <c r="J129">
        <f t="shared" si="39"/>
        <v>5.9775924538284855</v>
      </c>
      <c r="K129" t="str">
        <f t="shared" si="28"/>
        <v/>
      </c>
      <c r="O129" s="249">
        <f t="shared" si="44"/>
        <v>45542</v>
      </c>
      <c r="P129">
        <f>IF(A129&gt;Input_!$C$32,+P128,(IF(A129&lt;Input_!$C$23,"",('Budget (2)'!A129-Input_!$C$23)*Input_!$C$76+Input_!$C$25)))</f>
        <v>45.795918367346935</v>
      </c>
      <c r="Q129">
        <f>(+P129*Input_!$C$18)+R129</f>
        <v>17.860408163265305</v>
      </c>
      <c r="R129">
        <f>+P129*Input_!$C$19</f>
        <v>8.7012244897959174</v>
      </c>
      <c r="S129">
        <f t="shared" si="45"/>
        <v>9.1591836734693874</v>
      </c>
      <c r="T129">
        <f t="shared" si="36"/>
        <v>13.280816326530612</v>
      </c>
      <c r="U129">
        <f t="shared" si="40"/>
        <v>11.882815709436819</v>
      </c>
      <c r="V129">
        <f t="shared" si="31"/>
        <v>0.25947324855722115</v>
      </c>
      <c r="W129">
        <f t="shared" si="41"/>
        <v>25.07</v>
      </c>
      <c r="X129">
        <f t="shared" si="35"/>
        <v>51.087078452285773</v>
      </c>
      <c r="Y129">
        <f t="shared" si="42"/>
        <v>6.9496100519999997</v>
      </c>
      <c r="Z129">
        <f t="shared" si="43"/>
        <v>9</v>
      </c>
    </row>
    <row r="130" spans="1:26" x14ac:dyDescent="0.2">
      <c r="A130" s="249">
        <v>45543</v>
      </c>
      <c r="B130">
        <v>0.22</v>
      </c>
      <c r="C130">
        <v>0.57857142857142851</v>
      </c>
      <c r="D130" t="str">
        <f t="shared" si="24"/>
        <v/>
      </c>
      <c r="E130" s="269">
        <v>0</v>
      </c>
      <c r="H130" s="250" t="e">
        <f>IF(#REF!="","",IF(#REF!&gt;-0.0001,IF(G130&gt;0.0001,+G130,IF((+U130-R130)/(Q130-R130)&gt;1,1,(MAX(0,(+U130-R130)/(Q130-R130))))),""))</f>
        <v>#REF!</v>
      </c>
      <c r="I130" t="e">
        <f>IF(#REF!="","",IF(#REF!&gt;-0.0001,IF((+U130-R130)&lt;0,0,+U130-R130),""))</f>
        <v>#REF!</v>
      </c>
      <c r="J130" t="e">
        <f>IF(#REF!="","",IF(#REF!&gt;-0.0001,IF((Q130-U130)&lt;0,0,Q130-U130),""))</f>
        <v>#REF!</v>
      </c>
      <c r="K130" t="str">
        <f t="shared" si="28"/>
        <v/>
      </c>
      <c r="O130" s="249">
        <f t="shared" si="44"/>
        <v>45543</v>
      </c>
      <c r="P130">
        <f>IF(A130&gt;Input_!$C$32,+P129,(IF(A130&lt;Input_!$C$23,"",('Budget (2)'!A130-Input_!$C$23)*Input_!$C$76+Input_!$C$25)))</f>
        <v>45.795918367346935</v>
      </c>
      <c r="Q130">
        <f>(+P130*Input_!$C$18)+R130</f>
        <v>17.860408163265305</v>
      </c>
      <c r="R130">
        <f>+P130*Input_!$C$19</f>
        <v>8.7012244897959174</v>
      </c>
      <c r="S130">
        <f t="shared" si="45"/>
        <v>9.1591836734693874</v>
      </c>
      <c r="T130">
        <f t="shared" si="36"/>
        <v>13.280816326530612</v>
      </c>
      <c r="U130" t="e">
        <f>IF(#REF!="",0,IF(#REF!&gt;-0.0001,MAX(IF(G130&gt;0.001,(G130*S130+R130),MIN((+U129+E130+F130-D130+Q130-Q129),Q130)),R130),""))</f>
        <v>#REF!</v>
      </c>
      <c r="W130" t="e">
        <f>IF(+#REF!&gt;-0.01,+#REF!+W129,"")</f>
        <v>#REF!</v>
      </c>
      <c r="X130" t="e">
        <f t="shared" si="35"/>
        <v>#REF!</v>
      </c>
      <c r="Y130" t="e">
        <f>IF(+#REF!&gt;-0.01,+E130+Y129,"")</f>
        <v>#REF!</v>
      </c>
      <c r="Z130" t="e">
        <f>IF(+#REF!&gt;-0.01,+F130+Z129,"")</f>
        <v>#REF!</v>
      </c>
    </row>
    <row r="131" spans="1:26" x14ac:dyDescent="0.2">
      <c r="A131" s="249" t="str">
        <f>IF(A130="","",IF((1+A130)&lt;Input_!$C$36,1+A130,""))</f>
        <v/>
      </c>
      <c r="E131" s="269"/>
      <c r="H131" s="250" t="str">
        <f t="shared" ref="H131:H167" si="46">IF(B131="","",IF(B131&gt;-0.0001,IF(G131&gt;0.0001,+G131,IF((+U131-R131)/(Q131-R131)&gt;1,1,(MAX(0,(+U131-R131)/(Q131-R131))))),""))</f>
        <v/>
      </c>
      <c r="I131" t="str">
        <f t="shared" ref="I131:I167" si="47">IF(B131="","",IF(B131&gt;-0.0001,IF((+U131-R131)&lt;0,0,+U131-R131),""))</f>
        <v/>
      </c>
      <c r="J131" t="str">
        <f t="shared" ref="J131:J167" si="48">IF(B131="","",IF(B131&gt;-0.0001,IF((Q131-U131)&lt;0,0,Q131-U131),""))</f>
        <v/>
      </c>
      <c r="K131" t="str">
        <f t="shared" si="28"/>
        <v/>
      </c>
      <c r="O131" s="249" t="str">
        <f t="shared" si="44"/>
        <v/>
      </c>
    </row>
    <row r="132" spans="1:26" x14ac:dyDescent="0.2">
      <c r="A132" s="249" t="str">
        <f>IF(A131="","",IF((1+A131)&lt;Input_!$C$36,1+A131,""))</f>
        <v/>
      </c>
      <c r="E132" s="269"/>
      <c r="H132" s="250" t="str">
        <f t="shared" si="46"/>
        <v/>
      </c>
      <c r="I132" t="str">
        <f t="shared" si="47"/>
        <v/>
      </c>
      <c r="J132" t="str">
        <f t="shared" si="48"/>
        <v/>
      </c>
      <c r="K132" t="str">
        <f t="shared" si="28"/>
        <v/>
      </c>
      <c r="O132" s="249" t="str">
        <f t="shared" si="44"/>
        <v/>
      </c>
    </row>
    <row r="133" spans="1:26" x14ac:dyDescent="0.2">
      <c r="A133" s="249" t="str">
        <f>IF(A132="","",IF((1+A132)&lt;Input_!$C$36,1+A132,""))</f>
        <v/>
      </c>
      <c r="E133" s="269"/>
      <c r="H133" s="250" t="str">
        <f t="shared" si="46"/>
        <v/>
      </c>
      <c r="I133" t="str">
        <f t="shared" si="47"/>
        <v/>
      </c>
      <c r="J133" t="str">
        <f t="shared" si="48"/>
        <v/>
      </c>
      <c r="K133" t="str">
        <f t="shared" si="28"/>
        <v/>
      </c>
      <c r="O133" s="249" t="str">
        <f t="shared" si="44"/>
        <v/>
      </c>
    </row>
    <row r="134" spans="1:26" x14ac:dyDescent="0.2">
      <c r="A134" s="249" t="str">
        <f>IF(A133="","",IF((1+A133)&lt;Input_!$C$36,1+A133,""))</f>
        <v/>
      </c>
      <c r="E134" s="269"/>
      <c r="H134" s="250" t="str">
        <f t="shared" si="46"/>
        <v/>
      </c>
      <c r="I134" t="str">
        <f t="shared" si="47"/>
        <v/>
      </c>
      <c r="J134" t="str">
        <f t="shared" si="48"/>
        <v/>
      </c>
      <c r="K134" t="str">
        <f t="shared" si="28"/>
        <v/>
      </c>
      <c r="O134" s="249" t="str">
        <f t="shared" si="44"/>
        <v/>
      </c>
    </row>
    <row r="135" spans="1:26" x14ac:dyDescent="0.2">
      <c r="A135" s="249" t="str">
        <f>IF(A134="","",IF((1+A134)&lt;Input_!$C$36,1+A134,""))</f>
        <v/>
      </c>
      <c r="E135" s="269"/>
      <c r="H135" s="250" t="str">
        <f t="shared" si="46"/>
        <v/>
      </c>
      <c r="I135" t="str">
        <f t="shared" si="47"/>
        <v/>
      </c>
      <c r="J135" t="str">
        <f t="shared" si="48"/>
        <v/>
      </c>
      <c r="K135" t="str">
        <f t="shared" si="28"/>
        <v/>
      </c>
      <c r="O135" s="249" t="str">
        <f t="shared" si="44"/>
        <v/>
      </c>
    </row>
    <row r="136" spans="1:26" x14ac:dyDescent="0.2">
      <c r="A136" s="249" t="str">
        <f>IF(A135="","",IF((1+A135)&lt;Input_!$C$36,1+A135,""))</f>
        <v/>
      </c>
      <c r="E136" s="269"/>
      <c r="H136" s="250" t="str">
        <f t="shared" si="46"/>
        <v/>
      </c>
      <c r="I136" t="str">
        <f t="shared" si="47"/>
        <v/>
      </c>
      <c r="J136" t="str">
        <f t="shared" si="48"/>
        <v/>
      </c>
      <c r="K136" t="str">
        <f t="shared" si="28"/>
        <v/>
      </c>
      <c r="O136" s="249" t="str">
        <f t="shared" si="44"/>
        <v/>
      </c>
    </row>
    <row r="137" spans="1:26" x14ac:dyDescent="0.2">
      <c r="A137" s="249" t="str">
        <f>IF(A136="","",IF((1+A136)&lt;Input_!$C$36,1+A136,""))</f>
        <v/>
      </c>
      <c r="E137" s="269"/>
      <c r="H137" s="250" t="str">
        <f t="shared" si="46"/>
        <v/>
      </c>
      <c r="I137" t="str">
        <f t="shared" si="47"/>
        <v/>
      </c>
      <c r="J137" t="str">
        <f t="shared" si="48"/>
        <v/>
      </c>
      <c r="K137" t="str">
        <f t="shared" si="28"/>
        <v/>
      </c>
      <c r="O137" s="249" t="str">
        <f t="shared" si="44"/>
        <v/>
      </c>
    </row>
    <row r="138" spans="1:26" x14ac:dyDescent="0.2">
      <c r="A138" s="249" t="str">
        <f>IF(A137="","",IF((1+A137)&lt;Input_!$C$36,1+A137,""))</f>
        <v/>
      </c>
      <c r="E138" s="269"/>
      <c r="H138" s="250" t="str">
        <f t="shared" si="46"/>
        <v/>
      </c>
      <c r="I138" t="str">
        <f t="shared" si="47"/>
        <v/>
      </c>
      <c r="J138" t="str">
        <f t="shared" si="48"/>
        <v/>
      </c>
      <c r="K138" t="str">
        <f t="shared" si="28"/>
        <v/>
      </c>
      <c r="O138" s="249" t="str">
        <f t="shared" si="44"/>
        <v/>
      </c>
    </row>
    <row r="139" spans="1:26" x14ac:dyDescent="0.2">
      <c r="A139" s="249" t="str">
        <f>IF(A138="","",IF((1+A138)&lt;Input_!$C$36,1+A138,""))</f>
        <v/>
      </c>
      <c r="E139" s="269"/>
      <c r="H139" s="250" t="str">
        <f t="shared" si="46"/>
        <v/>
      </c>
      <c r="I139" t="str">
        <f t="shared" si="47"/>
        <v/>
      </c>
      <c r="J139" t="str">
        <f t="shared" si="48"/>
        <v/>
      </c>
      <c r="K139" t="str">
        <f t="shared" si="28"/>
        <v/>
      </c>
      <c r="O139" s="249" t="str">
        <f t="shared" si="44"/>
        <v/>
      </c>
    </row>
    <row r="140" spans="1:26" x14ac:dyDescent="0.2">
      <c r="A140" s="249" t="str">
        <f>IF(A139="","",IF((1+A139)&lt;Input_!$C$36,1+A139,""))</f>
        <v/>
      </c>
      <c r="E140" s="269"/>
      <c r="H140" s="250" t="str">
        <f t="shared" si="46"/>
        <v/>
      </c>
      <c r="I140" t="str">
        <f t="shared" si="47"/>
        <v/>
      </c>
      <c r="J140" t="str">
        <f t="shared" si="48"/>
        <v/>
      </c>
      <c r="K140" t="str">
        <f t="shared" si="28"/>
        <v/>
      </c>
      <c r="O140" s="249" t="str">
        <f t="shared" si="44"/>
        <v/>
      </c>
    </row>
    <row r="141" spans="1:26" x14ac:dyDescent="0.2">
      <c r="A141" s="249" t="str">
        <f>IF(A140="","",IF((1+A140)&lt;Input_!$C$36,1+A140,""))</f>
        <v/>
      </c>
      <c r="E141" s="269"/>
      <c r="H141" s="250" t="str">
        <f t="shared" si="46"/>
        <v/>
      </c>
      <c r="I141" t="str">
        <f t="shared" si="47"/>
        <v/>
      </c>
      <c r="J141" t="str">
        <f t="shared" si="48"/>
        <v/>
      </c>
      <c r="K141" t="str">
        <f t="shared" si="28"/>
        <v/>
      </c>
      <c r="O141" s="249" t="str">
        <f t="shared" si="44"/>
        <v/>
      </c>
    </row>
    <row r="142" spans="1:26" x14ac:dyDescent="0.2">
      <c r="A142" s="249" t="str">
        <f>IF(A141="","",IF((1+A141)&lt;Input_!$C$36,1+A141,""))</f>
        <v/>
      </c>
      <c r="E142" s="269"/>
      <c r="H142" s="250" t="str">
        <f t="shared" si="46"/>
        <v/>
      </c>
      <c r="I142" t="str">
        <f t="shared" si="47"/>
        <v/>
      </c>
      <c r="J142" t="str">
        <f t="shared" si="48"/>
        <v/>
      </c>
      <c r="K142" t="str">
        <f t="shared" si="28"/>
        <v/>
      </c>
      <c r="O142" s="249" t="str">
        <f t="shared" si="44"/>
        <v/>
      </c>
    </row>
    <row r="143" spans="1:26" x14ac:dyDescent="0.2">
      <c r="A143" s="249" t="str">
        <f>IF(A142="","",IF((1+A142)&lt;Input_!$C$36,1+A142,""))</f>
        <v/>
      </c>
      <c r="E143" s="269"/>
      <c r="H143" s="250" t="str">
        <f t="shared" si="46"/>
        <v/>
      </c>
      <c r="I143" t="str">
        <f t="shared" si="47"/>
        <v/>
      </c>
      <c r="J143" t="str">
        <f t="shared" si="48"/>
        <v/>
      </c>
      <c r="K143" t="str">
        <f t="shared" si="28"/>
        <v/>
      </c>
      <c r="O143" s="249" t="str">
        <f t="shared" si="44"/>
        <v/>
      </c>
    </row>
    <row r="144" spans="1:26" x14ac:dyDescent="0.2">
      <c r="A144" s="249" t="str">
        <f>IF(A143="","",IF((1+A143)&lt;Input_!$C$36,1+A143,""))</f>
        <v/>
      </c>
      <c r="E144" s="269"/>
      <c r="H144" s="250" t="str">
        <f t="shared" si="46"/>
        <v/>
      </c>
      <c r="I144" t="str">
        <f t="shared" si="47"/>
        <v/>
      </c>
      <c r="J144" t="str">
        <f t="shared" si="48"/>
        <v/>
      </c>
      <c r="K144" t="str">
        <f t="shared" si="28"/>
        <v/>
      </c>
      <c r="O144" s="249" t="str">
        <f t="shared" si="44"/>
        <v/>
      </c>
    </row>
    <row r="145" spans="1:15" x14ac:dyDescent="0.2">
      <c r="A145" s="249" t="str">
        <f>IF(A144="","",IF((1+A144)&lt;Input_!$C$36,1+A144,""))</f>
        <v/>
      </c>
      <c r="E145" s="269"/>
      <c r="H145" s="250" t="str">
        <f t="shared" si="46"/>
        <v/>
      </c>
      <c r="I145" t="str">
        <f t="shared" si="47"/>
        <v/>
      </c>
      <c r="J145" t="str">
        <f t="shared" si="48"/>
        <v/>
      </c>
      <c r="K145" t="str">
        <f t="shared" si="28"/>
        <v/>
      </c>
      <c r="O145" s="249" t="str">
        <f t="shared" si="44"/>
        <v/>
      </c>
    </row>
    <row r="146" spans="1:15" x14ac:dyDescent="0.2">
      <c r="A146" s="249" t="str">
        <f>IF(A145="","",IF((1+A145)&lt;Input_!$C$36,1+A145,""))</f>
        <v/>
      </c>
      <c r="E146" s="269"/>
      <c r="H146" s="250" t="str">
        <f t="shared" si="46"/>
        <v/>
      </c>
      <c r="I146" t="str">
        <f t="shared" si="47"/>
        <v/>
      </c>
      <c r="J146" t="str">
        <f t="shared" si="48"/>
        <v/>
      </c>
      <c r="K146" t="str">
        <f t="shared" ref="K146:K167" si="49">IF(E146&gt;0.001,MIN(J145+D146,E146),"")</f>
        <v/>
      </c>
      <c r="O146" s="249" t="str">
        <f t="shared" si="44"/>
        <v/>
      </c>
    </row>
    <row r="147" spans="1:15" x14ac:dyDescent="0.2">
      <c r="A147" s="249" t="str">
        <f>IF(A146="","",IF((1+A146)&lt;Input_!$C$36,1+A146,""))</f>
        <v/>
      </c>
      <c r="E147" s="269"/>
      <c r="H147" s="250" t="str">
        <f t="shared" si="46"/>
        <v/>
      </c>
      <c r="I147" t="str">
        <f t="shared" si="47"/>
        <v/>
      </c>
      <c r="J147" t="str">
        <f t="shared" si="48"/>
        <v/>
      </c>
      <c r="K147" t="str">
        <f t="shared" si="49"/>
        <v/>
      </c>
      <c r="O147" s="249" t="str">
        <f t="shared" si="44"/>
        <v/>
      </c>
    </row>
    <row r="148" spans="1:15" x14ac:dyDescent="0.2">
      <c r="A148" s="249" t="str">
        <f>IF(A147="","",IF((1+A147)&lt;Input_!$C$36,1+A147,""))</f>
        <v/>
      </c>
      <c r="E148" s="269"/>
      <c r="H148" s="250" t="str">
        <f t="shared" si="46"/>
        <v/>
      </c>
      <c r="I148" t="str">
        <f t="shared" si="47"/>
        <v/>
      </c>
      <c r="J148" t="str">
        <f t="shared" si="48"/>
        <v/>
      </c>
      <c r="K148" t="str">
        <f t="shared" si="49"/>
        <v/>
      </c>
      <c r="O148" s="249" t="str">
        <f t="shared" si="44"/>
        <v/>
      </c>
    </row>
    <row r="149" spans="1:15" x14ac:dyDescent="0.2">
      <c r="A149" s="249" t="str">
        <f>IF(A148="","",IF((1+A148)&lt;Input_!$C$36,1+A148,""))</f>
        <v/>
      </c>
      <c r="E149" s="269"/>
      <c r="H149" s="250" t="str">
        <f t="shared" si="46"/>
        <v/>
      </c>
      <c r="I149" t="str">
        <f t="shared" si="47"/>
        <v/>
      </c>
      <c r="J149" t="str">
        <f t="shared" si="48"/>
        <v/>
      </c>
      <c r="K149" t="str">
        <f t="shared" si="49"/>
        <v/>
      </c>
      <c r="O149" s="249" t="str">
        <f t="shared" si="44"/>
        <v/>
      </c>
    </row>
    <row r="150" spans="1:15" x14ac:dyDescent="0.2">
      <c r="A150" s="249" t="str">
        <f>IF(A149="","",IF((1+A149)&lt;Input_!$C$36,1+A149,""))</f>
        <v/>
      </c>
      <c r="E150" s="269"/>
      <c r="H150" s="250" t="str">
        <f t="shared" si="46"/>
        <v/>
      </c>
      <c r="I150" t="str">
        <f t="shared" si="47"/>
        <v/>
      </c>
      <c r="J150" t="str">
        <f t="shared" si="48"/>
        <v/>
      </c>
      <c r="K150" t="str">
        <f t="shared" si="49"/>
        <v/>
      </c>
      <c r="O150" s="249" t="str">
        <f t="shared" si="44"/>
        <v/>
      </c>
    </row>
    <row r="151" spans="1:15" x14ac:dyDescent="0.2">
      <c r="A151" s="249" t="str">
        <f>IF(A150="","",IF((1+A150)&lt;Input_!$C$36,1+A150,""))</f>
        <v/>
      </c>
      <c r="E151" s="269"/>
      <c r="H151" s="250" t="str">
        <f t="shared" si="46"/>
        <v/>
      </c>
      <c r="I151" t="str">
        <f t="shared" si="47"/>
        <v/>
      </c>
      <c r="J151" t="str">
        <f t="shared" si="48"/>
        <v/>
      </c>
      <c r="K151" t="str">
        <f t="shared" si="49"/>
        <v/>
      </c>
      <c r="O151" s="249" t="str">
        <f t="shared" si="44"/>
        <v/>
      </c>
    </row>
    <row r="152" spans="1:15" x14ac:dyDescent="0.2">
      <c r="A152" s="249" t="str">
        <f>IF(A151="","",IF((1+A151)&lt;Input_!$C$36,1+A151,""))</f>
        <v/>
      </c>
      <c r="E152" s="269"/>
      <c r="H152" s="250" t="str">
        <f t="shared" si="46"/>
        <v/>
      </c>
      <c r="I152" t="str">
        <f t="shared" si="47"/>
        <v/>
      </c>
      <c r="J152" t="str">
        <f t="shared" si="48"/>
        <v/>
      </c>
      <c r="K152" t="str">
        <f t="shared" si="49"/>
        <v/>
      </c>
      <c r="O152" s="249" t="str">
        <f t="shared" si="44"/>
        <v/>
      </c>
    </row>
    <row r="153" spans="1:15" x14ac:dyDescent="0.2">
      <c r="A153" s="249" t="str">
        <f>IF(A152="","",IF((1+A152)&lt;Input_!$C$36,1+A152,""))</f>
        <v/>
      </c>
      <c r="E153" s="269"/>
      <c r="H153" s="250" t="str">
        <f t="shared" si="46"/>
        <v/>
      </c>
      <c r="I153" t="str">
        <f t="shared" si="47"/>
        <v/>
      </c>
      <c r="J153" t="str">
        <f t="shared" si="48"/>
        <v/>
      </c>
      <c r="K153" t="str">
        <f t="shared" si="49"/>
        <v/>
      </c>
      <c r="O153" s="249" t="str">
        <f t="shared" si="44"/>
        <v/>
      </c>
    </row>
    <row r="154" spans="1:15" x14ac:dyDescent="0.2">
      <c r="A154" s="249" t="str">
        <f>IF(A153="","",IF((1+A153)&lt;Input_!$C$36,1+A153,""))</f>
        <v/>
      </c>
      <c r="E154" s="269"/>
      <c r="H154" s="250" t="str">
        <f t="shared" si="46"/>
        <v/>
      </c>
      <c r="I154" t="str">
        <f t="shared" si="47"/>
        <v/>
      </c>
      <c r="J154" t="str">
        <f t="shared" si="48"/>
        <v/>
      </c>
      <c r="K154" t="str">
        <f t="shared" si="49"/>
        <v/>
      </c>
      <c r="O154" s="249" t="str">
        <f t="shared" si="44"/>
        <v/>
      </c>
    </row>
    <row r="155" spans="1:15" x14ac:dyDescent="0.2">
      <c r="A155" s="249" t="str">
        <f>IF(A154="","",IF((1+A154)&lt;Input_!$C$36,1+A154,""))</f>
        <v/>
      </c>
      <c r="E155" s="269"/>
      <c r="H155" s="250" t="str">
        <f t="shared" si="46"/>
        <v/>
      </c>
      <c r="I155" t="str">
        <f t="shared" si="47"/>
        <v/>
      </c>
      <c r="J155" t="str">
        <f t="shared" si="48"/>
        <v/>
      </c>
      <c r="K155" t="str">
        <f t="shared" si="49"/>
        <v/>
      </c>
      <c r="O155" s="249" t="str">
        <f t="shared" si="44"/>
        <v/>
      </c>
    </row>
    <row r="156" spans="1:15" x14ac:dyDescent="0.2">
      <c r="A156" s="249" t="str">
        <f>IF(A155="","",IF((1+A155)&lt;Input_!$C$36,1+A155,""))</f>
        <v/>
      </c>
      <c r="E156" s="269"/>
      <c r="H156" s="250" t="str">
        <f t="shared" si="46"/>
        <v/>
      </c>
      <c r="I156" t="str">
        <f t="shared" si="47"/>
        <v/>
      </c>
      <c r="J156" t="str">
        <f t="shared" si="48"/>
        <v/>
      </c>
      <c r="K156" t="str">
        <f t="shared" si="49"/>
        <v/>
      </c>
      <c r="O156" s="249" t="str">
        <f t="shared" si="44"/>
        <v/>
      </c>
    </row>
    <row r="157" spans="1:15" x14ac:dyDescent="0.2">
      <c r="A157" s="249" t="str">
        <f>IF(A156="","",IF((1+A156)&lt;Input_!$C$36,1+A156,""))</f>
        <v/>
      </c>
      <c r="E157" s="269"/>
      <c r="H157" s="250" t="str">
        <f t="shared" si="46"/>
        <v/>
      </c>
      <c r="I157" t="str">
        <f t="shared" si="47"/>
        <v/>
      </c>
      <c r="J157" t="str">
        <f t="shared" si="48"/>
        <v/>
      </c>
      <c r="K157" t="str">
        <f t="shared" si="49"/>
        <v/>
      </c>
      <c r="O157" s="249" t="str">
        <f t="shared" si="44"/>
        <v/>
      </c>
    </row>
    <row r="158" spans="1:15" x14ac:dyDescent="0.2">
      <c r="A158" s="249" t="str">
        <f>IF(A157="","",IF((1+A157)&lt;Input_!$C$36,1+A157,""))</f>
        <v/>
      </c>
      <c r="E158" s="269"/>
      <c r="H158" s="250" t="str">
        <f t="shared" si="46"/>
        <v/>
      </c>
      <c r="I158" t="str">
        <f t="shared" si="47"/>
        <v/>
      </c>
      <c r="J158" t="str">
        <f t="shared" si="48"/>
        <v/>
      </c>
      <c r="K158" t="str">
        <f t="shared" si="49"/>
        <v/>
      </c>
      <c r="O158" s="249" t="str">
        <f t="shared" si="44"/>
        <v/>
      </c>
    </row>
    <row r="159" spans="1:15" x14ac:dyDescent="0.2">
      <c r="A159" s="249" t="str">
        <f>IF(A158="","",IF((1+A158)&lt;Input_!$C$36,1+A158,""))</f>
        <v/>
      </c>
      <c r="E159" s="269"/>
      <c r="H159" s="250" t="str">
        <f t="shared" si="46"/>
        <v/>
      </c>
      <c r="I159" t="str">
        <f t="shared" si="47"/>
        <v/>
      </c>
      <c r="J159" t="str">
        <f t="shared" si="48"/>
        <v/>
      </c>
      <c r="K159" t="str">
        <f t="shared" si="49"/>
        <v/>
      </c>
      <c r="O159" s="249" t="str">
        <f t="shared" si="44"/>
        <v/>
      </c>
    </row>
    <row r="160" spans="1:15" x14ac:dyDescent="0.2">
      <c r="A160" s="249" t="str">
        <f>IF(A159="","",IF((1+A159)&lt;Input_!$C$36,1+A159,""))</f>
        <v/>
      </c>
      <c r="E160" s="269"/>
      <c r="H160" s="250" t="str">
        <f t="shared" si="46"/>
        <v/>
      </c>
      <c r="I160" t="str">
        <f t="shared" si="47"/>
        <v/>
      </c>
      <c r="J160" t="str">
        <f t="shared" si="48"/>
        <v/>
      </c>
      <c r="K160" t="str">
        <f t="shared" si="49"/>
        <v/>
      </c>
      <c r="O160" s="249" t="str">
        <f t="shared" si="44"/>
        <v/>
      </c>
    </row>
    <row r="161" spans="1:15" x14ac:dyDescent="0.2">
      <c r="A161" s="249" t="str">
        <f>IF(A160="","",IF((1+A160)&lt;Input_!$C$36,1+A160,""))</f>
        <v/>
      </c>
      <c r="E161" s="269"/>
      <c r="H161" s="250" t="str">
        <f t="shared" si="46"/>
        <v/>
      </c>
      <c r="I161" t="str">
        <f t="shared" si="47"/>
        <v/>
      </c>
      <c r="J161" t="str">
        <f t="shared" si="48"/>
        <v/>
      </c>
      <c r="K161" t="str">
        <f t="shared" si="49"/>
        <v/>
      </c>
      <c r="O161" s="249" t="str">
        <f t="shared" si="44"/>
        <v/>
      </c>
    </row>
    <row r="162" spans="1:15" x14ac:dyDescent="0.2">
      <c r="A162" s="249" t="str">
        <f>IF(A161="","",IF((1+A161)&lt;Input_!$C$36,1+A161,""))</f>
        <v/>
      </c>
      <c r="E162" s="269"/>
      <c r="H162" s="250" t="str">
        <f t="shared" si="46"/>
        <v/>
      </c>
      <c r="I162" t="str">
        <f t="shared" si="47"/>
        <v/>
      </c>
      <c r="J162" t="str">
        <f t="shared" si="48"/>
        <v/>
      </c>
      <c r="K162" t="str">
        <f t="shared" si="49"/>
        <v/>
      </c>
      <c r="O162" s="249" t="str">
        <f t="shared" si="44"/>
        <v/>
      </c>
    </row>
    <row r="163" spans="1:15" x14ac:dyDescent="0.2">
      <c r="A163" s="249" t="str">
        <f>IF(A162="","",IF((1+A162)&lt;Input_!$C$36,1+A162,""))</f>
        <v/>
      </c>
      <c r="E163" s="269"/>
      <c r="H163" s="250" t="str">
        <f t="shared" si="46"/>
        <v/>
      </c>
      <c r="I163" t="str">
        <f t="shared" si="47"/>
        <v/>
      </c>
      <c r="J163" t="str">
        <f t="shared" si="48"/>
        <v/>
      </c>
      <c r="K163" t="str">
        <f t="shared" si="49"/>
        <v/>
      </c>
      <c r="O163" s="249" t="str">
        <f t="shared" si="44"/>
        <v/>
      </c>
    </row>
    <row r="164" spans="1:15" x14ac:dyDescent="0.2">
      <c r="A164" s="249" t="str">
        <f>IF(A163="","",IF((1+A163)&lt;Input_!$C$36,1+A163,""))</f>
        <v/>
      </c>
      <c r="D164" t="str">
        <f>IF(B164="","",IF(B164&lt;0.0001,0,IF(B164&gt;0.0001,'Crop Coeff'!E159*B164,"")))</f>
        <v/>
      </c>
      <c r="H164" s="250" t="str">
        <f t="shared" si="46"/>
        <v/>
      </c>
      <c r="I164" t="str">
        <f t="shared" si="47"/>
        <v/>
      </c>
      <c r="J164" t="str">
        <f t="shared" si="48"/>
        <v/>
      </c>
      <c r="K164" t="str">
        <f t="shared" si="49"/>
        <v/>
      </c>
      <c r="O164" s="249" t="str">
        <f t="shared" si="44"/>
        <v/>
      </c>
    </row>
    <row r="165" spans="1:15" x14ac:dyDescent="0.2">
      <c r="A165" s="249" t="str">
        <f>IF(A164="","",IF((1+A164)&lt;Input_!$C$36,1+A164,""))</f>
        <v/>
      </c>
      <c r="D165" t="str">
        <f>IF(B165="","",IF(B165&lt;0.0001,0,IF(B165&gt;0.0001,'Crop Coeff'!E160*B165,"")))</f>
        <v/>
      </c>
      <c r="H165" s="250" t="str">
        <f t="shared" si="46"/>
        <v/>
      </c>
      <c r="I165" t="str">
        <f t="shared" si="47"/>
        <v/>
      </c>
      <c r="J165" t="str">
        <f t="shared" si="48"/>
        <v/>
      </c>
      <c r="K165" t="str">
        <f t="shared" si="49"/>
        <v/>
      </c>
      <c r="O165" s="249" t="str">
        <f t="shared" si="44"/>
        <v/>
      </c>
    </row>
    <row r="166" spans="1:15" x14ac:dyDescent="0.2">
      <c r="A166" s="249" t="str">
        <f>IF(A165="","",IF((1+A165)&lt;Input_!$C$36,1+A165,""))</f>
        <v/>
      </c>
      <c r="D166" t="str">
        <f>IF(B166="","",IF(B166&lt;0.0001,0,IF(B166&gt;0.0001,'Crop Coeff'!E161*B166,"")))</f>
        <v/>
      </c>
      <c r="H166" s="250" t="str">
        <f t="shared" si="46"/>
        <v/>
      </c>
      <c r="I166" t="str">
        <f t="shared" si="47"/>
        <v/>
      </c>
      <c r="J166" t="str">
        <f t="shared" si="48"/>
        <v/>
      </c>
      <c r="K166" t="str">
        <f t="shared" si="49"/>
        <v/>
      </c>
      <c r="O166" s="249" t="str">
        <f t="shared" si="44"/>
        <v/>
      </c>
    </row>
    <row r="167" spans="1:15" x14ac:dyDescent="0.2">
      <c r="A167" s="249" t="str">
        <f>IF(A166="","",IF((1+A166)&lt;Input_!$C$36,1+A166,""))</f>
        <v/>
      </c>
      <c r="D167" t="str">
        <f>IF(B167="","",IF(B167&lt;0.0001,0,IF(B167&gt;0.0001,'Crop Coeff'!E162*B167,"")))</f>
        <v/>
      </c>
      <c r="H167" s="250" t="str">
        <f t="shared" si="46"/>
        <v/>
      </c>
      <c r="I167" t="str">
        <f t="shared" si="47"/>
        <v/>
      </c>
      <c r="J167" t="str">
        <f t="shared" si="48"/>
        <v/>
      </c>
      <c r="K167" t="str">
        <f t="shared" si="49"/>
        <v/>
      </c>
      <c r="O167" s="249" t="str">
        <f t="shared" si="44"/>
        <v/>
      </c>
    </row>
  </sheetData>
  <mergeCells count="5">
    <mergeCell ref="A1:Z1"/>
    <mergeCell ref="F4:F5"/>
    <mergeCell ref="A7:D7"/>
    <mergeCell ref="A4:E4"/>
    <mergeCell ref="A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O16" sqref="O1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25" workbookViewId="0">
      <selection activeCell="K62" sqref="K62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240</v>
      </c>
      <c r="B1" s="267" t="s">
        <v>241</v>
      </c>
      <c r="C1" s="267" t="s">
        <v>242</v>
      </c>
      <c r="D1" s="267" t="s">
        <v>243</v>
      </c>
      <c r="E1" s="267" t="s">
        <v>244</v>
      </c>
      <c r="F1" s="267" t="s">
        <v>245</v>
      </c>
      <c r="G1" s="267" t="s">
        <v>246</v>
      </c>
      <c r="H1" s="267" t="s">
        <v>247</v>
      </c>
      <c r="I1" s="267" t="s">
        <v>248</v>
      </c>
      <c r="J1" s="268" t="s">
        <v>458</v>
      </c>
      <c r="K1" s="267" t="s">
        <v>249</v>
      </c>
      <c r="L1" s="267" t="s">
        <v>250</v>
      </c>
      <c r="M1" s="267" t="s">
        <v>251</v>
      </c>
      <c r="N1" s="267" t="s">
        <v>252</v>
      </c>
      <c r="O1" s="267" t="s">
        <v>253</v>
      </c>
      <c r="P1" s="267" t="s">
        <v>254</v>
      </c>
      <c r="Q1" s="267" t="s">
        <v>255</v>
      </c>
      <c r="R1" s="267" t="s">
        <v>256</v>
      </c>
      <c r="S1" s="267" t="s">
        <v>257</v>
      </c>
      <c r="T1" s="267" t="s">
        <v>258</v>
      </c>
      <c r="U1" s="267" t="s">
        <v>259</v>
      </c>
    </row>
    <row r="2" spans="1:21" x14ac:dyDescent="0.2">
      <c r="A2" t="s">
        <v>260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261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262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263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264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265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266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267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268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269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270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271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272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273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274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275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276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277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278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279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280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281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282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283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284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285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286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287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288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289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290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291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292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293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294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295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296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297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298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299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300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301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302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303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304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305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306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307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308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309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310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311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312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313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314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315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316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317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318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319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320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321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322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323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324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325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326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327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328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329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330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331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332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333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334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335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336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337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338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339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340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341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342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343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344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345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346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347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348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349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350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351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352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353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354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355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356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357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358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359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360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361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362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363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364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365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366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367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368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369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370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371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372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373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374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375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376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377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378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379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380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381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382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383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384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385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386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387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388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389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390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391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392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393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394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395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396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397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398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399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400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401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402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403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404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405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406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407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408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409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410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411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412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413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414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415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416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417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418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419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420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421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422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423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424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425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426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427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428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429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430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431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432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433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434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435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436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437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438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439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440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441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442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443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444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445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446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447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448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449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450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451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452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453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454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455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456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457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workbookViewId="0">
      <selection activeCell="E12" sqref="E12:E123"/>
    </sheetView>
  </sheetViews>
  <sheetFormatPr defaultRowHeight="12.75" x14ac:dyDescent="0.2"/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45430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45430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0.28166666666666668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0.28166666666666668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0.31333333333333335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0.31333333333333335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0.34500000000000003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0.34500000000000003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0.37666666666666671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0.37666666666666671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0.40833333333333338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0.40833333333333338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0.44000000000000006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0.44000000000000006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0.47166666666666673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0.47166666666666673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0.50333333333333341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0.50333333333333341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0.53500000000000003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0.53500000000000003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0.56666666666666665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0.56666666666666665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0.59833333333333327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0.59833333333333327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0.62999999999999989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0.62999999999999989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0.66166666666666651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0.66166666666666651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0.69333333333333313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0.69333333333333313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0.72499999999999976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0.72499999999999976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0.75666666666666638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0.75666666666666638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0.788333333333333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0.788333333333333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0.81999999999999962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0.81999999999999962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0.85166666666666624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0.85166666666666624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0.88333333333333286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0.88333333333333286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0.91499999999999948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0.91499999999999948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0.9466666666666661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0.9466666666666661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0.97833333333333272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0.97833333333333272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1.0099999999999993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1.0099999999999993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1.0416666666666661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1.0416666666666661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1.0733333333333328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1.0733333333333328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1.1049999999999995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1.1049999999999995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1.1366666666666663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1.1366666666666663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1.168333333333333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1.168333333333333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1.1999999999999997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1.1999999999999997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1.2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1.2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1.2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1.2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1.2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1.2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1.2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1.2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1.2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1.2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1.2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1.2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1.2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1.2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1.1785714285714286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1.1785714285714286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1.1571428571428573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1.1571428571428573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1.1357142857142859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1.1357142857142859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1.1142857142857145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1.1142857142857145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1.0928571428571432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1.0928571428571432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1.0714285714285718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1.0714285714285718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1.0500000000000005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1.0500000000000005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1.0285714285714291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1.0285714285714291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1.0071428571428578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1.0071428571428578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0.98571428571428632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0.98571428571428632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0.96428571428571486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0.96428571428571486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0.94285714285714339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0.94285714285714339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0.92142857142857193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0.92142857142857193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0.90000000000000047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0.90000000000000047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0.878571428571429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0.878571428571429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0.85714285714285754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0.85714285714285754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0.83571428571428608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0.83571428571428608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0.81428571428571461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0.81428571428571461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0.79285714285714315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0.79285714285714315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0.77142857142857169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0.77142857142857169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0.75000000000000022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0.75000000000000022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0.72857142857142876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0.72857142857142876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0.7071428571428573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0.7071428571428573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0.68571428571428583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0.68571428571428583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0.66428571428571437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0.66428571428571437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0.6428571428571429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0.6428571428571429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0.62142857142857144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0.62142857142857144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0.6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0.6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0.57857142857142851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0.57857142857142851</v>
      </c>
      <c r="E124" t="str">
        <f>IF(Budget!G128&lt;Budget!$F$4,'Crop Coeff'!D124*Budget!G128/Budget!$F$4,'Crop Coeff'!D124)</f>
        <v/>
      </c>
    </row>
    <row r="125" spans="1:5" x14ac:dyDescent="0.2">
      <c r="A125" s="249" t="str">
        <f>IF(A124&lt;Input_!$C$36,'Crop Coeff'!A124+1,"")</f>
        <v/>
      </c>
      <c r="B125" t="str">
        <f>+IF(A125="","",IF(A125&lt;Input_!$C$29,Input_!$C$38,IF(A125&gt;Input_!$C$32,IF(A125&lt;Input_!$C$34,Input_!$C$40,B124-Input_!$C$78),MIN(B124+Input_!$C$77,Input_!C$40))))</f>
        <v/>
      </c>
      <c r="C125" s="249" t="str">
        <f>IF(C124&lt;Input_!$C$36,'Crop Coeff'!C124+1,"")</f>
        <v/>
      </c>
      <c r="D125" t="str">
        <f>+IF(C125="","",IF(C125&lt;Input_!$C$29,Input_!$C$38,IF(C125&gt;Input_!$C$32,IF(C125&lt;Input_!$C$34,Input_!$C$40,D124-Input_!$C$78),MIN(D124+Input_!$C$77,Input_!$C$40))))</f>
        <v/>
      </c>
      <c r="E125" t="str">
        <f>IF(Budget!G129&lt;Budget!$F$4,'Crop Coeff'!D125*Budget!G129/Budget!$F$4,'Crop Coeff'!D125)</f>
        <v/>
      </c>
    </row>
    <row r="126" spans="1:5" x14ac:dyDescent="0.2">
      <c r="A126" s="249" t="str">
        <f>IF(A125&lt;Input_!$C$36,'Crop Coeff'!A125+1,"")</f>
        <v/>
      </c>
      <c r="B126" t="str">
        <f>+IF(A126="","",IF(A126&lt;Input_!$C$29,Input_!$C$38,IF(A126&gt;Input_!$C$32,IF(A126&lt;Input_!$C$34,Input_!$C$40,B125-Input_!$C$78),MIN(B125+Input_!$C$77,Input_!C$40))))</f>
        <v/>
      </c>
      <c r="C126" s="249" t="str">
        <f>IF(C125&lt;Input_!$C$36,'Crop Coeff'!C125+1,"")</f>
        <v/>
      </c>
      <c r="D126" t="str">
        <f>+IF(C126="","",IF(C126&lt;Input_!$C$29,Input_!$C$38,IF(C126&gt;Input_!$C$32,IF(C126&lt;Input_!$C$34,Input_!$C$40,D125-Input_!$C$78),MIN(D125+Input_!$C$77,Input_!$C$40))))</f>
        <v/>
      </c>
      <c r="E126" t="str">
        <f>IF(Budget!G130&lt;Budget!$F$4,'Crop Coeff'!D126*Budget!G130/Budget!$F$4,'Crop Coeff'!D126)</f>
        <v/>
      </c>
    </row>
    <row r="127" spans="1:5" x14ac:dyDescent="0.2">
      <c r="A127" s="249" t="str">
        <f>IF(A126&lt;Input_!$C$36,'Crop Coeff'!A126+1,"")</f>
        <v/>
      </c>
      <c r="B127" t="str">
        <f>+IF(A127="","",IF(A127&lt;Input_!$C$29,Input_!$C$38,IF(A127&gt;Input_!$C$32,IF(A127&lt;Input_!$C$34,Input_!$C$40,B126-Input_!$C$78),MIN(B126+Input_!$C$77,Input_!C$40))))</f>
        <v/>
      </c>
      <c r="C127" s="249" t="str">
        <f>IF(C126&lt;Input_!$C$36,'Crop Coeff'!C126+1,"")</f>
        <v/>
      </c>
      <c r="D127" t="str">
        <f>+IF(C127="","",IF(C127&lt;Input_!$C$29,Input_!$C$38,IF(C127&gt;Input_!$C$32,IF(C127&lt;Input_!$C$34,Input_!$C$40,D126-Input_!$C$78),MIN(D126+Input_!$C$77,Input_!$C$40))))</f>
        <v/>
      </c>
      <c r="E127" t="str">
        <f>IF(Budget!G131&lt;Budget!$F$4,'Crop Coeff'!D127*Budget!G131/Budget!$F$4,'Crop Coeff'!D127)</f>
        <v/>
      </c>
    </row>
    <row r="128" spans="1:5" x14ac:dyDescent="0.2">
      <c r="A128" s="249" t="str">
        <f>IF(A127&lt;Input_!$C$36,'Crop Coeff'!A127+1,"")</f>
        <v/>
      </c>
      <c r="B128" t="str">
        <f>+IF(A128="","",IF(A128&lt;Input_!$C$29,Input_!$C$38,IF(A128&gt;Input_!$C$32,IF(A128&lt;Input_!$C$34,Input_!$C$40,B127-Input_!$C$78),MIN(B127+Input_!$C$77,Input_!C$40))))</f>
        <v/>
      </c>
      <c r="C128" s="249" t="str">
        <f>IF(C127&lt;Input_!$C$36,'Crop Coeff'!C127+1,"")</f>
        <v/>
      </c>
      <c r="D128" t="str">
        <f>+IF(C128="","",IF(C128&lt;Input_!$C$29,Input_!$C$38,IF(C128&gt;Input_!$C$32,IF(C128&lt;Input_!$C$34,Input_!$C$40,D127-Input_!$C$78),MIN(D127+Input_!$C$77,Input_!$C$40))))</f>
        <v/>
      </c>
      <c r="E128" t="str">
        <f>IF(Budget!G132&lt;Budget!$F$4,'Crop Coeff'!D128*Budget!G132/Budget!$F$4,'Crop Coeff'!D128)</f>
        <v/>
      </c>
    </row>
    <row r="129" spans="1:5" x14ac:dyDescent="0.2">
      <c r="A129" s="249" t="str">
        <f>IF(A128&lt;Input_!$C$36,'Crop Coeff'!A128+1,"")</f>
        <v/>
      </c>
      <c r="B129" t="str">
        <f>+IF(A129="","",IF(A129&lt;Input_!$C$29,Input_!$C$38,IF(A129&gt;Input_!$C$32,IF(A129&lt;Input_!$C$34,Input_!$C$40,B128-Input_!$C$78),MIN(B128+Input_!$C$77,Input_!C$40))))</f>
        <v/>
      </c>
      <c r="C129" s="249" t="str">
        <f>IF(C128&lt;Input_!$C$36,'Crop Coeff'!C128+1,"")</f>
        <v/>
      </c>
      <c r="D129" t="str">
        <f>+IF(C129="","",IF(C129&lt;Input_!$C$29,Input_!$C$38,IF(C129&gt;Input_!$C$32,IF(C129&lt;Input_!$C$34,Input_!$C$40,D128-Input_!$C$78),MIN(D128+Input_!$C$77,Input_!$C$40))))</f>
        <v/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Title</vt:lpstr>
      <vt:lpstr>Soil&amp;Crop Data_</vt:lpstr>
      <vt:lpstr>Input_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2024-10-29T21:49:35Z</dcterms:modified>
</cp:coreProperties>
</file>