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KROK\УПвІТ\"/>
    </mc:Choice>
  </mc:AlternateContent>
  <xr:revisionPtr revIDLastSave="0" documentId="8_{82C015A9-11F4-436A-8497-2A593A45FCA3}" xr6:coauthVersionLast="47" xr6:coauthVersionMax="47" xr10:uidLastSave="{00000000-0000-0000-0000-000000000000}"/>
  <bookViews>
    <workbookView xWindow="-108" yWindow="-108" windowWidth="23256" windowHeight="12576" xr2:uid="{DA701D1E-524B-4122-9D9F-806879B01CF7}"/>
  </bookViews>
  <sheets>
    <sheet name="Меню" sheetId="1" r:id="rId1"/>
    <sheet name="Ресурси" sheetId="2" r:id="rId2"/>
    <sheet name="ЗП" sheetId="3" r:id="rId3"/>
    <sheet name="Платежі" sheetId="4" r:id="rId4"/>
    <sheet name="Обладнання" sheetId="6" r:id="rId5"/>
    <sheet name="Розрахунок доходу" sheetId="7" r:id="rId6"/>
  </sheets>
  <definedNames>
    <definedName name="solver_eng" localSheetId="0" hidden="1">1</definedName>
    <definedName name="solver_lhs1" localSheetId="0" hidden="1">Меню!$M$3</definedName>
    <definedName name="solver_neg" localSheetId="0" hidden="1">1</definedName>
    <definedName name="solver_num" localSheetId="0" hidden="1">0</definedName>
    <definedName name="solver_rel1" localSheetId="0" hidden="1">3</definedName>
    <definedName name="solver_rhs1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9" i="1"/>
  <c r="C8" i="1"/>
  <c r="C7" i="1"/>
  <c r="C6" i="1"/>
  <c r="C5" i="1"/>
  <c r="C4" i="1"/>
  <c r="C3" i="1"/>
  <c r="Q42" i="6"/>
  <c r="H16" i="6"/>
  <c r="J16" i="6" s="1"/>
  <c r="H15" i="6"/>
  <c r="H14" i="6"/>
  <c r="H13" i="6"/>
  <c r="J13" i="6" s="1"/>
  <c r="H12" i="6"/>
  <c r="H11" i="6"/>
  <c r="J11" i="6" s="1"/>
  <c r="H10" i="6"/>
  <c r="J10" i="6" s="1"/>
  <c r="H9" i="6"/>
  <c r="J9" i="6" s="1"/>
  <c r="O42" i="6"/>
  <c r="E42" i="6"/>
  <c r="J12" i="6"/>
  <c r="J14" i="6"/>
  <c r="J15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5" i="6"/>
  <c r="J6" i="6"/>
  <c r="J7" i="6"/>
  <c r="J40" i="6"/>
  <c r="E6" i="6"/>
  <c r="E7" i="6"/>
  <c r="E8" i="6"/>
  <c r="E9" i="6"/>
  <c r="C4" i="6"/>
  <c r="E4" i="6" s="1"/>
  <c r="C5" i="6"/>
  <c r="E5" i="6" s="1"/>
  <c r="C11" i="3"/>
  <c r="D11" i="3" s="1"/>
  <c r="D9" i="3"/>
  <c r="D7" i="3"/>
  <c r="D6" i="3"/>
  <c r="D5" i="3"/>
  <c r="D4" i="3"/>
  <c r="D3" i="3"/>
  <c r="D2" i="3"/>
  <c r="B12" i="2"/>
  <c r="D12" i="2" s="1"/>
  <c r="C11" i="2"/>
  <c r="B11" i="2"/>
  <c r="D11" i="2" s="1"/>
  <c r="D9" i="2"/>
  <c r="B9" i="2"/>
  <c r="C8" i="2"/>
  <c r="D8" i="2" s="1"/>
  <c r="D13" i="2" s="1"/>
  <c r="B2" i="2"/>
  <c r="C2" i="2" s="1"/>
  <c r="D2" i="2" s="1"/>
  <c r="L10" i="1"/>
  <c r="C13" i="1"/>
  <c r="C10" i="1"/>
  <c r="J42" i="6" l="1"/>
  <c r="H8" i="6"/>
  <c r="J8" i="6" s="1"/>
  <c r="H4" i="6"/>
  <c r="J4" i="6" s="1"/>
  <c r="C26" i="1"/>
  <c r="E26" i="1" s="1"/>
  <c r="C25" i="1"/>
  <c r="D25" i="1" s="1"/>
  <c r="C24" i="1"/>
  <c r="D24" i="1" s="1"/>
  <c r="C23" i="1"/>
  <c r="D23" i="1" s="1"/>
  <c r="C22" i="1"/>
  <c r="E22" i="1" s="1"/>
  <c r="C21" i="1"/>
  <c r="D21" i="1" s="1"/>
  <c r="E25" i="1" l="1"/>
  <c r="E24" i="1"/>
  <c r="D26" i="1"/>
  <c r="E23" i="1"/>
  <c r="D22" i="1"/>
  <c r="E21" i="1"/>
  <c r="C15" i="1"/>
  <c r="C16" i="1"/>
  <c r="D16" i="1" s="1"/>
  <c r="C17" i="1"/>
  <c r="D17" i="1" s="1"/>
  <c r="D11" i="1"/>
  <c r="C14" i="1"/>
  <c r="D9" i="1"/>
  <c r="E3" i="1"/>
  <c r="D18" i="1"/>
  <c r="D19" i="1"/>
  <c r="D20" i="1"/>
  <c r="D27" i="1"/>
  <c r="D28" i="1"/>
  <c r="D29" i="1"/>
  <c r="D30" i="1"/>
  <c r="D31" i="1"/>
  <c r="D32" i="1"/>
  <c r="D33" i="1"/>
  <c r="D34" i="1"/>
  <c r="D35" i="1"/>
  <c r="D36" i="1"/>
  <c r="D39" i="1"/>
  <c r="D40" i="1"/>
  <c r="D42" i="1"/>
  <c r="D43" i="1"/>
  <c r="D44" i="1"/>
  <c r="D45" i="1"/>
  <c r="E13" i="1"/>
  <c r="E16" i="1"/>
  <c r="E18" i="1"/>
  <c r="E19" i="1"/>
  <c r="E20" i="1"/>
  <c r="E27" i="1"/>
  <c r="E28" i="1"/>
  <c r="E29" i="1"/>
  <c r="E30" i="1"/>
  <c r="E31" i="1"/>
  <c r="E32" i="1"/>
  <c r="E33" i="1"/>
  <c r="E34" i="1"/>
  <c r="E35" i="1"/>
  <c r="E36" i="1"/>
  <c r="E39" i="1"/>
  <c r="E40" i="1"/>
  <c r="E42" i="1"/>
  <c r="E43" i="1"/>
  <c r="E44" i="1"/>
  <c r="E45" i="1"/>
  <c r="C37" i="1"/>
  <c r="D37" i="1" s="1"/>
  <c r="C38" i="1"/>
  <c r="E38" i="1" s="1"/>
  <c r="C41" i="1"/>
  <c r="D41" i="1" s="1"/>
  <c r="E17" i="1" l="1"/>
  <c r="E37" i="1"/>
  <c r="D15" i="1"/>
  <c r="D5" i="1"/>
  <c r="E10" i="1"/>
  <c r="D12" i="1"/>
  <c r="E9" i="1"/>
  <c r="D14" i="1"/>
  <c r="E4" i="1"/>
  <c r="D10" i="1"/>
  <c r="D7" i="1"/>
  <c r="E8" i="1"/>
  <c r="D38" i="1"/>
  <c r="D13" i="1"/>
  <c r="D4" i="1"/>
  <c r="E41" i="1"/>
  <c r="D6" i="1"/>
  <c r="E15" i="1"/>
  <c r="E6" i="1"/>
  <c r="E5" i="1"/>
  <c r="E11" i="1"/>
  <c r="E14" i="1"/>
  <c r="E12" i="1"/>
  <c r="D8" i="1"/>
  <c r="E7" i="1"/>
  <c r="D3" i="1"/>
  <c r="L16" i="1" l="1"/>
  <c r="B4" i="2"/>
  <c r="C4" i="2" s="1"/>
  <c r="D4" i="2" s="1"/>
  <c r="D5" i="2" s="1"/>
  <c r="L21" i="1"/>
  <c r="L26" i="1" l="1"/>
</calcChain>
</file>

<file path=xl/sharedStrings.xml><?xml version="1.0" encoding="utf-8"?>
<sst xmlns="http://schemas.openxmlformats.org/spreadsheetml/2006/main" count="179" uniqueCount="151">
  <si>
    <t>Назва страви</t>
  </si>
  <si>
    <t>Собівартість, грн</t>
  </si>
  <si>
    <t>Маржинальність, %</t>
  </si>
  <si>
    <t>Націнка, грн</t>
  </si>
  <si>
    <t>Ціна продажу, грн</t>
  </si>
  <si>
    <t>Прогнозований продаж, шт/4 тиж</t>
  </si>
  <si>
    <t>Витрати, грн</t>
  </si>
  <si>
    <t>Чистий прибуток (Без ПДВ), грн</t>
  </si>
  <si>
    <t>Еспресо</t>
  </si>
  <si>
    <t>Допіо</t>
  </si>
  <si>
    <t>Американо</t>
  </si>
  <si>
    <t xml:space="preserve">Лате </t>
  </si>
  <si>
    <t>Капучино</t>
  </si>
  <si>
    <t>Флет-вайт</t>
  </si>
  <si>
    <t>Раф</t>
  </si>
  <si>
    <t>Гарячий шоколад з маршмеллоу</t>
  </si>
  <si>
    <t>Чай заварний</t>
  </si>
  <si>
    <t>Чай натуральний</t>
  </si>
  <si>
    <t>Чай пакетований</t>
  </si>
  <si>
    <t>Матча</t>
  </si>
  <si>
    <t>Айс-лате</t>
  </si>
  <si>
    <t>Сік</t>
  </si>
  <si>
    <t>Лимонад</t>
  </si>
  <si>
    <t>200гр</t>
  </si>
  <si>
    <t xml:space="preserve">Млинці </t>
  </si>
  <si>
    <t>100гр</t>
  </si>
  <si>
    <t>Карамелізоване яблуко</t>
  </si>
  <si>
    <t>Сирники</t>
  </si>
  <si>
    <t>Омлет</t>
  </si>
  <si>
    <t>300гр</t>
  </si>
  <si>
    <t>Бургер</t>
  </si>
  <si>
    <t>250гр</t>
  </si>
  <si>
    <t>Паста карбонара</t>
  </si>
  <si>
    <t>Пельмені індичка</t>
  </si>
  <si>
    <t>Пельмені курятина</t>
  </si>
  <si>
    <t>Пельмені свинина</t>
  </si>
  <si>
    <t>Пельмені яловичина</t>
  </si>
  <si>
    <t>Вареники з картоплею</t>
  </si>
  <si>
    <t>Вареники з м'ясом</t>
  </si>
  <si>
    <t>Деруни зі сметаною</t>
  </si>
  <si>
    <t xml:space="preserve">Суп грибний </t>
  </si>
  <si>
    <t xml:space="preserve">450гр 2990/6 </t>
  </si>
  <si>
    <t>Суп сирний</t>
  </si>
  <si>
    <t>Цезар з куркою</t>
  </si>
  <si>
    <t>Цезар з лососем</t>
  </si>
  <si>
    <t>160гр 75/85</t>
  </si>
  <si>
    <t>Моцарела та в'ялені томати</t>
  </si>
  <si>
    <t>Картопля фрі</t>
  </si>
  <si>
    <t>Картопля по селянськи</t>
  </si>
  <si>
    <t>150гр</t>
  </si>
  <si>
    <t>Сир в паніровці</t>
  </si>
  <si>
    <t>Нагетси курячі</t>
  </si>
  <si>
    <t>Витрати на миття поверхонь</t>
  </si>
  <si>
    <t>Мийного розчину, л</t>
  </si>
  <si>
    <t>Універсальний засіб для миття поверхонь, л</t>
  </si>
  <si>
    <t>Витрати мийного засобу на 4 тиж, грн</t>
  </si>
  <si>
    <t>Миття поверхонь</t>
  </si>
  <si>
    <t>Витрати на миття посуду</t>
  </si>
  <si>
    <t>Приблизна кількість брудного посуду/4 тиж</t>
  </si>
  <si>
    <t>Кількість мийного засобу для посудомийної машини, л</t>
  </si>
  <si>
    <t>Миття посуду</t>
  </si>
  <si>
    <t>Витрати на годування котів</t>
  </si>
  <si>
    <t>Приблизна кількість котів</t>
  </si>
  <si>
    <t>Середня кількість корму на одну особу на добу, г</t>
  </si>
  <si>
    <t>Витрати корму на 4 тиж, грн</t>
  </si>
  <si>
    <t>Сухий корм</t>
  </si>
  <si>
    <t>Вологий корм</t>
  </si>
  <si>
    <t>Кількість ресурсу на одну особу протягом 4 тиж, кг</t>
  </si>
  <si>
    <t>Витрати на ресурс протягом 4 тиж,   грн</t>
  </si>
  <si>
    <t>Наповнювач для лотків</t>
  </si>
  <si>
    <t xml:space="preserve">Шампунь для миття </t>
  </si>
  <si>
    <t>Кількість</t>
  </si>
  <si>
    <t>Посада</t>
  </si>
  <si>
    <t>ЗП/особа, грн</t>
  </si>
  <si>
    <t>Заробітня платня загалом, грн</t>
  </si>
  <si>
    <t>Офіціант</t>
  </si>
  <si>
    <t>Адміністратор</t>
  </si>
  <si>
    <t>Прибиральниця</t>
  </si>
  <si>
    <t>Кухар</t>
  </si>
  <si>
    <t>Доглядач за котами</t>
  </si>
  <si>
    <t>SMM-менеджер</t>
  </si>
  <si>
    <t>Бариста</t>
  </si>
  <si>
    <t>Вартість на місяць, грн</t>
  </si>
  <si>
    <t xml:space="preserve">Оренда приміщення </t>
  </si>
  <si>
    <t>Мафін Банан</t>
  </si>
  <si>
    <t>Мафін Ваніль</t>
  </si>
  <si>
    <t>90г</t>
  </si>
  <si>
    <t>Торт "Ківі лайм"</t>
  </si>
  <si>
    <t>140г</t>
  </si>
  <si>
    <t>Торт "Фруктовий сад"</t>
  </si>
  <si>
    <t>Брауні</t>
  </si>
  <si>
    <t>Торт "Вечірній Київ"</t>
  </si>
  <si>
    <t>Дохід від реалізації, грн</t>
  </si>
  <si>
    <t>Очікувана кількість клієнтів / 4 тижні</t>
  </si>
  <si>
    <t>Середня сума чеку, грн</t>
  </si>
  <si>
    <t>Чистий прибуток, грн</t>
  </si>
  <si>
    <t>Валова виручка, грн</t>
  </si>
  <si>
    <t>Витрати на закупівлю, грн</t>
  </si>
  <si>
    <t>Витрати на заробітню плату за місяць</t>
  </si>
  <si>
    <t>Площа, м.кв.</t>
  </si>
  <si>
    <t>Зал</t>
  </si>
  <si>
    <t>Стілець</t>
  </si>
  <si>
    <t>Вартість</t>
  </si>
  <si>
    <t>Назва</t>
  </si>
  <si>
    <t>Барний стіл</t>
  </si>
  <si>
    <t>Кавомашина</t>
  </si>
  <si>
    <t>Барна стійка</t>
  </si>
  <si>
    <t>Касовий апарат</t>
  </si>
  <si>
    <t>Кухня</t>
  </si>
  <si>
    <t>Коти</t>
  </si>
  <si>
    <t>Холодильник</t>
  </si>
  <si>
    <t>Фритюрниця</t>
  </si>
  <si>
    <t>Міксер</t>
  </si>
  <si>
    <t>Гастрономічна ємність</t>
  </si>
  <si>
    <t>Ціна за од.</t>
  </si>
  <si>
    <t>Ціна за од</t>
  </si>
  <si>
    <t>Ложка столова</t>
  </si>
  <si>
    <t>Виделка столові</t>
  </si>
  <si>
    <t>Ніж столовий</t>
  </si>
  <si>
    <t>Ложка чайна</t>
  </si>
  <si>
    <t>Виделка десертна</t>
  </si>
  <si>
    <t>Тарілка десертна</t>
  </si>
  <si>
    <t>Тарілка для страв</t>
  </si>
  <si>
    <t>Тарілка глибока</t>
  </si>
  <si>
    <t>Серветниця</t>
  </si>
  <si>
    <t>Солонка/перечниця</t>
  </si>
  <si>
    <t>Чашка 80мл</t>
  </si>
  <si>
    <t>Чашка 150мл</t>
  </si>
  <si>
    <t>Чашка 350мл</t>
  </si>
  <si>
    <t>Чайник 750мл</t>
  </si>
  <si>
    <t>Бульйонниця</t>
  </si>
  <si>
    <t>Набір ножів</t>
  </si>
  <si>
    <t>Дошки для нарізання</t>
  </si>
  <si>
    <t>Миска 0,9л</t>
  </si>
  <si>
    <t>Миска 2,4л</t>
  </si>
  <si>
    <t>Миска 9л</t>
  </si>
  <si>
    <t>Набір  каструль</t>
  </si>
  <si>
    <t>Сковорідка 24см</t>
  </si>
  <si>
    <t>Сковорідка 26см</t>
  </si>
  <si>
    <t>Сковорідка 28см</t>
  </si>
  <si>
    <t>Ваги кухонні</t>
  </si>
  <si>
    <t>Точило для ножів</t>
  </si>
  <si>
    <t>Плита та витяжка</t>
  </si>
  <si>
    <t>Стіл-тумба з мийкою</t>
  </si>
  <si>
    <t>Стелаж</t>
  </si>
  <si>
    <t>Смітник</t>
  </si>
  <si>
    <t>Шафа навісна</t>
  </si>
  <si>
    <t>Виробнича поверхня 2000*600*850мм</t>
  </si>
  <si>
    <t>Полиця для сушіння посуду 1000*320*350мм</t>
  </si>
  <si>
    <t xml:space="preserve">Стіл </t>
  </si>
  <si>
    <t xml:space="preserve">Загалом: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</si>
</sst>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₴&quot;_-;\-* #,##0.00\ &quot;₴&quot;_-;_-* &quot;-&quot;??\ &quot;₴&quot;_-;_-@_-"/>
    <numFmt numFmtId="164" formatCode="0.000"/>
    <numFmt numFmtId="165" formatCode="_-* #,##0.00\ [$₴-422]_-;\-* #,##0.00\ [$₴-422]_-;_-* &quot;-&quot;??\ [$₴-422]_-;_-@_-"/>
    <numFmt numFmtId="166" formatCode="_-* #,##0\ [$₴-422]_-;\-* #,##0\ [$₴-422]_-;_-* &quot;-&quot;??\ [$₴-422]_-;_-@_-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483C3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CBED6"/>
        <bgColor indexed="64"/>
      </patternFill>
    </fill>
    <fill>
      <patternFill patternType="solid">
        <fgColor rgb="FFEFDFBB"/>
        <bgColor indexed="64"/>
      </patternFill>
    </fill>
    <fill>
      <patternFill patternType="solid">
        <fgColor rgb="FFE0C07A"/>
        <bgColor indexed="64"/>
      </patternFill>
    </fill>
    <fill>
      <patternFill patternType="solid">
        <fgColor rgb="FF9F8170"/>
        <bgColor indexed="64"/>
      </patternFill>
    </fill>
    <fill>
      <patternFill patternType="solid">
        <fgColor rgb="FFAA822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ACA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8AD7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E59B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 vertical="center"/>
    </xf>
    <xf numFmtId="1" fontId="5" fillId="7" borderId="1" xfId="0" applyNumberFormat="1" applyFont="1" applyFill="1" applyBorder="1"/>
    <xf numFmtId="0" fontId="5" fillId="7" borderId="1" xfId="0" applyFont="1" applyFill="1" applyBorder="1"/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7" fillId="10" borderId="2" xfId="0" applyFont="1" applyFill="1" applyBorder="1"/>
    <xf numFmtId="0" fontId="2" fillId="11" borderId="1" xfId="0" applyFont="1" applyFill="1" applyBorder="1" applyAlignment="1">
      <alignment horizontal="center" vertical="center" wrapText="1"/>
    </xf>
    <xf numFmtId="0" fontId="5" fillId="11" borderId="6" xfId="0" applyFont="1" applyFill="1" applyBorder="1"/>
    <xf numFmtId="0" fontId="5" fillId="11" borderId="7" xfId="0" applyFont="1" applyFill="1" applyBorder="1"/>
    <xf numFmtId="44" fontId="0" fillId="3" borderId="1" xfId="1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1" fillId="6" borderId="1" xfId="1" applyFont="1" applyFill="1" applyBorder="1" applyAlignment="1">
      <alignment horizontal="center" vertical="center"/>
    </xf>
    <xf numFmtId="44" fontId="1" fillId="5" borderId="1" xfId="1" applyFont="1" applyFill="1" applyBorder="1" applyAlignment="1">
      <alignment horizontal="center" vertical="center"/>
    </xf>
    <xf numFmtId="44" fontId="5" fillId="9" borderId="1" xfId="1" applyFont="1" applyFill="1" applyBorder="1" applyAlignment="1">
      <alignment horizontal="center" vertical="center"/>
    </xf>
    <xf numFmtId="44" fontId="5" fillId="7" borderId="1" xfId="1" applyFont="1" applyFill="1" applyBorder="1" applyAlignment="1">
      <alignment horizontal="center" vertical="center"/>
    </xf>
    <xf numFmtId="44" fontId="5" fillId="8" borderId="1" xfId="1" applyFont="1" applyFill="1" applyBorder="1" applyAlignment="1">
      <alignment horizontal="center" vertical="center"/>
    </xf>
    <xf numFmtId="44" fontId="6" fillId="9" borderId="1" xfId="1" applyFont="1" applyFill="1" applyBorder="1" applyAlignment="1">
      <alignment horizontal="center" vertical="center"/>
    </xf>
    <xf numFmtId="44" fontId="6" fillId="7" borderId="1" xfId="1" applyFont="1" applyFill="1" applyBorder="1" applyAlignment="1">
      <alignment horizontal="center" vertical="center"/>
    </xf>
    <xf numFmtId="44" fontId="6" fillId="8" borderId="1" xfId="1" applyFont="1" applyFill="1" applyBorder="1" applyAlignment="1">
      <alignment horizontal="center" vertical="center"/>
    </xf>
    <xf numFmtId="44" fontId="7" fillId="10" borderId="3" xfId="1" applyFont="1" applyFill="1" applyBorder="1" applyAlignment="1">
      <alignment horizontal="center" vertical="center"/>
    </xf>
    <xf numFmtId="44" fontId="7" fillId="10" borderId="4" xfId="1" applyFont="1" applyFill="1" applyBorder="1" applyAlignment="1">
      <alignment horizontal="center" vertical="center"/>
    </xf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0" fillId="8" borderId="1" xfId="0" applyFill="1" applyBorder="1"/>
    <xf numFmtId="165" fontId="0" fillId="8" borderId="1" xfId="0" applyNumberFormat="1" applyFill="1" applyBorder="1"/>
    <xf numFmtId="0" fontId="0" fillId="12" borderId="1" xfId="0" applyFill="1" applyBorder="1"/>
    <xf numFmtId="165" fontId="0" fillId="12" borderId="1" xfId="0" applyNumberFormat="1" applyFill="1" applyBorder="1"/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0" fillId="10" borderId="0" xfId="0" applyFill="1"/>
    <xf numFmtId="165" fontId="0" fillId="10" borderId="0" xfId="0" applyNumberFormat="1" applyFill="1"/>
    <xf numFmtId="165" fontId="10" fillId="10" borderId="0" xfId="0" applyNumberFormat="1" applyFont="1" applyFill="1"/>
    <xf numFmtId="164" fontId="0" fillId="0" borderId="1" xfId="0" applyNumberFormat="1" applyBorder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15" borderId="1" xfId="0" applyFill="1" applyBorder="1"/>
    <xf numFmtId="0" fontId="0" fillId="15" borderId="1" xfId="0" applyFill="1" applyBorder="1" applyAlignment="1">
      <alignment wrapText="1"/>
    </xf>
    <xf numFmtId="165" fontId="10" fillId="10" borderId="0" xfId="0" applyNumberFormat="1" applyFont="1" applyFill="1" applyAlignment="1">
      <alignment horizontal="center" vertical="center"/>
    </xf>
    <xf numFmtId="0" fontId="0" fillId="14" borderId="1" xfId="0" applyFill="1" applyBorder="1"/>
    <xf numFmtId="44" fontId="0" fillId="14" borderId="1" xfId="1" applyFont="1" applyFill="1" applyBorder="1"/>
    <xf numFmtId="0" fontId="2" fillId="14" borderId="1" xfId="0" applyFont="1" applyFill="1" applyBorder="1"/>
    <xf numFmtId="0" fontId="2" fillId="14" borderId="1" xfId="0" applyFont="1" applyFill="1" applyBorder="1" applyAlignment="1">
      <alignment wrapText="1"/>
    </xf>
    <xf numFmtId="0" fontId="2" fillId="14" borderId="1" xfId="0" applyFont="1" applyFill="1" applyBorder="1" applyAlignment="1">
      <alignment horizontal="center" vertical="center" wrapText="1"/>
    </xf>
    <xf numFmtId="44" fontId="0" fillId="0" borderId="0" xfId="0" applyNumberFormat="1"/>
    <xf numFmtId="0" fontId="0" fillId="17" borderId="1" xfId="0" applyFill="1" applyBorder="1" applyAlignment="1">
      <alignment horizontal="center" vertical="center"/>
    </xf>
    <xf numFmtId="166" fontId="0" fillId="15" borderId="1" xfId="0" applyNumberForma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2" fillId="16" borderId="1" xfId="2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center" vertical="center"/>
    </xf>
    <xf numFmtId="0" fontId="0" fillId="12" borderId="0" xfId="0" applyFill="1"/>
    <xf numFmtId="0" fontId="0" fillId="17" borderId="11" xfId="0" applyFill="1" applyBorder="1" applyAlignment="1">
      <alignment horizontal="center" vertical="center"/>
    </xf>
    <xf numFmtId="165" fontId="0" fillId="12" borderId="11" xfId="0" applyNumberFormat="1" applyFill="1" applyBorder="1"/>
    <xf numFmtId="0" fontId="0" fillId="17" borderId="16" xfId="0" applyFill="1" applyBorder="1" applyAlignment="1">
      <alignment horizontal="center" vertical="center"/>
    </xf>
    <xf numFmtId="165" fontId="0" fillId="15" borderId="19" xfId="0" applyNumberFormat="1" applyFill="1" applyBorder="1" applyAlignment="1">
      <alignment horizontal="center" vertical="center"/>
    </xf>
    <xf numFmtId="165" fontId="0" fillId="12" borderId="16" xfId="0" applyNumberFormat="1" applyFill="1" applyBorder="1"/>
    <xf numFmtId="165" fontId="0" fillId="15" borderId="17" xfId="0" applyNumberFormat="1" applyFill="1" applyBorder="1" applyAlignment="1">
      <alignment horizontal="center" vertical="center"/>
    </xf>
    <xf numFmtId="0" fontId="2" fillId="17" borderId="21" xfId="0" applyFont="1" applyFill="1" applyBorder="1" applyAlignment="1">
      <alignment horizontal="center" vertical="center"/>
    </xf>
    <xf numFmtId="0" fontId="0" fillId="12" borderId="21" xfId="0" applyFill="1" applyBorder="1"/>
    <xf numFmtId="0" fontId="2" fillId="15" borderId="22" xfId="0" applyFont="1" applyFill="1" applyBorder="1" applyAlignment="1">
      <alignment horizontal="center" vertical="center"/>
    </xf>
    <xf numFmtId="0" fontId="2" fillId="18" borderId="20" xfId="0" applyFont="1" applyFill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2" fillId="17" borderId="28" xfId="0" applyFont="1" applyFill="1" applyBorder="1" applyAlignment="1">
      <alignment horizontal="center" vertical="center"/>
    </xf>
    <xf numFmtId="0" fontId="0" fillId="12" borderId="28" xfId="0" applyFill="1" applyBorder="1"/>
    <xf numFmtId="0" fontId="2" fillId="15" borderId="29" xfId="0" applyFont="1" applyFill="1" applyBorder="1" applyAlignment="1">
      <alignment horizontal="center" vertical="center"/>
    </xf>
    <xf numFmtId="0" fontId="13" fillId="17" borderId="21" xfId="0" applyFont="1" applyFill="1" applyBorder="1" applyAlignment="1">
      <alignment horizontal="center" vertical="center"/>
    </xf>
    <xf numFmtId="0" fontId="13" fillId="17" borderId="9" xfId="0" applyFont="1" applyFill="1" applyBorder="1" applyAlignment="1">
      <alignment horizontal="center" vertical="center"/>
    </xf>
    <xf numFmtId="165" fontId="0" fillId="12" borderId="21" xfId="0" applyNumberFormat="1" applyFill="1" applyBorder="1"/>
    <xf numFmtId="165" fontId="2" fillId="15" borderId="22" xfId="0" applyNumberFormat="1" applyFont="1" applyFill="1" applyBorder="1" applyAlignment="1">
      <alignment horizontal="center" vertical="center"/>
    </xf>
    <xf numFmtId="165" fontId="0" fillId="12" borderId="9" xfId="0" applyNumberFormat="1" applyFill="1" applyBorder="1"/>
    <xf numFmtId="165" fontId="0" fillId="15" borderId="24" xfId="0" applyNumberFormat="1" applyFill="1" applyBorder="1" applyAlignment="1">
      <alignment horizontal="center" vertical="center"/>
    </xf>
    <xf numFmtId="165" fontId="0" fillId="12" borderId="26" xfId="0" applyNumberFormat="1" applyFill="1" applyBorder="1"/>
    <xf numFmtId="0" fontId="6" fillId="0" borderId="0" xfId="0" applyFont="1" applyAlignment="1">
      <alignment horizontal="right"/>
    </xf>
    <xf numFmtId="166" fontId="6" fillId="0" borderId="0" xfId="0" applyNumberFormat="1" applyFont="1"/>
    <xf numFmtId="0" fontId="6" fillId="0" borderId="0" xfId="0" applyFont="1"/>
    <xf numFmtId="0" fontId="14" fillId="3" borderId="18" xfId="2" applyFont="1" applyFill="1" applyBorder="1" applyAlignment="1">
      <alignment horizontal="left" vertical="center"/>
    </xf>
    <xf numFmtId="0" fontId="14" fillId="3" borderId="15" xfId="2" applyFont="1" applyFill="1" applyBorder="1" applyAlignment="1">
      <alignment horizontal="left" vertical="center"/>
    </xf>
    <xf numFmtId="0" fontId="11" fillId="18" borderId="23" xfId="2" applyFill="1" applyBorder="1" applyAlignment="1">
      <alignment horizontal="left" vertical="center"/>
    </xf>
    <xf numFmtId="0" fontId="11" fillId="18" borderId="25" xfId="2" applyFill="1" applyBorder="1" applyAlignment="1">
      <alignment horizontal="left" vertical="center"/>
    </xf>
    <xf numFmtId="165" fontId="0" fillId="15" borderId="30" xfId="0" applyNumberFormat="1" applyFill="1" applyBorder="1" applyAlignment="1">
      <alignment horizontal="center" vertical="center"/>
    </xf>
    <xf numFmtId="0" fontId="11" fillId="18" borderId="20" xfId="2" applyFill="1" applyBorder="1" applyAlignment="1">
      <alignment horizontal="left" vertical="center"/>
    </xf>
    <xf numFmtId="165" fontId="7" fillId="10" borderId="0" xfId="0" applyNumberFormat="1" applyFont="1" applyFill="1"/>
    <xf numFmtId="166" fontId="7" fillId="10" borderId="0" xfId="0" applyNumberFormat="1" applyFont="1" applyFill="1"/>
    <xf numFmtId="0" fontId="7" fillId="10" borderId="0" xfId="0" applyFont="1" applyFill="1" applyAlignment="1">
      <alignment horizontal="right"/>
    </xf>
    <xf numFmtId="165" fontId="7" fillId="10" borderId="0" xfId="0" applyNumberFormat="1" applyFont="1" applyFill="1" applyAlignment="1">
      <alignment horizontal="left"/>
    </xf>
    <xf numFmtId="0" fontId="6" fillId="11" borderId="5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44" fontId="9" fillId="11" borderId="5" xfId="1" applyFont="1" applyFill="1" applyBorder="1" applyAlignment="1">
      <alignment horizontal="center" vertical="center" wrapText="1"/>
    </xf>
    <xf numFmtId="44" fontId="9" fillId="11" borderId="6" xfId="1" applyFont="1" applyFill="1" applyBorder="1" applyAlignment="1">
      <alignment horizontal="center" vertical="center" wrapText="1"/>
    </xf>
    <xf numFmtId="44" fontId="9" fillId="11" borderId="7" xfId="1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44" fontId="9" fillId="11" borderId="5" xfId="1" applyFont="1" applyFill="1" applyBorder="1" applyAlignment="1">
      <alignment horizontal="center" vertical="center"/>
    </xf>
    <xf numFmtId="44" fontId="9" fillId="11" borderId="6" xfId="1" applyFont="1" applyFill="1" applyBorder="1" applyAlignment="1">
      <alignment horizontal="center" vertical="center"/>
    </xf>
    <xf numFmtId="44" fontId="9" fillId="11" borderId="7" xfId="1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wrapText="1"/>
    </xf>
    <xf numFmtId="0" fontId="6" fillId="11" borderId="6" xfId="0" applyFont="1" applyFill="1" applyBorder="1" applyAlignment="1">
      <alignment horizontal="center" wrapText="1"/>
    </xf>
    <xf numFmtId="0" fontId="6" fillId="11" borderId="7" xfId="0" applyFont="1" applyFill="1" applyBorder="1" applyAlignment="1">
      <alignment horizontal="center" wrapText="1"/>
    </xf>
    <xf numFmtId="0" fontId="3" fillId="10" borderId="8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8" borderId="12" xfId="0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 vertical="center"/>
    </xf>
    <xf numFmtId="0" fontId="2" fillId="18" borderId="14" xfId="0" applyFont="1" applyFill="1" applyBorder="1" applyAlignment="1">
      <alignment horizontal="center" vertical="center"/>
    </xf>
  </cellXfs>
  <cellStyles count="3">
    <cellStyle name="Гіперпосилання" xfId="2" builtinId="8"/>
    <cellStyle name="Грошовий" xfId="1" builtinId="4"/>
    <cellStyle name="Звичайний" xfId="0" builtinId="0"/>
  </cellStyles>
  <dxfs count="0"/>
  <tableStyles count="0" defaultTableStyle="TableStyleMedium2" defaultPivotStyle="PivotStyleLight16"/>
  <colors>
    <mruColors>
      <color rgb="FFBCE59B"/>
      <color rgb="FFEAACB2"/>
      <color rgb="FFC8AD7F"/>
      <color rgb="FF9F8170"/>
      <color rgb="FFAA8228"/>
      <color rgb="FF8CBED6"/>
      <color rgb="FFEFDFBB"/>
      <color rgb="FFEDACA5"/>
      <color rgb="FFE0C07A"/>
      <color rgb="FF483C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&quot;Office 2013 – 2022&quot;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servia.com.ua/uk/products/keramika/keramicheskaya-tarelka/tarelka-melkaja-d20sm-serena-green-matt-ct-6307810" TargetMode="External"/><Relationship Id="rId18" Type="http://schemas.openxmlformats.org/officeDocument/2006/relationships/hyperlink" Target="https://servia.com.ua/uk/products/chashki/chashka-chajnaja-nizkaja-350ml-ameryka-200107" TargetMode="External"/><Relationship Id="rId26" Type="http://schemas.openxmlformats.org/officeDocument/2006/relationships/hyperlink" Target="https://restro.com.ua/ua/mikser-pogruzhnoy-bl-35-combi-kef/" TargetMode="External"/><Relationship Id="rId39" Type="http://schemas.openxmlformats.org/officeDocument/2006/relationships/hyperlink" Target="https://steelkov.com/product/polytsia-navisna-dlia-sushinnia-posudu/" TargetMode="External"/><Relationship Id="rId21" Type="http://schemas.openxmlformats.org/officeDocument/2006/relationships/hyperlink" Target="https://servia.com.ua/uk/products/farfor/farforovye-chajniki/chajnik-750ml-zavarochnyj-770255-cafe-time" TargetMode="External"/><Relationship Id="rId34" Type="http://schemas.openxmlformats.org/officeDocument/2006/relationships/hyperlink" Target="https://restro.com.ua/ua/36022-tochylka/" TargetMode="External"/><Relationship Id="rId42" Type="http://schemas.openxmlformats.org/officeDocument/2006/relationships/hyperlink" Target="https://steelkov.com/product/shafa-navisna-dveri-kupe/" TargetMode="External"/><Relationship Id="rId7" Type="http://schemas.openxmlformats.org/officeDocument/2006/relationships/hyperlink" Target="https://steelkov.com/product/stil-vyrobnychyj-z-dvoma-polytsiamy-ostrivnyj/" TargetMode="External"/><Relationship Id="rId2" Type="http://schemas.openxmlformats.org/officeDocument/2006/relationships/hyperlink" Target="https://coffee-service.com.ua/ua/p1327004921-nuova-simonelli-appia.html" TargetMode="External"/><Relationship Id="rId16" Type="http://schemas.openxmlformats.org/officeDocument/2006/relationships/hyperlink" Target="https://servia.com.ua/uk/products/servirovka/nabor-dlja-spetsij-2pr-sp-h9sm-ct-452760" TargetMode="External"/><Relationship Id="rId20" Type="http://schemas.openxmlformats.org/officeDocument/2006/relationships/hyperlink" Target="https://servia.com.ua/uk/products/chashki/chashka-chajno-kofejnaja-150ml-1701-paula" TargetMode="External"/><Relationship Id="rId29" Type="http://schemas.openxmlformats.org/officeDocument/2006/relationships/hyperlink" Target="https://restro.com.ua/ua/351036-myska/" TargetMode="External"/><Relationship Id="rId41" Type="http://schemas.openxmlformats.org/officeDocument/2006/relationships/hyperlink" Target="https://epicentrk.ua/ua/shop/vidro-z-pedalliu-mvm-20-l-antratsyt-bin-01-20l-anthracite.html" TargetMode="External"/><Relationship Id="rId1" Type="http://schemas.openxmlformats.org/officeDocument/2006/relationships/hyperlink" Target="https://shop.pos-vector.net/komplekti-dlya-bariv-ta-restoraniv/ra-20/?srsltid=AfmBOoom_AlpimhOK0B8dlT9-X1qYqfsAL_JTYV6rLgMb6hFpZDBB72NBdg" TargetMode="External"/><Relationship Id="rId6" Type="http://schemas.openxmlformats.org/officeDocument/2006/relationships/hyperlink" Target="https://steelkov.com/product/stil-vyrobnychyj-z-dvoma-polytsiamy-ostrivnyj/" TargetMode="External"/><Relationship Id="rId11" Type="http://schemas.openxmlformats.org/officeDocument/2006/relationships/hyperlink" Target="https://servia.com.ua/uk/products/frazhe/vilka-stolovaja-990-1-orsay-eternum" TargetMode="External"/><Relationship Id="rId24" Type="http://schemas.openxmlformats.org/officeDocument/2006/relationships/hyperlink" Target="https://epicentrk.ua/ua/shop/nabor-nozhey-na-podstavke-9-predmetov-mk-k08-maxmark.html" TargetMode="External"/><Relationship Id="rId32" Type="http://schemas.openxmlformats.org/officeDocument/2006/relationships/hyperlink" Target="https://dishshop.com.ua/ua/p1884958411-skovoroda-kryshkoj-benson.html" TargetMode="External"/><Relationship Id="rId37" Type="http://schemas.openxmlformats.org/officeDocument/2006/relationships/hyperlink" Target="https://holodmax.com.ua/ua/shkafyi-holodilnyie/shkafyi-dlya-hraneniya/shkaf_morozilnyij_cf27sm-t1000fq.html" TargetMode="External"/><Relationship Id="rId40" Type="http://schemas.openxmlformats.org/officeDocument/2006/relationships/hyperlink" Target="https://steelkov.com/product/stelazh-vyrobnychyj-z-perforovanymy-polytsiamy/" TargetMode="External"/><Relationship Id="rId5" Type="http://schemas.openxmlformats.org/officeDocument/2006/relationships/hyperlink" Target="https://horecaequip.com.ua/uk-ua/p51777-stol-proizvodstvennyj-tehma-s-p-ob-bortom-2-polki-900x600x850mm" TargetMode="External"/><Relationship Id="rId15" Type="http://schemas.openxmlformats.org/officeDocument/2006/relationships/hyperlink" Target="https://servia.com.ua/uk/products/servirovka/salfetnitsa-nerzh-treugolnaja-na-podstavke-996-mak" TargetMode="External"/><Relationship Id="rId23" Type="http://schemas.openxmlformats.org/officeDocument/2006/relationships/hyperlink" Target="https://servia.com.ua/uk/products/farfor/bulonnicy/bulonnitsa-350ml-sc400cc-n-m" TargetMode="External"/><Relationship Id="rId28" Type="http://schemas.openxmlformats.org/officeDocument/2006/relationships/hyperlink" Target="https://restro.com.ua/ua/351016-myska/" TargetMode="External"/><Relationship Id="rId36" Type="http://schemas.openxmlformats.org/officeDocument/2006/relationships/hyperlink" Target="https://restro.com.ua/ua/plita-elektricheskaya-na-4-konforki-s-dukhovkoy-ped-4/" TargetMode="External"/><Relationship Id="rId10" Type="http://schemas.openxmlformats.org/officeDocument/2006/relationships/hyperlink" Target="https://servia.com.ua/uk/products/frazhe/nozh-stolovyj-mono-990-5-orsay-eternum" TargetMode="External"/><Relationship Id="rId19" Type="http://schemas.openxmlformats.org/officeDocument/2006/relationships/hyperlink" Target="https://servia.com.ua/uk/products/chashki/chashka-80ml-691-like" TargetMode="External"/><Relationship Id="rId31" Type="http://schemas.openxmlformats.org/officeDocument/2006/relationships/hyperlink" Target="https://dishshop.com.ua/ua/p1884956190-skovoroda-kryshkoj-benson.html" TargetMode="External"/><Relationship Id="rId4" Type="http://schemas.openxmlformats.org/officeDocument/2006/relationships/hyperlink" Target="https://steelkov.com/product/stil-vyrobnychyj-z-dvoma-polytsiamy-ostrivnyj/" TargetMode="External"/><Relationship Id="rId9" Type="http://schemas.openxmlformats.org/officeDocument/2006/relationships/hyperlink" Target="https://servia.com.ua/uk/products/frazhe/vilka-desertnaja-990-14-orsay-eternum" TargetMode="External"/><Relationship Id="rId14" Type="http://schemas.openxmlformats.org/officeDocument/2006/relationships/hyperlink" Target="https://servia.com.ua/uk/products/keramika/keramicheskaya-tarelka/tarelka-melkaja-d25sm-serena-green-matt-ct-6307809" TargetMode="External"/><Relationship Id="rId22" Type="http://schemas.openxmlformats.org/officeDocument/2006/relationships/hyperlink" Target="https://servia.com.ua/uk/products/keramika/keramicheskaya-tarelka/tarelka-glubokaja-d22sm-serena-green-matt-ct-1991111" TargetMode="External"/><Relationship Id="rId27" Type="http://schemas.openxmlformats.org/officeDocument/2006/relationships/hyperlink" Target="https://rozetka.com.ua/ua/supretto_8311_0001/p396615423/" TargetMode="External"/><Relationship Id="rId30" Type="http://schemas.openxmlformats.org/officeDocument/2006/relationships/hyperlink" Target="https://dishshop.com.ua/ua/p1519827888-nabor-kvadratnyh-kastryul.html?source=merchant_center&amp;gad_source=1&amp;gclid=Cj0KCQiArrCvBhCNARIsAOkAGcUkAlCkEKJSTTTJ736klkBimDf0LDm1lyiCiQ_6MtqX7c2-pIGxfnAaAtfaEALw_wcBhttps://dishshop.com.ua/ua/p1519827888-nabor-kvadratnyh-kastryul.html" TargetMode="External"/><Relationship Id="rId35" Type="http://schemas.openxmlformats.org/officeDocument/2006/relationships/hyperlink" Target="https://restro.com.ua/ua/351022-myska/" TargetMode="External"/><Relationship Id="rId43" Type="http://schemas.openxmlformats.org/officeDocument/2006/relationships/hyperlink" Target="https://comfy.ua/ua/vesy-kuhonnye-gorenje-kt10orab.html?gad_source=1&amp;gclid=Cj0KCQiArrCvBhCNARIsAOkAGcWAqEhUXXGI-RyLYmz_Jvci-SXYTZlZBmiLO8gEsDrQ8OZEst4ZysAaAhFzEALw_wcB" TargetMode="External"/><Relationship Id="rId8" Type="http://schemas.openxmlformats.org/officeDocument/2006/relationships/hyperlink" Target="https://servia.com.ua/uk/products/frazhe/lozhka-stolovaja-990-2-orsay-eternum" TargetMode="External"/><Relationship Id="rId3" Type="http://schemas.openxmlformats.org/officeDocument/2006/relationships/hyperlink" Target="https://kupistul.ua/stul-aster-pl-wood/189104" TargetMode="External"/><Relationship Id="rId12" Type="http://schemas.openxmlformats.org/officeDocument/2006/relationships/hyperlink" Target="https://servia.com.ua/uk/products/frazhe/lozhka-chajnaja-990-3-orsay-eternum" TargetMode="External"/><Relationship Id="rId17" Type="http://schemas.openxmlformats.org/officeDocument/2006/relationships/hyperlink" Target="https://hotmax.com.ua/ua/fast-fud/frityurnitsyi/frityurnicza_goodfood_ef6.html" TargetMode="External"/><Relationship Id="rId25" Type="http://schemas.openxmlformats.org/officeDocument/2006/relationships/hyperlink" Target="https://rest-service.com/products/gastroemkost-standartnaya-brillis-gn11-100" TargetMode="External"/><Relationship Id="rId33" Type="http://schemas.openxmlformats.org/officeDocument/2006/relationships/hyperlink" Target="https://dishshop.com.ua/ua/p1884939936-skovoroda-kryshkoj-benson.html" TargetMode="External"/><Relationship Id="rId38" Type="http://schemas.openxmlformats.org/officeDocument/2006/relationships/hyperlink" Target="https://steelkov.com/product/stil-tumba-z-myjkoyu-dverkamy-nadstrojkoyu/?gad_source=1&amp;gclid=Cj0KCQiArrCvBhCNARIsAOkAGcWE3QL6RcG53-TQ2oPDB6VlB8Z8lsk3nT89B2GW59YrEZhDgHBjhiwaAr6W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E8DC8-0860-4248-944F-70CA3B2529AF}">
  <dimension ref="A2:M46"/>
  <sheetViews>
    <sheetView tabSelected="1" zoomScale="115" zoomScaleNormal="115" workbookViewId="0">
      <pane xSplit="1" ySplit="2" topLeftCell="B34" activePane="bottomRight" state="frozen"/>
      <selection pane="topRight" activeCell="B1" sqref="B1"/>
      <selection pane="bottomLeft" activeCell="A3" sqref="A3"/>
      <selection pane="bottomRight" activeCell="C13" sqref="C13"/>
    </sheetView>
  </sheetViews>
  <sheetFormatPr defaultRowHeight="14.4" x14ac:dyDescent="0.3"/>
  <cols>
    <col min="2" max="2" width="18.6640625" customWidth="1"/>
    <col min="3" max="3" width="14.6640625" customWidth="1"/>
    <col min="4" max="4" width="18.109375" customWidth="1"/>
    <col min="5" max="5" width="10.6640625" customWidth="1"/>
    <col min="6" max="6" width="14.33203125" customWidth="1"/>
    <col min="8" max="8" width="15.88671875" customWidth="1"/>
    <col min="9" max="9" width="10.6640625" customWidth="1"/>
    <col min="10" max="10" width="12.88671875" customWidth="1"/>
    <col min="11" max="11" width="13.88671875" customWidth="1"/>
    <col min="12" max="12" width="16.6640625" customWidth="1"/>
    <col min="13" max="13" width="12.88671875" bestFit="1" customWidth="1"/>
    <col min="21" max="22" width="8.88671875" customWidth="1"/>
  </cols>
  <sheetData>
    <row r="2" spans="2:13" s="1" customFormat="1" ht="40.200000000000003" customHeight="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H2" s="15" t="s">
        <v>5</v>
      </c>
      <c r="I2" s="16" t="s">
        <v>6</v>
      </c>
      <c r="J2" s="15" t="s">
        <v>92</v>
      </c>
      <c r="K2" s="17" t="s">
        <v>7</v>
      </c>
      <c r="L2" s="19" t="s">
        <v>93</v>
      </c>
    </row>
    <row r="3" spans="2:13" x14ac:dyDescent="0.3">
      <c r="B3" s="3" t="s">
        <v>8</v>
      </c>
      <c r="C3" s="22">
        <f>348.19*0.008+99/19.8*0.04</f>
        <v>2.9855200000000002</v>
      </c>
      <c r="D3" s="6" t="str">
        <f>ROUND((F3-C3)/C3*100, 2) &amp;"%"</f>
        <v>1072,33%</v>
      </c>
      <c r="E3" s="22">
        <f>F3-C3</f>
        <v>32.014479999999999</v>
      </c>
      <c r="F3" s="22">
        <v>35</v>
      </c>
      <c r="H3" s="13"/>
      <c r="I3" s="26"/>
      <c r="J3" s="27"/>
      <c r="K3" s="28"/>
      <c r="L3" s="110">
        <v>3000</v>
      </c>
      <c r="M3" s="58"/>
    </row>
    <row r="4" spans="2:13" ht="14.4" customHeight="1" x14ac:dyDescent="0.3">
      <c r="B4" s="3" t="s">
        <v>9</v>
      </c>
      <c r="C4" s="22">
        <f>348.19*0.016+99/19.8*0.06</f>
        <v>5.8710399999999998</v>
      </c>
      <c r="D4" s="6" t="str">
        <f t="shared" ref="D4:D17" si="0">ROUND((F4-C4)/C4*100, 2) &amp;"%"</f>
        <v>666,47%</v>
      </c>
      <c r="E4" s="22">
        <f t="shared" ref="E4:E17" si="1">F4-C4</f>
        <v>39.128959999999999</v>
      </c>
      <c r="F4" s="22">
        <v>45</v>
      </c>
      <c r="H4" s="13"/>
      <c r="I4" s="26"/>
      <c r="J4" s="27"/>
      <c r="K4" s="28"/>
      <c r="L4" s="111"/>
    </row>
    <row r="5" spans="2:13" x14ac:dyDescent="0.3">
      <c r="B5" s="3" t="s">
        <v>10</v>
      </c>
      <c r="C5" s="22">
        <f>C3+99/19.8*0.1</f>
        <v>3.4855200000000002</v>
      </c>
      <c r="D5" s="6" t="str">
        <f t="shared" si="0"/>
        <v>1191,06%</v>
      </c>
      <c r="E5" s="22">
        <f t="shared" si="1"/>
        <v>41.514479999999999</v>
      </c>
      <c r="F5" s="22">
        <v>45</v>
      </c>
      <c r="H5" s="13"/>
      <c r="I5" s="26"/>
      <c r="J5" s="27"/>
      <c r="K5" s="28"/>
      <c r="L5" s="111"/>
    </row>
    <row r="6" spans="2:13" x14ac:dyDescent="0.3">
      <c r="B6" s="3" t="s">
        <v>11</v>
      </c>
      <c r="C6" s="22">
        <f>348.19*0.008+99/19.8*0.04+43.5*0.22</f>
        <v>12.555520000000001</v>
      </c>
      <c r="D6" s="6" t="str">
        <f t="shared" si="0"/>
        <v>377,88%</v>
      </c>
      <c r="E6" s="22">
        <f t="shared" si="1"/>
        <v>47.444479999999999</v>
      </c>
      <c r="F6" s="22">
        <v>60</v>
      </c>
      <c r="H6" s="13"/>
      <c r="I6" s="26"/>
      <c r="J6" s="27"/>
      <c r="K6" s="28"/>
      <c r="L6" s="112"/>
    </row>
    <row r="7" spans="2:13" x14ac:dyDescent="0.3">
      <c r="B7" s="3" t="s">
        <v>12</v>
      </c>
      <c r="C7" s="22">
        <f>348.19*0.008+99/19.8*0.04+43.5*0.15</f>
        <v>9.5105199999999996</v>
      </c>
      <c r="D7" s="6" t="str">
        <f t="shared" si="0"/>
        <v>583,45%</v>
      </c>
      <c r="E7" s="22">
        <f t="shared" si="1"/>
        <v>55.48948</v>
      </c>
      <c r="F7" s="22">
        <v>65</v>
      </c>
      <c r="H7" s="13"/>
      <c r="I7" s="26"/>
      <c r="J7" s="27"/>
      <c r="K7" s="28"/>
      <c r="L7" s="101" t="s">
        <v>94</v>
      </c>
    </row>
    <row r="8" spans="2:13" x14ac:dyDescent="0.3">
      <c r="B8" s="3" t="s">
        <v>13</v>
      </c>
      <c r="C8" s="22">
        <f>348.19*0.008+99/19.8*0.04+43.5*0.15</f>
        <v>9.5105199999999996</v>
      </c>
      <c r="D8" s="6" t="str">
        <f t="shared" si="0"/>
        <v>583,45%</v>
      </c>
      <c r="E8" s="22">
        <f t="shared" si="1"/>
        <v>55.48948</v>
      </c>
      <c r="F8" s="22">
        <v>65</v>
      </c>
      <c r="H8" s="13"/>
      <c r="I8" s="26"/>
      <c r="J8" s="27"/>
      <c r="K8" s="28"/>
      <c r="L8" s="106"/>
    </row>
    <row r="9" spans="2:13" x14ac:dyDescent="0.3">
      <c r="B9" s="3" t="s">
        <v>14</v>
      </c>
      <c r="C9" s="22">
        <f>348.19*0.008+99/19.8*0.04+43.5*0.2+54*20/600</f>
        <v>13.485520000000001</v>
      </c>
      <c r="D9" s="6" t="str">
        <f t="shared" si="0"/>
        <v>419,08%</v>
      </c>
      <c r="E9" s="22">
        <f t="shared" si="1"/>
        <v>56.514479999999999</v>
      </c>
      <c r="F9" s="22">
        <v>70</v>
      </c>
      <c r="H9" s="13"/>
      <c r="I9" s="26"/>
      <c r="J9" s="27"/>
      <c r="K9" s="28"/>
      <c r="L9" s="102"/>
    </row>
    <row r="10" spans="2:13" ht="27" customHeight="1" x14ac:dyDescent="0.3">
      <c r="B10" s="3" t="s">
        <v>15</v>
      </c>
      <c r="C10" s="22">
        <f>330*0.03+43.5*0.17+214.32*20/600</f>
        <v>24.439</v>
      </c>
      <c r="D10" s="6" t="str">
        <f t="shared" si="0"/>
        <v>186,43%</v>
      </c>
      <c r="E10" s="22">
        <f t="shared" si="1"/>
        <v>45.561</v>
      </c>
      <c r="F10" s="22">
        <v>70</v>
      </c>
      <c r="H10" s="13"/>
      <c r="I10" s="26"/>
      <c r="J10" s="27"/>
      <c r="K10" s="28"/>
      <c r="L10" s="107">
        <f>SUM(F3:F45)/COUNTA(B3:B45)*1.5</f>
        <v>138.2093023255814</v>
      </c>
    </row>
    <row r="11" spans="2:13" x14ac:dyDescent="0.3">
      <c r="B11" s="4" t="s">
        <v>16</v>
      </c>
      <c r="C11" s="23">
        <f>6+99/19.8*0.2</f>
        <v>7</v>
      </c>
      <c r="D11" s="7" t="str">
        <f t="shared" si="0"/>
        <v>614,29%</v>
      </c>
      <c r="E11" s="23">
        <f t="shared" si="1"/>
        <v>43</v>
      </c>
      <c r="F11" s="23">
        <v>50</v>
      </c>
      <c r="H11" s="13"/>
      <c r="I11" s="26"/>
      <c r="J11" s="27"/>
      <c r="K11" s="28"/>
      <c r="L11" s="108"/>
    </row>
    <row r="12" spans="2:13" x14ac:dyDescent="0.3">
      <c r="B12" s="4" t="s">
        <v>17</v>
      </c>
      <c r="C12" s="23">
        <f>20.2+99/19.8*0.2</f>
        <v>21.2</v>
      </c>
      <c r="D12" s="7" t="str">
        <f t="shared" si="0"/>
        <v>131,13%</v>
      </c>
      <c r="E12" s="23">
        <f t="shared" si="1"/>
        <v>27.8</v>
      </c>
      <c r="F12" s="23">
        <v>49</v>
      </c>
      <c r="H12" s="13"/>
      <c r="I12" s="26"/>
      <c r="J12" s="27"/>
      <c r="K12" s="28"/>
      <c r="L12" s="109"/>
    </row>
    <row r="13" spans="2:13" x14ac:dyDescent="0.3">
      <c r="B13" s="4" t="s">
        <v>18</v>
      </c>
      <c r="C13" s="23">
        <f>4+99*0.2</f>
        <v>23.8</v>
      </c>
      <c r="D13" s="7" t="str">
        <f t="shared" si="0"/>
        <v>89,08%</v>
      </c>
      <c r="E13" s="23">
        <f t="shared" si="1"/>
        <v>21.2</v>
      </c>
      <c r="F13" s="23">
        <v>45</v>
      </c>
      <c r="H13" s="13"/>
      <c r="I13" s="26"/>
      <c r="J13" s="27"/>
      <c r="K13" s="28"/>
      <c r="L13" s="113" t="s">
        <v>96</v>
      </c>
    </row>
    <row r="14" spans="2:13" x14ac:dyDescent="0.3">
      <c r="B14" s="4" t="s">
        <v>19</v>
      </c>
      <c r="C14" s="23">
        <f>8+0.41</f>
        <v>8.41</v>
      </c>
      <c r="D14" s="7" t="str">
        <f t="shared" si="0"/>
        <v>601,55%</v>
      </c>
      <c r="E14" s="23">
        <f t="shared" si="1"/>
        <v>50.59</v>
      </c>
      <c r="F14" s="23">
        <v>59</v>
      </c>
      <c r="H14" s="13"/>
      <c r="I14" s="26"/>
      <c r="J14" s="27"/>
      <c r="K14" s="28"/>
      <c r="L14" s="114"/>
    </row>
    <row r="15" spans="2:13" x14ac:dyDescent="0.3">
      <c r="B15" s="4" t="s">
        <v>20</v>
      </c>
      <c r="C15" s="23">
        <f>2.8+6.8</f>
        <v>9.6</v>
      </c>
      <c r="D15" s="7" t="str">
        <f t="shared" si="0"/>
        <v>681,25%</v>
      </c>
      <c r="E15" s="23">
        <f t="shared" si="1"/>
        <v>65.400000000000006</v>
      </c>
      <c r="F15" s="23">
        <v>75</v>
      </c>
      <c r="H15" s="13"/>
      <c r="I15" s="26"/>
      <c r="J15" s="27"/>
      <c r="K15" s="28"/>
      <c r="L15" s="115"/>
    </row>
    <row r="16" spans="2:13" x14ac:dyDescent="0.3">
      <c r="B16" s="4" t="s">
        <v>21</v>
      </c>
      <c r="C16" s="23">
        <f>21.33</f>
        <v>21.33</v>
      </c>
      <c r="D16" s="7" t="str">
        <f t="shared" si="0"/>
        <v>40,65%</v>
      </c>
      <c r="E16" s="23">
        <f t="shared" si="1"/>
        <v>8.6700000000000017</v>
      </c>
      <c r="F16" s="23">
        <v>30</v>
      </c>
      <c r="H16" s="13"/>
      <c r="I16" s="26"/>
      <c r="J16" s="27"/>
      <c r="K16" s="28"/>
      <c r="L16" s="104">
        <f>L10*L3</f>
        <v>414627.90697674424</v>
      </c>
    </row>
    <row r="17" spans="1:12" x14ac:dyDescent="0.3">
      <c r="B17" s="4" t="s">
        <v>22</v>
      </c>
      <c r="C17" s="23">
        <f>18.75</f>
        <v>18.75</v>
      </c>
      <c r="D17" s="7" t="str">
        <f t="shared" si="0"/>
        <v>161,33%</v>
      </c>
      <c r="E17" s="23">
        <f t="shared" si="1"/>
        <v>30.25</v>
      </c>
      <c r="F17" s="23">
        <v>49</v>
      </c>
      <c r="H17" s="13"/>
      <c r="I17" s="26"/>
      <c r="J17" s="27"/>
      <c r="K17" s="28"/>
      <c r="L17" s="104"/>
    </row>
    <row r="18" spans="1:12" x14ac:dyDescent="0.3">
      <c r="A18" t="s">
        <v>23</v>
      </c>
      <c r="B18" s="11" t="s">
        <v>24</v>
      </c>
      <c r="C18" s="24">
        <v>36.56</v>
      </c>
      <c r="D18" s="12" t="str">
        <f t="shared" ref="D18:D20" si="2">ROUND((F18-C18)/C18*100, 2) &amp;"%"</f>
        <v>159,85%</v>
      </c>
      <c r="E18" s="24">
        <f t="shared" ref="E18:E20" si="3">F18-C18</f>
        <v>58.44</v>
      </c>
      <c r="F18" s="24">
        <v>95</v>
      </c>
      <c r="H18" s="13"/>
      <c r="I18" s="26"/>
      <c r="J18" s="27"/>
      <c r="K18" s="28"/>
      <c r="L18" s="105"/>
    </row>
    <row r="19" spans="1:12" ht="28.8" x14ac:dyDescent="0.3">
      <c r="A19" t="s">
        <v>25</v>
      </c>
      <c r="B19" s="11" t="s">
        <v>26</v>
      </c>
      <c r="C19" s="24">
        <v>20</v>
      </c>
      <c r="D19" s="12" t="str">
        <f t="shared" si="2"/>
        <v>345%</v>
      </c>
      <c r="E19" s="24">
        <f t="shared" si="3"/>
        <v>69</v>
      </c>
      <c r="F19" s="24">
        <v>89</v>
      </c>
      <c r="H19" s="13"/>
      <c r="I19" s="26"/>
      <c r="J19" s="27"/>
      <c r="K19" s="28"/>
      <c r="L19" s="101" t="s">
        <v>97</v>
      </c>
    </row>
    <row r="20" spans="1:12" x14ac:dyDescent="0.3">
      <c r="A20" t="s">
        <v>23</v>
      </c>
      <c r="B20" s="11" t="s">
        <v>27</v>
      </c>
      <c r="C20" s="24">
        <v>50.24</v>
      </c>
      <c r="D20" s="12" t="str">
        <f t="shared" si="2"/>
        <v>148,81%</v>
      </c>
      <c r="E20" s="24">
        <f t="shared" si="3"/>
        <v>74.759999999999991</v>
      </c>
      <c r="F20" s="24">
        <v>125</v>
      </c>
      <c r="H20" s="13"/>
      <c r="I20" s="26"/>
      <c r="J20" s="27"/>
      <c r="K20" s="28"/>
      <c r="L20" s="102"/>
    </row>
    <row r="21" spans="1:12" x14ac:dyDescent="0.3">
      <c r="A21" t="s">
        <v>86</v>
      </c>
      <c r="B21" s="11" t="s">
        <v>84</v>
      </c>
      <c r="C21" s="24">
        <f>691.2/32</f>
        <v>21.6</v>
      </c>
      <c r="D21" s="12" t="str">
        <f>ROUND((F21-C21)/C21*100, 2) &amp;"%"</f>
        <v>126,85%</v>
      </c>
      <c r="E21" s="24">
        <f>F21-C21</f>
        <v>27.4</v>
      </c>
      <c r="F21" s="24">
        <v>49</v>
      </c>
      <c r="H21" s="13"/>
      <c r="I21" s="26"/>
      <c r="J21" s="27"/>
      <c r="K21" s="28"/>
      <c r="L21" s="103">
        <f>SUM(C3:C45)/COUNTA(B3:B45)*1.5*L3</f>
        <v>116506.20279069767</v>
      </c>
    </row>
    <row r="22" spans="1:12" x14ac:dyDescent="0.3">
      <c r="A22" t="s">
        <v>86</v>
      </c>
      <c r="B22" s="11" t="s">
        <v>85</v>
      </c>
      <c r="C22" s="24">
        <f>713.7/39</f>
        <v>18.3</v>
      </c>
      <c r="D22" s="12" t="str">
        <f>ROUND((F22-C22)/C22*100, 2) &amp;"%"</f>
        <v>167,76%</v>
      </c>
      <c r="E22" s="24">
        <f>F22-C22</f>
        <v>30.7</v>
      </c>
      <c r="F22" s="24">
        <v>49</v>
      </c>
      <c r="H22" s="13"/>
      <c r="I22" s="26"/>
      <c r="J22" s="27"/>
      <c r="K22" s="28"/>
      <c r="L22" s="104"/>
    </row>
    <row r="23" spans="1:12" x14ac:dyDescent="0.3">
      <c r="A23" t="s">
        <v>88</v>
      </c>
      <c r="B23" s="11" t="s">
        <v>87</v>
      </c>
      <c r="C23" s="24">
        <f>178.25*0.14</f>
        <v>24.955000000000002</v>
      </c>
      <c r="D23" s="12" t="str">
        <f t="shared" ref="D23:D26" si="4">ROUND((F23-C23)/C23*100, 2) &amp;"%"</f>
        <v>200,54%</v>
      </c>
      <c r="E23" s="24">
        <f t="shared" ref="E23:E26" si="5">F23-C23</f>
        <v>50.045000000000002</v>
      </c>
      <c r="F23" s="24">
        <v>75</v>
      </c>
      <c r="H23" s="13"/>
      <c r="I23" s="26"/>
      <c r="J23" s="27"/>
      <c r="K23" s="28"/>
      <c r="L23" s="105"/>
    </row>
    <row r="24" spans="1:12" ht="28.8" x14ac:dyDescent="0.3">
      <c r="A24" t="s">
        <v>88</v>
      </c>
      <c r="B24" s="11" t="s">
        <v>89</v>
      </c>
      <c r="C24" s="24">
        <f>160.4*0.14</f>
        <v>22.456000000000003</v>
      </c>
      <c r="D24" s="12" t="str">
        <f t="shared" si="4"/>
        <v>233,99%</v>
      </c>
      <c r="E24" s="24">
        <f t="shared" si="5"/>
        <v>52.543999999999997</v>
      </c>
      <c r="F24" s="24">
        <v>75</v>
      </c>
      <c r="H24" s="13"/>
      <c r="I24" s="26"/>
      <c r="J24" s="27"/>
      <c r="K24" s="28"/>
      <c r="L24" s="106" t="s">
        <v>95</v>
      </c>
    </row>
    <row r="25" spans="1:12" ht="28.8" x14ac:dyDescent="0.3">
      <c r="A25" t="s">
        <v>88</v>
      </c>
      <c r="B25" s="11" t="s">
        <v>91</v>
      </c>
      <c r="C25" s="24">
        <f>211.4*0.14</f>
        <v>29.596000000000004</v>
      </c>
      <c r="D25" s="12" t="str">
        <f t="shared" si="4"/>
        <v>170,31%</v>
      </c>
      <c r="E25" s="24">
        <f t="shared" si="5"/>
        <v>50.403999999999996</v>
      </c>
      <c r="F25" s="24">
        <v>80</v>
      </c>
      <c r="H25" s="13"/>
      <c r="I25" s="26"/>
      <c r="J25" s="27"/>
      <c r="K25" s="28"/>
      <c r="L25" s="102"/>
    </row>
    <row r="26" spans="1:12" x14ac:dyDescent="0.3">
      <c r="A26" t="s">
        <v>88</v>
      </c>
      <c r="B26" s="11" t="s">
        <v>90</v>
      </c>
      <c r="C26" s="24">
        <f>145.2*0.14</f>
        <v>20.327999999999999</v>
      </c>
      <c r="D26" s="12" t="str">
        <f t="shared" si="4"/>
        <v>268,95%</v>
      </c>
      <c r="E26" s="24">
        <f t="shared" si="5"/>
        <v>54.671999999999997</v>
      </c>
      <c r="F26" s="24">
        <v>75</v>
      </c>
      <c r="H26" s="13"/>
      <c r="I26" s="26"/>
      <c r="J26" s="27"/>
      <c r="K26" s="28"/>
      <c r="L26" s="107">
        <f>L16-L21</f>
        <v>298121.70418604655</v>
      </c>
    </row>
    <row r="27" spans="1:12" x14ac:dyDescent="0.3">
      <c r="A27" t="s">
        <v>23</v>
      </c>
      <c r="B27" s="5" t="s">
        <v>28</v>
      </c>
      <c r="C27" s="25">
        <v>20</v>
      </c>
      <c r="D27" s="8" t="str">
        <f t="shared" ref="D27:D45" si="6">ROUND((F27-C27)/C27*100, 2) &amp;"%"</f>
        <v>325%</v>
      </c>
      <c r="E27" s="25">
        <f t="shared" ref="E27:E45" si="7">F27-C27</f>
        <v>65</v>
      </c>
      <c r="F27" s="25">
        <v>85</v>
      </c>
      <c r="H27" s="13"/>
      <c r="I27" s="26"/>
      <c r="J27" s="27"/>
      <c r="K27" s="28"/>
      <c r="L27" s="108"/>
    </row>
    <row r="28" spans="1:12" x14ac:dyDescent="0.3">
      <c r="A28" t="s">
        <v>29</v>
      </c>
      <c r="B28" s="5" t="s">
        <v>30</v>
      </c>
      <c r="C28" s="25">
        <v>65</v>
      </c>
      <c r="D28" s="8" t="str">
        <f t="shared" si="6"/>
        <v>146,15%</v>
      </c>
      <c r="E28" s="25">
        <f t="shared" si="7"/>
        <v>95</v>
      </c>
      <c r="F28" s="25">
        <v>160</v>
      </c>
      <c r="H28" s="13"/>
      <c r="I28" s="26"/>
      <c r="J28" s="27"/>
      <c r="K28" s="28"/>
      <c r="L28" s="109"/>
    </row>
    <row r="29" spans="1:12" x14ac:dyDescent="0.3">
      <c r="A29" t="s">
        <v>31</v>
      </c>
      <c r="B29" s="5" t="s">
        <v>32</v>
      </c>
      <c r="C29" s="25">
        <v>70</v>
      </c>
      <c r="D29" s="8" t="str">
        <f t="shared" si="6"/>
        <v>207,14%</v>
      </c>
      <c r="E29" s="25">
        <f t="shared" si="7"/>
        <v>145</v>
      </c>
      <c r="F29" s="25">
        <v>215</v>
      </c>
      <c r="H29" s="13"/>
      <c r="I29" s="26"/>
      <c r="J29" s="27"/>
      <c r="K29" s="28"/>
      <c r="L29" s="20"/>
    </row>
    <row r="30" spans="1:12" ht="16.95" customHeight="1" x14ac:dyDescent="0.3">
      <c r="A30" t="s">
        <v>23</v>
      </c>
      <c r="B30" s="5" t="s">
        <v>33</v>
      </c>
      <c r="C30" s="25">
        <v>39.6</v>
      </c>
      <c r="D30" s="8" t="str">
        <f t="shared" si="6"/>
        <v>200,51%</v>
      </c>
      <c r="E30" s="25">
        <f t="shared" si="7"/>
        <v>79.400000000000006</v>
      </c>
      <c r="F30" s="25">
        <v>119</v>
      </c>
      <c r="H30" s="13"/>
      <c r="I30" s="26"/>
      <c r="J30" s="27"/>
      <c r="K30" s="28"/>
      <c r="L30" s="20"/>
    </row>
    <row r="31" spans="1:12" x14ac:dyDescent="0.3">
      <c r="A31" t="s">
        <v>23</v>
      </c>
      <c r="B31" s="5" t="s">
        <v>34</v>
      </c>
      <c r="C31" s="25">
        <v>24</v>
      </c>
      <c r="D31" s="8" t="str">
        <f t="shared" si="6"/>
        <v>395,83%</v>
      </c>
      <c r="E31" s="25">
        <f t="shared" si="7"/>
        <v>95</v>
      </c>
      <c r="F31" s="25">
        <v>119</v>
      </c>
      <c r="H31" s="13"/>
      <c r="I31" s="26"/>
      <c r="J31" s="27"/>
      <c r="K31" s="28"/>
      <c r="L31" s="20"/>
    </row>
    <row r="32" spans="1:12" x14ac:dyDescent="0.3">
      <c r="A32" t="s">
        <v>23</v>
      </c>
      <c r="B32" s="5" t="s">
        <v>35</v>
      </c>
      <c r="C32" s="25">
        <v>31.2</v>
      </c>
      <c r="D32" s="8" t="str">
        <f t="shared" si="6"/>
        <v>249,36%</v>
      </c>
      <c r="E32" s="25">
        <f t="shared" si="7"/>
        <v>77.8</v>
      </c>
      <c r="F32" s="25">
        <v>109</v>
      </c>
      <c r="H32" s="13"/>
      <c r="I32" s="26"/>
      <c r="J32" s="27"/>
      <c r="K32" s="28"/>
      <c r="L32" s="20"/>
    </row>
    <row r="33" spans="1:12" ht="28.8" x14ac:dyDescent="0.3">
      <c r="A33" t="s">
        <v>23</v>
      </c>
      <c r="B33" s="5" t="s">
        <v>36</v>
      </c>
      <c r="C33" s="25">
        <v>31.2</v>
      </c>
      <c r="D33" s="8" t="str">
        <f t="shared" si="6"/>
        <v>300,64%</v>
      </c>
      <c r="E33" s="25">
        <f t="shared" si="7"/>
        <v>93.8</v>
      </c>
      <c r="F33" s="25">
        <v>125</v>
      </c>
      <c r="H33" s="13"/>
      <c r="I33" s="26"/>
      <c r="J33" s="27"/>
      <c r="K33" s="28"/>
      <c r="L33" s="20"/>
    </row>
    <row r="34" spans="1:12" ht="28.8" x14ac:dyDescent="0.3">
      <c r="A34" t="s">
        <v>23</v>
      </c>
      <c r="B34" s="5" t="s">
        <v>37</v>
      </c>
      <c r="C34" s="25">
        <v>19.8</v>
      </c>
      <c r="D34" s="8" t="str">
        <f t="shared" si="6"/>
        <v>379,8%</v>
      </c>
      <c r="E34" s="25">
        <f t="shared" si="7"/>
        <v>75.2</v>
      </c>
      <c r="F34" s="25">
        <v>95</v>
      </c>
      <c r="H34" s="13"/>
      <c r="I34" s="26"/>
      <c r="J34" s="27"/>
      <c r="K34" s="28"/>
      <c r="L34" s="20"/>
    </row>
    <row r="35" spans="1:12" x14ac:dyDescent="0.3">
      <c r="A35" t="s">
        <v>23</v>
      </c>
      <c r="B35" s="5" t="s">
        <v>38</v>
      </c>
      <c r="C35" s="25">
        <v>24</v>
      </c>
      <c r="D35" s="8" t="str">
        <f t="shared" si="6"/>
        <v>420,83%</v>
      </c>
      <c r="E35" s="25">
        <f t="shared" si="7"/>
        <v>101</v>
      </c>
      <c r="F35" s="25">
        <v>125</v>
      </c>
      <c r="H35" s="13"/>
      <c r="I35" s="26"/>
      <c r="J35" s="27"/>
      <c r="K35" s="28"/>
      <c r="L35" s="20"/>
    </row>
    <row r="36" spans="1:12" ht="28.8" x14ac:dyDescent="0.3">
      <c r="A36" t="s">
        <v>23</v>
      </c>
      <c r="B36" s="5" t="s">
        <v>39</v>
      </c>
      <c r="C36" s="25">
        <v>18.600000000000001</v>
      </c>
      <c r="D36" s="8" t="str">
        <f t="shared" si="6"/>
        <v>518,28%</v>
      </c>
      <c r="E36" s="25">
        <f t="shared" si="7"/>
        <v>96.4</v>
      </c>
      <c r="F36" s="25">
        <v>115</v>
      </c>
      <c r="H36" s="13"/>
      <c r="I36" s="26"/>
      <c r="J36" s="27"/>
      <c r="K36" s="28"/>
      <c r="L36" s="20"/>
    </row>
    <row r="37" spans="1:12" x14ac:dyDescent="0.3">
      <c r="B37" s="5" t="s">
        <v>40</v>
      </c>
      <c r="C37" s="25">
        <f>(58.36+0.05+0.45+3.06+90+5.04+31.66)/6</f>
        <v>31.436666666666667</v>
      </c>
      <c r="D37" s="8" t="str">
        <f t="shared" si="6"/>
        <v>246,73%</v>
      </c>
      <c r="E37" s="25">
        <f t="shared" si="7"/>
        <v>77.563333333333333</v>
      </c>
      <c r="F37" s="25">
        <v>109</v>
      </c>
      <c r="H37" s="13"/>
      <c r="I37" s="26"/>
      <c r="J37" s="27"/>
      <c r="K37" s="28"/>
      <c r="L37" s="20"/>
    </row>
    <row r="38" spans="1:12" x14ac:dyDescent="0.3">
      <c r="A38" t="s">
        <v>41</v>
      </c>
      <c r="B38" s="5" t="s">
        <v>42</v>
      </c>
      <c r="C38" s="25">
        <f>(58.36+0.05+0.45+3.06+90+5.04+31.66)/6</f>
        <v>31.436666666666667</v>
      </c>
      <c r="D38" s="8" t="str">
        <f t="shared" si="6"/>
        <v>249,91%</v>
      </c>
      <c r="E38" s="25">
        <f t="shared" si="7"/>
        <v>78.563333333333333</v>
      </c>
      <c r="F38" s="25">
        <v>110</v>
      </c>
      <c r="H38" s="13"/>
      <c r="I38" s="26"/>
      <c r="J38" s="27"/>
      <c r="K38" s="28"/>
      <c r="L38" s="20"/>
    </row>
    <row r="39" spans="1:12" x14ac:dyDescent="0.3">
      <c r="A39" t="s">
        <v>31</v>
      </c>
      <c r="B39" s="5" t="s">
        <v>43</v>
      </c>
      <c r="C39" s="25">
        <v>45.34</v>
      </c>
      <c r="D39" s="8" t="str">
        <f t="shared" si="6"/>
        <v>341,11%</v>
      </c>
      <c r="E39" s="25">
        <f t="shared" si="7"/>
        <v>154.66</v>
      </c>
      <c r="F39" s="25">
        <v>200</v>
      </c>
      <c r="H39" s="13"/>
      <c r="I39" s="26"/>
      <c r="J39" s="27"/>
      <c r="K39" s="28"/>
      <c r="L39" s="20"/>
    </row>
    <row r="40" spans="1:12" x14ac:dyDescent="0.3">
      <c r="A40" t="s">
        <v>31</v>
      </c>
      <c r="B40" s="5" t="s">
        <v>44</v>
      </c>
      <c r="C40" s="25">
        <v>50</v>
      </c>
      <c r="D40" s="8" t="str">
        <f t="shared" si="6"/>
        <v>350%</v>
      </c>
      <c r="E40" s="25">
        <f t="shared" si="7"/>
        <v>175</v>
      </c>
      <c r="F40" s="25">
        <v>225</v>
      </c>
      <c r="H40" s="14"/>
      <c r="I40" s="29"/>
      <c r="J40" s="30"/>
      <c r="K40" s="31"/>
      <c r="L40" s="20"/>
    </row>
    <row r="41" spans="1:12" ht="28.8" x14ac:dyDescent="0.3">
      <c r="A41" t="s">
        <v>45</v>
      </c>
      <c r="B41" s="5" t="s">
        <v>46</v>
      </c>
      <c r="C41" s="25">
        <f>22.5+5.61</f>
        <v>28.11</v>
      </c>
      <c r="D41" s="8" t="str">
        <f t="shared" si="6"/>
        <v>593,7%</v>
      </c>
      <c r="E41" s="25">
        <f t="shared" si="7"/>
        <v>166.89</v>
      </c>
      <c r="F41" s="25">
        <v>195</v>
      </c>
      <c r="H41" s="14"/>
      <c r="I41" s="26"/>
      <c r="J41" s="27"/>
      <c r="K41" s="28"/>
      <c r="L41" s="20"/>
    </row>
    <row r="42" spans="1:12" x14ac:dyDescent="0.3">
      <c r="A42" t="s">
        <v>23</v>
      </c>
      <c r="B42" s="5" t="s">
        <v>47</v>
      </c>
      <c r="C42" s="25">
        <v>16.45</v>
      </c>
      <c r="D42" s="8" t="str">
        <f t="shared" si="6"/>
        <v>264,74%</v>
      </c>
      <c r="E42" s="25">
        <f t="shared" si="7"/>
        <v>43.55</v>
      </c>
      <c r="F42" s="25">
        <v>60</v>
      </c>
      <c r="H42" s="14"/>
      <c r="I42" s="26"/>
      <c r="J42" s="27"/>
      <c r="K42" s="28"/>
      <c r="L42" s="20"/>
    </row>
    <row r="43" spans="1:12" ht="28.8" x14ac:dyDescent="0.3">
      <c r="A43" t="s">
        <v>23</v>
      </c>
      <c r="B43" s="5" t="s">
        <v>48</v>
      </c>
      <c r="C43" s="25">
        <v>20.54</v>
      </c>
      <c r="D43" s="8" t="str">
        <f t="shared" si="6"/>
        <v>226,19%</v>
      </c>
      <c r="E43" s="25">
        <f t="shared" si="7"/>
        <v>46.46</v>
      </c>
      <c r="F43" s="25">
        <v>67</v>
      </c>
      <c r="H43" s="14"/>
      <c r="I43" s="26"/>
      <c r="J43" s="27"/>
      <c r="K43" s="28"/>
      <c r="L43" s="20"/>
    </row>
    <row r="44" spans="1:12" x14ac:dyDescent="0.3">
      <c r="A44" t="s">
        <v>49</v>
      </c>
      <c r="B44" s="5" t="s">
        <v>50</v>
      </c>
      <c r="C44" s="25">
        <v>83.1</v>
      </c>
      <c r="D44" s="8" t="str">
        <f t="shared" si="6"/>
        <v>50,42%</v>
      </c>
      <c r="E44" s="25">
        <f t="shared" si="7"/>
        <v>41.900000000000006</v>
      </c>
      <c r="F44" s="25">
        <v>125</v>
      </c>
      <c r="H44" s="14"/>
      <c r="I44" s="26"/>
      <c r="J44" s="27"/>
      <c r="K44" s="28"/>
      <c r="L44" s="20"/>
    </row>
    <row r="45" spans="1:12" x14ac:dyDescent="0.3">
      <c r="A45" t="s">
        <v>49</v>
      </c>
      <c r="B45" s="5" t="s">
        <v>51</v>
      </c>
      <c r="C45" s="25">
        <v>27.5</v>
      </c>
      <c r="D45" s="8" t="str">
        <f t="shared" si="6"/>
        <v>190,91%</v>
      </c>
      <c r="E45" s="25">
        <f t="shared" si="7"/>
        <v>52.5</v>
      </c>
      <c r="F45" s="25">
        <v>80</v>
      </c>
      <c r="H45" s="14"/>
      <c r="I45" s="26"/>
      <c r="J45" s="27"/>
      <c r="K45" s="28"/>
      <c r="L45" s="21"/>
    </row>
    <row r="46" spans="1:12" x14ac:dyDescent="0.3">
      <c r="H46" s="18"/>
      <c r="I46" s="32"/>
      <c r="J46" s="32"/>
      <c r="K46" s="33"/>
    </row>
  </sheetData>
  <mergeCells count="9">
    <mergeCell ref="L19:L20"/>
    <mergeCell ref="L21:L23"/>
    <mergeCell ref="L24:L25"/>
    <mergeCell ref="L26:L28"/>
    <mergeCell ref="L3:L6"/>
    <mergeCell ref="L7:L9"/>
    <mergeCell ref="L10:L12"/>
    <mergeCell ref="L13:L15"/>
    <mergeCell ref="L16:L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58E1-6635-4293-B4C3-69AAD65C69BD}">
  <dimension ref="A1:F13"/>
  <sheetViews>
    <sheetView workbookViewId="0">
      <selection activeCell="H18" sqref="H18"/>
    </sheetView>
  </sheetViews>
  <sheetFormatPr defaultRowHeight="14.4" x14ac:dyDescent="0.3"/>
  <cols>
    <col min="1" max="1" width="17.5546875" customWidth="1"/>
    <col min="2" max="2" width="14.6640625" customWidth="1"/>
    <col min="3" max="3" width="20" customWidth="1"/>
    <col min="4" max="4" width="17.6640625" customWidth="1"/>
  </cols>
  <sheetData>
    <row r="1" spans="1:6" ht="43.2" x14ac:dyDescent="0.3">
      <c r="A1" s="49" t="s">
        <v>52</v>
      </c>
      <c r="B1" s="49" t="s">
        <v>53</v>
      </c>
      <c r="C1" s="49" t="s">
        <v>54</v>
      </c>
      <c r="D1" s="49" t="s">
        <v>55</v>
      </c>
    </row>
    <row r="2" spans="1:6" x14ac:dyDescent="0.3">
      <c r="A2" s="50" t="s">
        <v>56</v>
      </c>
      <c r="B2" s="35">
        <f>103*4.5/100*50</f>
        <v>231.75</v>
      </c>
      <c r="C2" s="35">
        <f>B2*0.008</f>
        <v>1.8540000000000001</v>
      </c>
      <c r="D2" s="36">
        <f>2055/5 * C2</f>
        <v>761.99400000000003</v>
      </c>
    </row>
    <row r="3" spans="1:6" ht="58.95" customHeight="1" x14ac:dyDescent="0.3">
      <c r="A3" s="49" t="s">
        <v>57</v>
      </c>
      <c r="B3" s="49" t="s">
        <v>58</v>
      </c>
      <c r="C3" s="49" t="s">
        <v>59</v>
      </c>
      <c r="D3" s="49" t="s">
        <v>55</v>
      </c>
      <c r="F3" s="10"/>
    </row>
    <row r="4" spans="1:6" x14ac:dyDescent="0.3">
      <c r="A4" s="50" t="s">
        <v>60</v>
      </c>
      <c r="B4" s="35">
        <f>Меню!L3*3</f>
        <v>9000</v>
      </c>
      <c r="C4" s="46">
        <f>B4/22*0.02</f>
        <v>8.1818181818181817</v>
      </c>
      <c r="D4" s="36">
        <f>720/5*C4</f>
        <v>1178.1818181818182</v>
      </c>
    </row>
    <row r="5" spans="1:6" x14ac:dyDescent="0.3">
      <c r="A5" s="116"/>
      <c r="B5" s="116"/>
      <c r="C5" s="116"/>
      <c r="D5" s="52">
        <f>D2+D4</f>
        <v>1940.1758181818182</v>
      </c>
    </row>
    <row r="6" spans="1:6" x14ac:dyDescent="0.3">
      <c r="A6" s="9"/>
      <c r="B6" s="9"/>
      <c r="C6" s="9"/>
      <c r="D6" s="9"/>
    </row>
    <row r="7" spans="1:6" ht="58.95" customHeight="1" x14ac:dyDescent="0.3">
      <c r="A7" s="49" t="s">
        <v>61</v>
      </c>
      <c r="B7" s="49" t="s">
        <v>62</v>
      </c>
      <c r="C7" s="49" t="s">
        <v>63</v>
      </c>
      <c r="D7" s="49" t="s">
        <v>64</v>
      </c>
    </row>
    <row r="8" spans="1:6" x14ac:dyDescent="0.3">
      <c r="A8" s="50" t="s">
        <v>65</v>
      </c>
      <c r="B8" s="47">
        <v>10</v>
      </c>
      <c r="C8" s="48">
        <f>(80+250)/2</f>
        <v>165</v>
      </c>
      <c r="D8" s="36">
        <f>B8*C8*(889/2000)*28</f>
        <v>20535.899999999998</v>
      </c>
    </row>
    <row r="9" spans="1:6" x14ac:dyDescent="0.3">
      <c r="A9" s="50" t="s">
        <v>66</v>
      </c>
      <c r="B9" s="47">
        <f>B8</f>
        <v>10</v>
      </c>
      <c r="C9" s="48">
        <v>85</v>
      </c>
      <c r="D9" s="36">
        <f>B8*C9*(28.5/85)*8</f>
        <v>2280</v>
      </c>
    </row>
    <row r="10" spans="1:6" ht="58.95" customHeight="1" x14ac:dyDescent="0.3">
      <c r="A10" s="49"/>
      <c r="B10" s="49" t="s">
        <v>62</v>
      </c>
      <c r="C10" s="49" t="s">
        <v>67</v>
      </c>
      <c r="D10" s="49" t="s">
        <v>68</v>
      </c>
      <c r="F10" s="10"/>
    </row>
    <row r="11" spans="1:6" ht="28.8" x14ac:dyDescent="0.3">
      <c r="A11" s="51" t="s">
        <v>69</v>
      </c>
      <c r="B11" s="35">
        <f>B8</f>
        <v>10</v>
      </c>
      <c r="C11" s="46">
        <f>7/90*28</f>
        <v>2.177777777777778</v>
      </c>
      <c r="D11" s="36">
        <f>B11*C11*(490/7.6)</f>
        <v>1404.093567251462</v>
      </c>
    </row>
    <row r="12" spans="1:6" ht="28.8" x14ac:dyDescent="0.3">
      <c r="A12" s="51" t="s">
        <v>70</v>
      </c>
      <c r="B12" s="35">
        <f>B8</f>
        <v>10</v>
      </c>
      <c r="C12" s="35">
        <v>1.4999999999999999E-2</v>
      </c>
      <c r="D12" s="36">
        <f>B12*C12*(259/0.25)</f>
        <v>155.4</v>
      </c>
    </row>
    <row r="13" spans="1:6" x14ac:dyDescent="0.3">
      <c r="A13" s="116"/>
      <c r="B13" s="116"/>
      <c r="C13" s="116"/>
      <c r="D13" s="52">
        <f>SUM(D8:D9,D11:D12)</f>
        <v>24375.39356725146</v>
      </c>
    </row>
  </sheetData>
  <mergeCells count="2">
    <mergeCell ref="A13:C13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F211-D2C4-4532-BBC6-0240C37EA161}">
  <dimension ref="A1:D11"/>
  <sheetViews>
    <sheetView workbookViewId="0">
      <selection activeCell="D13" sqref="D13"/>
    </sheetView>
  </sheetViews>
  <sheetFormatPr defaultRowHeight="14.4" x14ac:dyDescent="0.3"/>
  <cols>
    <col min="2" max="2" width="17.88671875" customWidth="1"/>
    <col min="3" max="3" width="12" customWidth="1"/>
    <col min="4" max="4" width="16.5546875" customWidth="1"/>
  </cols>
  <sheetData>
    <row r="1" spans="1:4" ht="36" customHeight="1" x14ac:dyDescent="0.3">
      <c r="A1" s="41" t="s">
        <v>71</v>
      </c>
      <c r="B1" s="41" t="s">
        <v>72</v>
      </c>
      <c r="C1" s="42" t="s">
        <v>73</v>
      </c>
      <c r="D1" s="42" t="s">
        <v>74</v>
      </c>
    </row>
    <row r="2" spans="1:4" x14ac:dyDescent="0.3">
      <c r="A2" s="37">
        <v>2</v>
      </c>
      <c r="B2" s="39" t="s">
        <v>78</v>
      </c>
      <c r="C2" s="38">
        <v>19000</v>
      </c>
      <c r="D2" s="40">
        <f t="shared" ref="D2:D7" si="0">C2*A2</f>
        <v>38000</v>
      </c>
    </row>
    <row r="3" spans="1:4" x14ac:dyDescent="0.3">
      <c r="A3" s="37">
        <v>2</v>
      </c>
      <c r="B3" s="39" t="s">
        <v>81</v>
      </c>
      <c r="C3" s="38">
        <v>17000</v>
      </c>
      <c r="D3" s="40">
        <f t="shared" si="0"/>
        <v>34000</v>
      </c>
    </row>
    <row r="4" spans="1:4" x14ac:dyDescent="0.3">
      <c r="A4" s="37">
        <v>2</v>
      </c>
      <c r="B4" s="39" t="s">
        <v>75</v>
      </c>
      <c r="C4" s="38">
        <v>16000</v>
      </c>
      <c r="D4" s="40">
        <f t="shared" si="0"/>
        <v>32000</v>
      </c>
    </row>
    <row r="5" spans="1:4" x14ac:dyDescent="0.3">
      <c r="A5" s="37">
        <v>2</v>
      </c>
      <c r="B5" s="39" t="s">
        <v>77</v>
      </c>
      <c r="C5" s="38">
        <v>12000</v>
      </c>
      <c r="D5" s="40">
        <f t="shared" si="0"/>
        <v>24000</v>
      </c>
    </row>
    <row r="6" spans="1:4" x14ac:dyDescent="0.3">
      <c r="A6" s="37">
        <v>1</v>
      </c>
      <c r="B6" s="39" t="s">
        <v>76</v>
      </c>
      <c r="C6" s="38">
        <v>20000</v>
      </c>
      <c r="D6" s="40">
        <f t="shared" si="0"/>
        <v>20000</v>
      </c>
    </row>
    <row r="7" spans="1:4" x14ac:dyDescent="0.3">
      <c r="A7" s="37">
        <v>1</v>
      </c>
      <c r="B7" s="39" t="s">
        <v>80</v>
      </c>
      <c r="C7" s="38">
        <v>19000</v>
      </c>
      <c r="D7" s="40">
        <f t="shared" si="0"/>
        <v>19000</v>
      </c>
    </row>
    <row r="8" spans="1:4" x14ac:dyDescent="0.3">
      <c r="A8" s="43"/>
      <c r="B8" s="43"/>
      <c r="C8" s="44"/>
      <c r="D8" s="44"/>
    </row>
    <row r="9" spans="1:4" x14ac:dyDescent="0.3">
      <c r="A9" s="117" t="s">
        <v>98</v>
      </c>
      <c r="B9" s="117"/>
      <c r="C9" s="117"/>
      <c r="D9" s="45">
        <f>SUM(D2:D7)</f>
        <v>167000</v>
      </c>
    </row>
    <row r="10" spans="1:4" x14ac:dyDescent="0.3">
      <c r="C10" s="34"/>
      <c r="D10" s="34"/>
    </row>
    <row r="11" spans="1:4" x14ac:dyDescent="0.3">
      <c r="A11">
        <v>2</v>
      </c>
      <c r="B11" t="s">
        <v>79</v>
      </c>
      <c r="C11" s="34">
        <f>(13200+20000)/2</f>
        <v>16600</v>
      </c>
      <c r="D11" s="34">
        <f>C11*A11</f>
        <v>33200</v>
      </c>
    </row>
  </sheetData>
  <sortState xmlns:xlrd2="http://schemas.microsoft.com/office/spreadsheetml/2017/richdata2" ref="A2:D7">
    <sortCondition descending="1" ref="D2:D7"/>
  </sortState>
  <mergeCells count="1">
    <mergeCell ref="A9:C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98E0-D408-451E-8730-123F3C42AE5F}">
  <dimension ref="A1:C2"/>
  <sheetViews>
    <sheetView workbookViewId="0">
      <selection activeCell="B2" sqref="B2"/>
    </sheetView>
  </sheetViews>
  <sheetFormatPr defaultRowHeight="14.4" x14ac:dyDescent="0.3"/>
  <cols>
    <col min="1" max="1" width="19.33203125" customWidth="1"/>
    <col min="2" max="2" width="11.88671875" customWidth="1"/>
  </cols>
  <sheetData>
    <row r="1" spans="1:3" ht="28.8" x14ac:dyDescent="0.3">
      <c r="A1" s="53"/>
      <c r="B1" s="56" t="s">
        <v>82</v>
      </c>
      <c r="C1" s="57" t="s">
        <v>99</v>
      </c>
    </row>
    <row r="2" spans="1:3" x14ac:dyDescent="0.3">
      <c r="A2" s="55" t="s">
        <v>83</v>
      </c>
      <c r="B2" s="54">
        <v>35000</v>
      </c>
      <c r="C2" s="53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227E-8C4D-45A3-A782-3C5052FE18FB}">
  <dimension ref="B1:T43"/>
  <sheetViews>
    <sheetView zoomScaleNormal="100" workbookViewId="0">
      <pane ySplit="3" topLeftCell="A4" activePane="bottomLeft" state="frozen"/>
      <selection activeCell="B1" sqref="B1"/>
      <selection pane="bottomLeft" activeCell="B7" sqref="B7"/>
    </sheetView>
  </sheetViews>
  <sheetFormatPr defaultRowHeight="14.4" x14ac:dyDescent="0.3"/>
  <cols>
    <col min="2" max="2" width="15.44140625" customWidth="1"/>
    <col min="3" max="3" width="9" customWidth="1"/>
    <col min="4" max="4" width="12" customWidth="1"/>
    <col min="5" max="5" width="13.33203125" customWidth="1"/>
    <col min="6" max="6" width="6.77734375" customWidth="1"/>
    <col min="7" max="7" width="15.109375" customWidth="1"/>
    <col min="8" max="8" width="10.88671875" customWidth="1"/>
    <col min="9" max="9" width="12" customWidth="1"/>
    <col min="10" max="10" width="14.21875" customWidth="1"/>
    <col min="11" max="11" width="6.109375" customWidth="1"/>
    <col min="14" max="14" width="10.88671875" customWidth="1"/>
    <col min="15" max="15" width="12.6640625" customWidth="1"/>
    <col min="17" max="17" width="16.109375" customWidth="1"/>
    <col min="18" max="18" width="8.88671875" customWidth="1"/>
  </cols>
  <sheetData>
    <row r="1" spans="2:15" ht="15" thickBot="1" x14ac:dyDescent="0.35"/>
    <row r="2" spans="2:15" ht="15" thickBot="1" x14ac:dyDescent="0.35">
      <c r="B2" s="118" t="s">
        <v>100</v>
      </c>
      <c r="C2" s="119"/>
      <c r="D2" s="119"/>
      <c r="E2" s="120"/>
      <c r="G2" s="123" t="s">
        <v>108</v>
      </c>
      <c r="H2" s="124"/>
      <c r="I2" s="124"/>
      <c r="J2" s="125"/>
      <c r="L2" s="121" t="s">
        <v>109</v>
      </c>
      <c r="M2" s="122"/>
      <c r="N2" s="122"/>
      <c r="O2" s="122"/>
    </row>
    <row r="3" spans="2:15" ht="15" thickBot="1" x14ac:dyDescent="0.35">
      <c r="B3" s="77" t="s">
        <v>103</v>
      </c>
      <c r="C3" s="78" t="s">
        <v>71</v>
      </c>
      <c r="D3" s="79" t="s">
        <v>114</v>
      </c>
      <c r="E3" s="80" t="s">
        <v>102</v>
      </c>
      <c r="G3" s="75" t="s">
        <v>103</v>
      </c>
      <c r="H3" s="72" t="s">
        <v>71</v>
      </c>
      <c r="I3" s="73" t="s">
        <v>115</v>
      </c>
      <c r="J3" s="74" t="s">
        <v>102</v>
      </c>
      <c r="L3" s="64" t="s">
        <v>103</v>
      </c>
      <c r="M3" s="61" t="s">
        <v>71</v>
      </c>
      <c r="N3" s="65" t="s">
        <v>114</v>
      </c>
      <c r="O3" s="62" t="s">
        <v>102</v>
      </c>
    </row>
    <row r="4" spans="2:15" x14ac:dyDescent="0.3">
      <c r="B4" s="91" t="s">
        <v>101</v>
      </c>
      <c r="C4" s="66">
        <f>EVEN(42.5*0.4)</f>
        <v>18</v>
      </c>
      <c r="D4" s="67">
        <v>800</v>
      </c>
      <c r="E4" s="69">
        <f>C4*D4</f>
        <v>14400</v>
      </c>
      <c r="G4" s="96" t="s">
        <v>126</v>
      </c>
      <c r="H4" s="81">
        <f>C4*1.5</f>
        <v>27</v>
      </c>
      <c r="I4" s="83">
        <v>60.38</v>
      </c>
      <c r="J4" s="84">
        <f>I4*H4</f>
        <v>1630.26</v>
      </c>
      <c r="L4" s="63"/>
      <c r="M4" s="59"/>
      <c r="N4" s="65"/>
      <c r="O4" s="60"/>
    </row>
    <row r="5" spans="2:15" x14ac:dyDescent="0.3">
      <c r="B5" s="91" t="s">
        <v>149</v>
      </c>
      <c r="C5" s="66">
        <f>ROUND(42.5*0.2, 0)</f>
        <v>9</v>
      </c>
      <c r="D5" s="67">
        <v>3150</v>
      </c>
      <c r="E5" s="69">
        <f t="shared" ref="E5:E9" si="0">C5*D5</f>
        <v>28350</v>
      </c>
      <c r="G5" s="93" t="s">
        <v>127</v>
      </c>
      <c r="H5" s="82">
        <v>20</v>
      </c>
      <c r="I5" s="85">
        <v>139.4</v>
      </c>
      <c r="J5" s="86">
        <f t="shared" ref="J5:J7" si="1">H5*I5</f>
        <v>2788</v>
      </c>
      <c r="L5" s="63"/>
      <c r="M5" s="59"/>
      <c r="N5" s="65"/>
      <c r="O5" s="60"/>
    </row>
    <row r="6" spans="2:15" x14ac:dyDescent="0.3">
      <c r="B6" s="91" t="s">
        <v>104</v>
      </c>
      <c r="C6" s="66">
        <v>1</v>
      </c>
      <c r="D6" s="67">
        <v>20000</v>
      </c>
      <c r="E6" s="69">
        <f t="shared" si="0"/>
        <v>20000</v>
      </c>
      <c r="G6" s="93" t="s">
        <v>128</v>
      </c>
      <c r="H6" s="82">
        <v>20</v>
      </c>
      <c r="I6" s="85">
        <v>125.23</v>
      </c>
      <c r="J6" s="86">
        <f t="shared" si="1"/>
        <v>2504.6</v>
      </c>
      <c r="L6" s="63"/>
      <c r="M6" s="59"/>
      <c r="N6" s="65"/>
      <c r="O6" s="60"/>
    </row>
    <row r="7" spans="2:15" x14ac:dyDescent="0.3">
      <c r="B7" s="91" t="s">
        <v>105</v>
      </c>
      <c r="C7" s="66">
        <v>1</v>
      </c>
      <c r="D7" s="67">
        <v>87360</v>
      </c>
      <c r="E7" s="69">
        <f t="shared" si="0"/>
        <v>87360</v>
      </c>
      <c r="G7" s="93" t="s">
        <v>129</v>
      </c>
      <c r="H7" s="82">
        <v>9</v>
      </c>
      <c r="I7" s="85">
        <v>183</v>
      </c>
      <c r="J7" s="86">
        <f t="shared" si="1"/>
        <v>1647</v>
      </c>
      <c r="L7" s="63"/>
      <c r="M7" s="59"/>
      <c r="N7" s="65"/>
      <c r="O7" s="60"/>
    </row>
    <row r="8" spans="2:15" x14ac:dyDescent="0.3">
      <c r="B8" s="91" t="s">
        <v>106</v>
      </c>
      <c r="C8" s="66">
        <v>1</v>
      </c>
      <c r="D8" s="67">
        <v>2514</v>
      </c>
      <c r="E8" s="69">
        <f t="shared" si="0"/>
        <v>2514</v>
      </c>
      <c r="G8" s="93" t="s">
        <v>121</v>
      </c>
      <c r="H8" s="82">
        <f>C4*1.5</f>
        <v>27</v>
      </c>
      <c r="I8" s="85">
        <v>59.51</v>
      </c>
      <c r="J8" s="86">
        <f>H8*I8</f>
        <v>1606.77</v>
      </c>
      <c r="L8" s="63"/>
      <c r="M8" s="59"/>
      <c r="N8" s="65"/>
      <c r="O8" s="60"/>
    </row>
    <row r="9" spans="2:15" ht="15" thickBot="1" x14ac:dyDescent="0.35">
      <c r="B9" s="92" t="s">
        <v>107</v>
      </c>
      <c r="C9" s="68">
        <v>1</v>
      </c>
      <c r="D9" s="70">
        <v>15590</v>
      </c>
      <c r="E9" s="71">
        <f t="shared" si="0"/>
        <v>15590</v>
      </c>
      <c r="G9" s="93" t="s">
        <v>122</v>
      </c>
      <c r="H9" s="82">
        <f>C4*1.5</f>
        <v>27</v>
      </c>
      <c r="I9" s="85">
        <v>88.48</v>
      </c>
      <c r="J9" s="86">
        <f t="shared" ref="J9:J39" si="2">H9*I9</f>
        <v>2388.96</v>
      </c>
      <c r="L9" s="63"/>
      <c r="M9" s="59"/>
      <c r="N9" s="65"/>
      <c r="O9" s="60"/>
    </row>
    <row r="10" spans="2:15" x14ac:dyDescent="0.3">
      <c r="G10" s="93" t="s">
        <v>130</v>
      </c>
      <c r="H10" s="82">
        <f>C4*1.5</f>
        <v>27</v>
      </c>
      <c r="I10" s="85">
        <v>84.04</v>
      </c>
      <c r="J10" s="86">
        <f t="shared" si="2"/>
        <v>2269.0800000000004</v>
      </c>
    </row>
    <row r="11" spans="2:15" x14ac:dyDescent="0.3">
      <c r="G11" s="93" t="s">
        <v>123</v>
      </c>
      <c r="H11" s="82">
        <f>C4*1.5</f>
        <v>27</v>
      </c>
      <c r="I11" s="85">
        <v>77.52</v>
      </c>
      <c r="J11" s="86">
        <f t="shared" si="2"/>
        <v>2093.04</v>
      </c>
    </row>
    <row r="12" spans="2:15" x14ac:dyDescent="0.3">
      <c r="G12" s="93" t="s">
        <v>117</v>
      </c>
      <c r="H12" s="82">
        <f>C4*1.5</f>
        <v>27</v>
      </c>
      <c r="I12" s="85">
        <v>76.08</v>
      </c>
      <c r="J12" s="86">
        <f t="shared" si="2"/>
        <v>2054.16</v>
      </c>
    </row>
    <row r="13" spans="2:15" x14ac:dyDescent="0.3">
      <c r="G13" s="93" t="s">
        <v>116</v>
      </c>
      <c r="H13" s="82">
        <f>C4*1.5</f>
        <v>27</v>
      </c>
      <c r="I13" s="85">
        <v>69.28</v>
      </c>
      <c r="J13" s="86">
        <f t="shared" si="2"/>
        <v>1870.56</v>
      </c>
    </row>
    <row r="14" spans="2:15" x14ac:dyDescent="0.3">
      <c r="G14" s="93" t="s">
        <v>118</v>
      </c>
      <c r="H14" s="82">
        <f>C4*1.5</f>
        <v>27</v>
      </c>
      <c r="I14" s="85">
        <v>83.84</v>
      </c>
      <c r="J14" s="86">
        <f t="shared" si="2"/>
        <v>2263.6800000000003</v>
      </c>
    </row>
    <row r="15" spans="2:15" x14ac:dyDescent="0.3">
      <c r="G15" s="93" t="s">
        <v>119</v>
      </c>
      <c r="H15" s="82">
        <f>C4*1.5</f>
        <v>27</v>
      </c>
      <c r="I15" s="85">
        <v>44.2</v>
      </c>
      <c r="J15" s="86">
        <f t="shared" si="2"/>
        <v>1193.4000000000001</v>
      </c>
    </row>
    <row r="16" spans="2:15" x14ac:dyDescent="0.3">
      <c r="G16" s="93" t="s">
        <v>120</v>
      </c>
      <c r="H16" s="82">
        <f>C4*1.5</f>
        <v>27</v>
      </c>
      <c r="I16" s="85">
        <v>47.68</v>
      </c>
      <c r="J16" s="86">
        <f t="shared" si="2"/>
        <v>1287.3599999999999</v>
      </c>
    </row>
    <row r="17" spans="2:12" x14ac:dyDescent="0.3">
      <c r="G17" s="93" t="s">
        <v>124</v>
      </c>
      <c r="H17" s="82">
        <v>9</v>
      </c>
      <c r="I17" s="85">
        <v>53.24</v>
      </c>
      <c r="J17" s="86">
        <f t="shared" si="2"/>
        <v>479.16</v>
      </c>
    </row>
    <row r="18" spans="2:12" x14ac:dyDescent="0.3">
      <c r="G18" s="93" t="s">
        <v>125</v>
      </c>
      <c r="H18" s="82">
        <v>9</v>
      </c>
      <c r="I18" s="85">
        <v>151.12</v>
      </c>
      <c r="J18" s="86">
        <f t="shared" si="2"/>
        <v>1360.08</v>
      </c>
    </row>
    <row r="19" spans="2:12" x14ac:dyDescent="0.3">
      <c r="G19" s="93" t="s">
        <v>147</v>
      </c>
      <c r="H19" s="82">
        <v>2</v>
      </c>
      <c r="I19" s="85">
        <v>10044</v>
      </c>
      <c r="J19" s="86">
        <f t="shared" si="2"/>
        <v>20088</v>
      </c>
    </row>
    <row r="20" spans="2:12" x14ac:dyDescent="0.3">
      <c r="G20" s="93" t="s">
        <v>142</v>
      </c>
      <c r="H20" s="82">
        <v>1</v>
      </c>
      <c r="I20" s="85">
        <v>34295</v>
      </c>
      <c r="J20" s="86">
        <f t="shared" si="2"/>
        <v>34295</v>
      </c>
    </row>
    <row r="21" spans="2:12" x14ac:dyDescent="0.3">
      <c r="G21" s="93" t="s">
        <v>110</v>
      </c>
      <c r="H21" s="82">
        <v>2</v>
      </c>
      <c r="I21" s="85">
        <v>18474</v>
      </c>
      <c r="J21" s="86">
        <f t="shared" si="2"/>
        <v>36948</v>
      </c>
    </row>
    <row r="22" spans="2:12" x14ac:dyDescent="0.3">
      <c r="G22" s="93" t="s">
        <v>131</v>
      </c>
      <c r="H22" s="82">
        <v>1</v>
      </c>
      <c r="I22" s="85">
        <v>1499</v>
      </c>
      <c r="J22" s="86">
        <f t="shared" si="2"/>
        <v>1499</v>
      </c>
    </row>
    <row r="23" spans="2:12" x14ac:dyDescent="0.3">
      <c r="G23" s="93" t="s">
        <v>132</v>
      </c>
      <c r="H23" s="82">
        <v>1</v>
      </c>
      <c r="I23" s="85">
        <v>999</v>
      </c>
      <c r="J23" s="86">
        <f t="shared" si="2"/>
        <v>999</v>
      </c>
    </row>
    <row r="24" spans="2:12" x14ac:dyDescent="0.3">
      <c r="G24" s="93" t="s">
        <v>148</v>
      </c>
      <c r="H24" s="82">
        <v>3</v>
      </c>
      <c r="I24" s="85">
        <v>4875</v>
      </c>
      <c r="J24" s="86">
        <f t="shared" si="2"/>
        <v>14625</v>
      </c>
    </row>
    <row r="25" spans="2:12" x14ac:dyDescent="0.3">
      <c r="B25" s="88"/>
      <c r="C25" s="89"/>
      <c r="D25" s="89"/>
      <c r="E25" s="90"/>
      <c r="F25" s="90"/>
      <c r="G25" s="93" t="s">
        <v>145</v>
      </c>
      <c r="H25" s="82">
        <v>2</v>
      </c>
      <c r="I25" s="85">
        <v>897</v>
      </c>
      <c r="J25" s="86">
        <f t="shared" si="2"/>
        <v>1794</v>
      </c>
      <c r="K25" s="90"/>
      <c r="L25" s="89"/>
    </row>
    <row r="26" spans="2:12" x14ac:dyDescent="0.3">
      <c r="G26" s="93" t="s">
        <v>146</v>
      </c>
      <c r="H26" s="82">
        <v>3</v>
      </c>
      <c r="I26" s="85">
        <v>10900</v>
      </c>
      <c r="J26" s="86">
        <f t="shared" si="2"/>
        <v>32700</v>
      </c>
    </row>
    <row r="27" spans="2:12" x14ac:dyDescent="0.3">
      <c r="G27" s="93" t="s">
        <v>144</v>
      </c>
      <c r="H27" s="82">
        <v>2</v>
      </c>
      <c r="I27" s="85">
        <v>8876</v>
      </c>
      <c r="J27" s="86">
        <f t="shared" si="2"/>
        <v>17752</v>
      </c>
    </row>
    <row r="28" spans="2:12" x14ac:dyDescent="0.3">
      <c r="G28" s="93" t="s">
        <v>143</v>
      </c>
      <c r="H28" s="82">
        <v>1</v>
      </c>
      <c r="I28" s="85">
        <v>29950</v>
      </c>
      <c r="J28" s="86">
        <f t="shared" si="2"/>
        <v>29950</v>
      </c>
    </row>
    <row r="29" spans="2:12" x14ac:dyDescent="0.3">
      <c r="G29" s="93" t="s">
        <v>111</v>
      </c>
      <c r="H29" s="82">
        <v>1</v>
      </c>
      <c r="I29" s="85">
        <v>2728</v>
      </c>
      <c r="J29" s="86">
        <f t="shared" si="2"/>
        <v>2728</v>
      </c>
    </row>
    <row r="30" spans="2:12" x14ac:dyDescent="0.3">
      <c r="G30" s="93" t="s">
        <v>112</v>
      </c>
      <c r="H30" s="82">
        <v>1</v>
      </c>
      <c r="I30" s="85">
        <v>9533</v>
      </c>
      <c r="J30" s="86">
        <f t="shared" si="2"/>
        <v>9533</v>
      </c>
    </row>
    <row r="31" spans="2:12" x14ac:dyDescent="0.3">
      <c r="G31" s="93" t="s">
        <v>133</v>
      </c>
      <c r="H31" s="82">
        <v>2</v>
      </c>
      <c r="I31" s="85">
        <v>104</v>
      </c>
      <c r="J31" s="86">
        <f t="shared" si="2"/>
        <v>208</v>
      </c>
    </row>
    <row r="32" spans="2:12" x14ac:dyDescent="0.3">
      <c r="G32" s="93" t="s">
        <v>134</v>
      </c>
      <c r="H32" s="82">
        <v>2</v>
      </c>
      <c r="I32" s="85">
        <v>145</v>
      </c>
      <c r="J32" s="86">
        <f t="shared" si="2"/>
        <v>290</v>
      </c>
    </row>
    <row r="33" spans="5:20" x14ac:dyDescent="0.3">
      <c r="G33" s="93" t="s">
        <v>135</v>
      </c>
      <c r="H33" s="82">
        <v>2</v>
      </c>
      <c r="I33" s="85">
        <v>319</v>
      </c>
      <c r="J33" s="86">
        <f t="shared" si="2"/>
        <v>638</v>
      </c>
    </row>
    <row r="34" spans="5:20" x14ac:dyDescent="0.3">
      <c r="G34" s="93" t="s">
        <v>136</v>
      </c>
      <c r="H34" s="82">
        <v>1</v>
      </c>
      <c r="I34" s="85">
        <v>1999</v>
      </c>
      <c r="J34" s="86">
        <f t="shared" si="2"/>
        <v>1999</v>
      </c>
    </row>
    <row r="35" spans="5:20" x14ac:dyDescent="0.3">
      <c r="G35" s="93" t="s">
        <v>137</v>
      </c>
      <c r="H35" s="82">
        <v>1</v>
      </c>
      <c r="I35" s="85">
        <v>720</v>
      </c>
      <c r="J35" s="86">
        <f t="shared" si="2"/>
        <v>720</v>
      </c>
    </row>
    <row r="36" spans="5:20" x14ac:dyDescent="0.3">
      <c r="G36" s="93" t="s">
        <v>138</v>
      </c>
      <c r="H36" s="82">
        <v>1</v>
      </c>
      <c r="I36" s="85">
        <v>780</v>
      </c>
      <c r="J36" s="86">
        <f t="shared" si="2"/>
        <v>780</v>
      </c>
    </row>
    <row r="37" spans="5:20" x14ac:dyDescent="0.3">
      <c r="G37" s="93" t="s">
        <v>139</v>
      </c>
      <c r="H37" s="82">
        <v>1</v>
      </c>
      <c r="I37" s="85">
        <v>800</v>
      </c>
      <c r="J37" s="86">
        <f t="shared" si="2"/>
        <v>800</v>
      </c>
    </row>
    <row r="38" spans="5:20" x14ac:dyDescent="0.3">
      <c r="G38" s="93" t="s">
        <v>140</v>
      </c>
      <c r="H38" s="82">
        <v>1</v>
      </c>
      <c r="I38" s="85">
        <v>899</v>
      </c>
      <c r="J38" s="86">
        <f t="shared" si="2"/>
        <v>899</v>
      </c>
    </row>
    <row r="39" spans="5:20" x14ac:dyDescent="0.3">
      <c r="G39" s="93" t="s">
        <v>141</v>
      </c>
      <c r="H39" s="82">
        <v>1</v>
      </c>
      <c r="I39" s="85">
        <v>1733</v>
      </c>
      <c r="J39" s="86">
        <f t="shared" si="2"/>
        <v>1733</v>
      </c>
    </row>
    <row r="40" spans="5:20" ht="15" thickBot="1" x14ac:dyDescent="0.35">
      <c r="G40" s="94" t="s">
        <v>113</v>
      </c>
      <c r="H40" s="76">
        <v>10</v>
      </c>
      <c r="I40" s="87">
        <v>360</v>
      </c>
      <c r="J40" s="95">
        <f>H40*I40</f>
        <v>3600</v>
      </c>
      <c r="R40" s="9"/>
      <c r="S40" s="9"/>
      <c r="T40" s="9"/>
    </row>
    <row r="41" spans="5:20" x14ac:dyDescent="0.3">
      <c r="R41" s="9"/>
      <c r="S41" s="9"/>
      <c r="T41" s="9"/>
    </row>
    <row r="42" spans="5:20" x14ac:dyDescent="0.3">
      <c r="E42" s="97">
        <f>SUM(E4:E9)</f>
        <v>168214</v>
      </c>
      <c r="J42" s="97">
        <f>SUM(J4:J40)</f>
        <v>242014.11</v>
      </c>
      <c r="O42" s="98">
        <f>SUM(O4:O9)</f>
        <v>0</v>
      </c>
      <c r="P42" s="99" t="s">
        <v>150</v>
      </c>
      <c r="Q42" s="100">
        <f>SUM(E42,J42,O42)</f>
        <v>410228.11</v>
      </c>
      <c r="R42" s="9"/>
      <c r="S42" s="9"/>
      <c r="T42" s="9"/>
    </row>
    <row r="43" spans="5:20" x14ac:dyDescent="0.3">
      <c r="R43" s="9"/>
      <c r="S43" s="9"/>
      <c r="T43" s="9"/>
    </row>
  </sheetData>
  <mergeCells count="3">
    <mergeCell ref="B2:E2"/>
    <mergeCell ref="L2:O2"/>
    <mergeCell ref="G2:J2"/>
  </mergeCells>
  <hyperlinks>
    <hyperlink ref="B9" r:id="rId1" xr:uid="{48B3FA5B-A50A-4129-9DE5-1FCEBCD7DE82}"/>
    <hyperlink ref="B7" r:id="rId2" xr:uid="{551F14CC-1911-4A0E-ADCF-88CD0490786E}"/>
    <hyperlink ref="B4" r:id="rId3" xr:uid="{967DF083-3B3A-4912-9B8C-035E4C934FE2}"/>
    <hyperlink ref="B5" r:id="rId4" display="https://steelkov.com/product/stil-vyrobnychyj-z-dvoma-polytsiamy-ostrivnyj/" xr:uid="{47C87677-A013-46B8-8D4C-1DBDA60118D2}"/>
    <hyperlink ref="B8" r:id="rId5" xr:uid="{28F5960B-82FD-48AD-8E9F-938BBB0688E9}"/>
    <hyperlink ref="B6" r:id="rId6" display="https://steelkov.com/product/stil-vyrobnychyj-z-dvoma-polytsiamy-ostrivnyj/" xr:uid="{54C0D077-C34A-4F44-BD1E-E85F65DF1E62}"/>
    <hyperlink ref="G19" r:id="rId7" display="https://steelkov.com/product/stil-vyrobnychyj-z-dvoma-polytsiamy-ostrivnyj/" xr:uid="{7505C15B-DF94-4170-8A6C-3E771A834274}"/>
    <hyperlink ref="G13" r:id="rId8" xr:uid="{4045B01F-45D0-4377-8019-F135B8959291}"/>
    <hyperlink ref="G16" r:id="rId9" xr:uid="{583260F9-4539-4A62-B04C-96084A77F46E}"/>
    <hyperlink ref="G14" r:id="rId10" xr:uid="{689E1A26-CE17-40B4-97EC-00CB4D2E3FC5}"/>
    <hyperlink ref="G12" r:id="rId11" xr:uid="{D765E821-ED21-4576-BC0A-F77F3B24A55C}"/>
    <hyperlink ref="G15" r:id="rId12" xr:uid="{FA1F1756-4CDA-4A35-8242-7A0E423F5ACB}"/>
    <hyperlink ref="G8" r:id="rId13" xr:uid="{44CEF08C-F2E0-4B3A-B6DD-7C684D052C9A}"/>
    <hyperlink ref="G9" r:id="rId14" xr:uid="{71B81CE3-E7B8-4361-9335-1763ADF738BD}"/>
    <hyperlink ref="G17" r:id="rId15" display="https://servia.com.ua/uk/products/servirovka/salfetnitsa-nerzh-treugolnaja-na-podstavke-996-mak" xr:uid="{DD1CCF6D-4A23-46CA-A9C5-8B102697B9D7}"/>
    <hyperlink ref="G18" r:id="rId16" xr:uid="{D2411FE1-EBBC-4D5A-AB4F-F85E7B2841CB}"/>
    <hyperlink ref="G29" r:id="rId17" xr:uid="{822FEBBF-325A-4B24-8EB5-89205472B29A}"/>
    <hyperlink ref="G6" r:id="rId18" xr:uid="{03102B2C-F736-466D-AABB-1720EDADB817}"/>
    <hyperlink ref="G4" r:id="rId19" xr:uid="{414F6ACB-B810-4A64-B91D-70C6D8FAC6EC}"/>
    <hyperlink ref="G5" r:id="rId20" xr:uid="{43F96406-DAD7-49D7-AF62-F4D7A385791E}"/>
    <hyperlink ref="G7" r:id="rId21" xr:uid="{97D69ECD-5392-440F-9C95-99C48E12E71B}"/>
    <hyperlink ref="G11" r:id="rId22" xr:uid="{EAC18D09-D20E-423D-9197-7DF1821F951A}"/>
    <hyperlink ref="G10" r:id="rId23" xr:uid="{EA522AB8-8CDC-4522-8BDD-FCEB83A5E0A7}"/>
    <hyperlink ref="G22" r:id="rId24" xr:uid="{F5FC2638-573D-4C9F-840E-D916DA951B42}"/>
    <hyperlink ref="G40" r:id="rId25" xr:uid="{40401145-B0DD-4C98-A546-B479AD60D974}"/>
    <hyperlink ref="G30" r:id="rId26" xr:uid="{9F294105-85BF-4D7B-8C4D-41E5F96567CE}"/>
    <hyperlink ref="G23" r:id="rId27" display="https://rozetka.com.ua/ua/supretto_8311_0001/p396615423/" xr:uid="{DF2A8D2B-4FEA-4179-9209-3D242182B0C8}"/>
    <hyperlink ref="G31" r:id="rId28" xr:uid="{276547B3-B098-4444-8C5F-072C4CB109AE}"/>
    <hyperlink ref="G33" r:id="rId29" xr:uid="{BCE225B3-0C70-4C80-99D3-963DA1B9BFA4}"/>
    <hyperlink ref="G34" r:id="rId30" xr:uid="{72C12F0A-5A88-4050-A5EF-75B681A2901E}"/>
    <hyperlink ref="G35" r:id="rId31" xr:uid="{541BE777-E57A-4DFC-9EC5-1E790E0B6EBC}"/>
    <hyperlink ref="G36" r:id="rId32" xr:uid="{7A9EC948-8A67-47E6-B1C5-AC6C89F35126}"/>
    <hyperlink ref="G37" r:id="rId33" xr:uid="{8398BC19-3154-4021-8F3A-D9365A213A53}"/>
    <hyperlink ref="G39" r:id="rId34" xr:uid="{29EB7B9F-E412-4F16-9D58-C096D6808B5D}"/>
    <hyperlink ref="G32" r:id="rId35" xr:uid="{D7FB88D6-4EB9-4036-AF0F-28052ACBB088}"/>
    <hyperlink ref="G20" r:id="rId36" xr:uid="{01BC3619-226E-47C4-BA71-2265B5F3C5A6}"/>
    <hyperlink ref="G21" r:id="rId37" xr:uid="{DC4C22F6-0703-47FA-92BE-5FD6DE175268}"/>
    <hyperlink ref="G28" r:id="rId38" xr:uid="{7C1C7D99-2D58-45DB-87C5-0414C41464FC}"/>
    <hyperlink ref="G24" r:id="rId39" display="Полиця для сушіння посуду" xr:uid="{285ACDF8-CEF1-4E7C-B8C1-D4D083C043BD}"/>
    <hyperlink ref="G27" r:id="rId40" xr:uid="{392E11F4-AB10-4E54-9485-A36EF8A7D4B2}"/>
    <hyperlink ref="G25" r:id="rId41" xr:uid="{E94A7020-6440-4F08-A509-A73A5ABFF173}"/>
    <hyperlink ref="G26" r:id="rId42" xr:uid="{053066F7-4BBE-4999-9F98-C2480F7AAE25}"/>
    <hyperlink ref="G38" r:id="rId43" xr:uid="{A6B5435A-EFB1-49CB-A6B3-34B990BB14B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0FB7B-4297-4F7D-8308-1A9FF83A1548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52c9ff5-82cd-4cc9-856d-30eb18d44f1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05EC4CDFAAB074CBCCF8CEE0CC689ED" ma:contentTypeVersion="13" ma:contentTypeDescription="Створення нового документа." ma:contentTypeScope="" ma:versionID="71642fabe38e6bc3fbe0ffa194ae3308">
  <xsd:schema xmlns:xsd="http://www.w3.org/2001/XMLSchema" xmlns:xs="http://www.w3.org/2001/XMLSchema" xmlns:p="http://schemas.microsoft.com/office/2006/metadata/properties" xmlns:ns3="c52c9ff5-82cd-4cc9-856d-30eb18d44f11" xmlns:ns4="697dc36a-c322-438f-bf5d-447194d358d8" targetNamespace="http://schemas.microsoft.com/office/2006/metadata/properties" ma:root="true" ma:fieldsID="11f7efad7327f9f19e79ba091c46e73d" ns3:_="" ns4:_="">
    <xsd:import namespace="c52c9ff5-82cd-4cc9-856d-30eb18d44f11"/>
    <xsd:import namespace="697dc36a-c322-438f-bf5d-447194d358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LengthInSecond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2c9ff5-82cd-4cc9-856d-30eb18d44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7dc36a-c322-438f-bf5d-447194d358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Спільний доступ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Відомості про тих, хто має доступ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Геш підказки про спільний доступ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E88B99-18E2-4D60-9020-A09D2C9C6D61}">
  <ds:schemaRefs>
    <ds:schemaRef ds:uri="http://schemas.microsoft.com/office/2006/documentManagement/types"/>
    <ds:schemaRef ds:uri="http://purl.org/dc/terms/"/>
    <ds:schemaRef ds:uri="c52c9ff5-82cd-4cc9-856d-30eb18d44f11"/>
    <ds:schemaRef ds:uri="http://www.w3.org/XML/1998/namespace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697dc36a-c322-438f-bf5d-447194d358d8"/>
  </ds:schemaRefs>
</ds:datastoreItem>
</file>

<file path=customXml/itemProps2.xml><?xml version="1.0" encoding="utf-8"?>
<ds:datastoreItem xmlns:ds="http://schemas.openxmlformats.org/officeDocument/2006/customXml" ds:itemID="{76980B9D-876C-4131-A553-402C6D6AE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689F41-B1C8-4C18-8064-93AE1B1D51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2c9ff5-82cd-4cc9-856d-30eb18d44f11"/>
    <ds:schemaRef ds:uri="697dc36a-c322-438f-bf5d-447194d358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6</vt:i4>
      </vt:variant>
    </vt:vector>
  </HeadingPairs>
  <TitlesOfParts>
    <vt:vector size="6" baseType="lpstr">
      <vt:lpstr>Меню</vt:lpstr>
      <vt:lpstr>Ресурси</vt:lpstr>
      <vt:lpstr>ЗП</vt:lpstr>
      <vt:lpstr>Платежі</vt:lpstr>
      <vt:lpstr>Обладнання</vt:lpstr>
      <vt:lpstr>Розрахунок доходу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Орловський Ростислав Андрійович</dc:creator>
  <cp:keywords/>
  <dc:description/>
  <cp:lastModifiedBy>Орловський Ростислав Андрійович</cp:lastModifiedBy>
  <cp:revision/>
  <dcterms:created xsi:type="dcterms:W3CDTF">2024-02-26T16:41:44Z</dcterms:created>
  <dcterms:modified xsi:type="dcterms:W3CDTF">2024-03-10T19:01:33Z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0x010100B05EC4CDFAAB074CBCCF8CEE0CC689ED</vt:lpwstr>
  </property>
</Properties>
</file>