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cuments/Documents/THE WORLDBANK/2025 08/"/>
    </mc:Choice>
  </mc:AlternateContent>
  <xr:revisionPtr revIDLastSave="0" documentId="8_{D355FE9B-8720-F946-A45D-B8C496431B7A}" xr6:coauthVersionLast="47" xr6:coauthVersionMax="47" xr10:uidLastSave="{00000000-0000-0000-0000-000000000000}"/>
  <bookViews>
    <workbookView xWindow="3480" yWindow="880" windowWidth="23360" windowHeight="12860" xr2:uid="{00000000-000D-0000-FFFF-FFFF00000000}"/>
  </bookViews>
  <sheets>
    <sheet name="Inputs" sheetId="1" r:id="rId1"/>
    <sheet name="Capacity_Calc" sheetId="2" r:id="rId2"/>
    <sheet name="Repayment Schedule" sheetId="3" r:id="rId3"/>
    <sheet name="Summary" sheetId="4" r:id="rId4"/>
  </sheets>
  <definedNames>
    <definedName name="AllowedDebt">Capacity_Calc!$B$11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B9" i="2" s="1"/>
  <c r="B10" i="2" s="1"/>
  <c r="D12" i="1"/>
  <c r="D7" i="1"/>
  <c r="B7" i="2"/>
  <c r="J16" i="3"/>
  <c r="F7" i="3"/>
  <c r="L8" i="3"/>
  <c r="L9" i="3"/>
  <c r="L10" i="3"/>
  <c r="L11" i="3"/>
  <c r="L12" i="3"/>
  <c r="L13" i="3"/>
  <c r="L14" i="3"/>
  <c r="L15" i="3"/>
  <c r="L16" i="3"/>
  <c r="L7" i="3"/>
  <c r="G7" i="3"/>
  <c r="G8" i="3" s="1"/>
  <c r="G9" i="3" s="1"/>
  <c r="G10" i="3" s="1"/>
  <c r="G11" i="3" s="1"/>
  <c r="G12" i="3" s="1"/>
  <c r="G13" i="3" s="1"/>
  <c r="G14" i="3" s="1"/>
  <c r="G15" i="3" s="1"/>
  <c r="G16" i="3" s="1"/>
  <c r="B8" i="2"/>
  <c r="B11" i="4"/>
  <c r="B10" i="4"/>
  <c r="B8" i="4"/>
  <c r="A7" i="3"/>
  <c r="B15" i="4" l="1"/>
  <c r="B11" i="2"/>
  <c r="B14" i="3" s="1"/>
  <c r="H7" i="3"/>
  <c r="F8" i="3"/>
  <c r="F9" i="3" s="1"/>
  <c r="H9" i="3" s="1"/>
  <c r="B7" i="4"/>
  <c r="B9" i="3" l="1"/>
  <c r="D9" i="3" s="1"/>
  <c r="B16" i="3"/>
  <c r="C16" i="3" s="1"/>
  <c r="E16" i="3" s="1"/>
  <c r="B13" i="3"/>
  <c r="D13" i="3" s="1"/>
  <c r="B12" i="3"/>
  <c r="D12" i="3" s="1"/>
  <c r="B11" i="3"/>
  <c r="C11" i="3" s="1"/>
  <c r="E11" i="3" s="1"/>
  <c r="B10" i="3"/>
  <c r="C10" i="3" s="1"/>
  <c r="E10" i="3" s="1"/>
  <c r="B7" i="3"/>
  <c r="D7" i="3" s="1"/>
  <c r="H8" i="3"/>
  <c r="F10" i="3"/>
  <c r="F11" i="3" s="1"/>
  <c r="B8" i="3"/>
  <c r="C8" i="3" s="1"/>
  <c r="E8" i="3" s="1"/>
  <c r="B15" i="3"/>
  <c r="C15" i="3" s="1"/>
  <c r="E15" i="3" s="1"/>
  <c r="D8" i="3"/>
  <c r="C14" i="3"/>
  <c r="E14" i="3" s="1"/>
  <c r="D14" i="3"/>
  <c r="D16" i="3" l="1"/>
  <c r="C9" i="3"/>
  <c r="E9" i="3" s="1"/>
  <c r="D10" i="3"/>
  <c r="J10" i="3" s="1"/>
  <c r="K10" i="3" s="1"/>
  <c r="M10" i="3" s="1"/>
  <c r="C12" i="3"/>
  <c r="E12" i="3" s="1"/>
  <c r="C13" i="3"/>
  <c r="E13" i="3" s="1"/>
  <c r="D15" i="3"/>
  <c r="J15" i="3" s="1"/>
  <c r="D11" i="3"/>
  <c r="J11" i="3" s="1"/>
  <c r="K11" i="3" s="1"/>
  <c r="M11" i="3" s="1"/>
  <c r="J14" i="3"/>
  <c r="K14" i="3" s="1"/>
  <c r="C7" i="3"/>
  <c r="J7" i="3" s="1"/>
  <c r="K7" i="3" s="1"/>
  <c r="M7" i="3" s="1"/>
  <c r="H10" i="3"/>
  <c r="J8" i="3"/>
  <c r="K8" i="3" s="1"/>
  <c r="M8" i="3" s="1"/>
  <c r="J9" i="3"/>
  <c r="K9" i="3" s="1"/>
  <c r="M9" i="3" s="1"/>
  <c r="F12" i="3"/>
  <c r="H11" i="3"/>
  <c r="J12" i="3" l="1"/>
  <c r="K12" i="3" s="1"/>
  <c r="M12" i="3" s="1"/>
  <c r="J13" i="3"/>
  <c r="K13" i="3" s="1"/>
  <c r="M13" i="3" s="1"/>
  <c r="E7" i="3"/>
  <c r="I7" i="3" s="1"/>
  <c r="B9" i="4" s="1"/>
  <c r="N10" i="3"/>
  <c r="B16" i="4"/>
  <c r="I10" i="3"/>
  <c r="N8" i="3"/>
  <c r="I8" i="3"/>
  <c r="I9" i="3"/>
  <c r="N9" i="3"/>
  <c r="N11" i="3"/>
  <c r="I11" i="3"/>
  <c r="M14" i="3"/>
  <c r="F13" i="3"/>
  <c r="H12" i="3"/>
  <c r="I12" i="3" s="1"/>
  <c r="K16" i="3"/>
  <c r="N12" i="3" l="1"/>
  <c r="K15" i="3"/>
  <c r="M15" i="3" s="1"/>
  <c r="M16" i="3"/>
  <c r="F14" i="3"/>
  <c r="H13" i="3"/>
  <c r="I13" i="3" s="1"/>
  <c r="N13" i="3"/>
  <c r="F15" i="3" l="1"/>
  <c r="H14" i="3"/>
  <c r="I14" i="3" s="1"/>
  <c r="N14" i="3"/>
  <c r="F16" i="3" l="1"/>
  <c r="H15" i="3"/>
  <c r="I15" i="3" s="1"/>
  <c r="N15" i="3"/>
  <c r="H16" i="3" l="1"/>
  <c r="I16" i="3" s="1"/>
  <c r="N16" i="3"/>
  <c r="N7" i="3" l="1"/>
</calcChain>
</file>

<file path=xl/sharedStrings.xml><?xml version="1.0" encoding="utf-8"?>
<sst xmlns="http://schemas.openxmlformats.org/spreadsheetml/2006/main" count="92" uniqueCount="87">
  <si>
    <t>Municipal Debt Capacity &amp; Repayment Planner (Indonesia)</t>
  </si>
  <si>
    <t>2025-08-10 16:40</t>
  </si>
  <si>
    <t>Input</t>
  </si>
  <si>
    <t>Value</t>
  </si>
  <si>
    <t>Notes</t>
  </si>
  <si>
    <t>Previous Year Revenue (audited)</t>
  </si>
  <si>
    <t>Total audited revenue (T-1). Used for 75% cap.</t>
  </si>
  <si>
    <t>Previous Year Operating Expenses</t>
  </si>
  <si>
    <t>Operating expenditure (T-1). Used to derive NOI.</t>
  </si>
  <si>
    <t>Projected Revenue Growth (annual, %)</t>
  </si>
  <si>
    <t>Applied to revenue from Year 1 onward.</t>
  </si>
  <si>
    <t>Projected O&amp;M Growth (annual, %)</t>
  </si>
  <si>
    <t>Applied to O&amp;M from Year 1 onward.</t>
  </si>
  <si>
    <t>Coupon / loan interest rate.</t>
  </si>
  <si>
    <t>Loan Term (years)</t>
  </si>
  <si>
    <t>Debt maturity in years.</t>
  </si>
  <si>
    <t>Payment Type</t>
  </si>
  <si>
    <t>Choose: Annuity or Equal Principal (EP). EP has higher early-year burdens.</t>
  </si>
  <si>
    <t>Reserve Ratio (as % of annual debt service)</t>
  </si>
  <si>
    <t>1.00 = allocate 100% of next year's debt service.</t>
  </si>
  <si>
    <t>Minimum DSCR (must be ≥ this)</t>
  </si>
  <si>
    <t>Regulatory minimum coverage.</t>
  </si>
  <si>
    <t>Initial Reserve Balance</t>
  </si>
  <si>
    <t>Opening cash in the reserve fund.</t>
  </si>
  <si>
    <t>Debt Capacity Rules &amp; Binding Constraint</t>
  </si>
  <si>
    <t>Assumptions read from Inputs sheet; do not overwrite formulas.</t>
  </si>
  <si>
    <t>Metric</t>
  </si>
  <si>
    <t>Net Operating Income (NOI) = PrevRevenue - PrevOpEx</t>
  </si>
  <si>
    <t>Available to service debt (Year 0 proxy).</t>
  </si>
  <si>
    <t>Max Debt from 75% Revenue Rule</t>
  </si>
  <si>
    <t>Law: Max outstanding/new debt ≤ 75% of previous revenue.</t>
  </si>
  <si>
    <t>Max Annual Debt Service from DSCR</t>
  </si>
  <si>
    <t>NOI / MinDSCR (≥ 2.5).</t>
  </si>
  <si>
    <t>Debt PV allowed by DSCR (Annuity)</t>
  </si>
  <si>
    <t>Present value given max annual DS and interest rate.</t>
  </si>
  <si>
    <t>Final Allowed Debt (lower of 75% rule &amp; DSCR-PV)</t>
  </si>
  <si>
    <t>Binding capacity used to size the loan/bond.</t>
  </si>
  <si>
    <t>Repayment Schedule, Budget Impact &amp; Reserves</t>
  </si>
  <si>
    <t>Yr</t>
  </si>
  <si>
    <t>Interest</t>
  </si>
  <si>
    <t>Principal</t>
  </si>
  <si>
    <t>Debt Service</t>
  </si>
  <si>
    <t>DSCR</t>
  </si>
  <si>
    <t>Reserve Target (Next Yr DS)</t>
  </si>
  <si>
    <t>Reserve Allocation</t>
  </si>
  <si>
    <t>Reserve Beg</t>
  </si>
  <si>
    <t>Reserve End</t>
  </si>
  <si>
    <t>Surplus / (Deficit) after DS &amp; Reserve</t>
  </si>
  <si>
    <t>Executive Summary</t>
  </si>
  <si>
    <t>Key capacity outputs</t>
  </si>
  <si>
    <t>Interpretation</t>
  </si>
  <si>
    <t>Allowed Debt (IDR)</t>
  </si>
  <si>
    <t>Binding debt capacity after applying both rules.</t>
  </si>
  <si>
    <t>First-Year Debt Service</t>
  </si>
  <si>
    <t>Annual DS in Year 1.</t>
  </si>
  <si>
    <t>First-Year DSCR</t>
  </si>
  <si>
    <t>Coverage in Year 1 must be ≥ Minimum DSCR.</t>
  </si>
  <si>
    <t>Reserve Allocation (Y1)</t>
  </si>
  <si>
    <t>Cash to set aside this year for next year's debt service.</t>
  </si>
  <si>
    <t>Surplus/(Deficit) after DS &amp; Reserve (Y1)</t>
  </si>
  <si>
    <t>Budget headroom after obligations.</t>
  </si>
  <si>
    <t>Compliance Checks</t>
  </si>
  <si>
    <t>Check</t>
  </si>
  <si>
    <t>Status</t>
  </si>
  <si>
    <t>Debt ≤ 75% of previous revenue?</t>
  </si>
  <si>
    <t>Legal threshold</t>
  </si>
  <si>
    <t>DSCR ≥ Minimum in all term years?</t>
  </si>
  <si>
    <t>Must be ≥ Inputs!B14</t>
  </si>
  <si>
    <t>How to use</t>
  </si>
  <si>
    <t>1) Go to Inputs and enter audited revenue &amp; opex, growth, rate, term, payment type, reserve ratio.
2) Check Capacity_Calc for binding capacity (75% rule vs DSCR-PV).
3) Review Schedule for year-by-year repayment, DSCR, and reserve needs.
4) Adjust inputs to maintain DSCR ≥ 2.5 and protect the APBD budget.</t>
  </si>
  <si>
    <t>Nett Financing</t>
  </si>
  <si>
    <t>Revenue and Nett Financing</t>
  </si>
  <si>
    <t>Created by: Endi Roswendi</t>
  </si>
  <si>
    <t>SILPA, Financing Receipts</t>
  </si>
  <si>
    <t>Interest Rate (annual, %) (Assumptiom)</t>
  </si>
  <si>
    <t>Equal Principal</t>
  </si>
  <si>
    <t>Debt Balance</t>
  </si>
  <si>
    <t>Total Expenses</t>
  </si>
  <si>
    <t>Surplus (Deficit)</t>
  </si>
  <si>
    <t xml:space="preserve"> - Operating Expenses</t>
  </si>
  <si>
    <t xml:space="preserve"> - Capital Expenses</t>
  </si>
  <si>
    <t xml:space="preserve"> - Financing Receipt</t>
  </si>
  <si>
    <t xml:space="preserve"> - Financing Expenditure</t>
  </si>
  <si>
    <t xml:space="preserve"> - Transfer Expenditure</t>
  </si>
  <si>
    <t xml:space="preserve"> - Local Revenue (PAD)</t>
  </si>
  <si>
    <t xml:space="preserve"> - Balancing Fund (Dana Perimbangan)</t>
  </si>
  <si>
    <t xml:space="preserve"> - Lain-lain Pendapatan yang 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</si>
</sst>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wrapText="1"/>
    </xf>
    <xf numFmtId="10" fontId="0" fillId="0" borderId="1" xfId="0" applyNumberFormat="1" applyBorder="1"/>
    <xf numFmtId="1" fontId="0" fillId="0" borderId="1" xfId="0" applyNumberFormat="1" applyBorder="1"/>
    <xf numFmtId="0" fontId="3" fillId="3" borderId="1" xfId="0" applyFont="1" applyFill="1" applyBorder="1"/>
    <xf numFmtId="0" fontId="0" fillId="0" borderId="2" xfId="0" applyBorder="1" applyAlignment="1">
      <alignment wrapText="1"/>
    </xf>
    <xf numFmtId="3" fontId="0" fillId="4" borderId="1" xfId="0" applyNumberFormat="1" applyFill="1" applyBorder="1"/>
    <xf numFmtId="0" fontId="0" fillId="4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6A6A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DSCR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DSCR</c:v>
          </c:tx>
          <c:marker>
            <c:symbol val="none"/>
          </c:marker>
          <c:cat>
            <c:numRef>
              <c:f>'Repayment Schedule'!$A$6:$A$16</c:f>
              <c:numCache>
                <c:formatCode>0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'Repayment Schedule'!$I$6:$I$16</c:f>
              <c:numCache>
                <c:formatCode>0.00%</c:formatCode>
                <c:ptCount val="11"/>
                <c:pt idx="1">
                  <c:v>7.4703786210665122</c:v>
                </c:pt>
                <c:pt idx="2">
                  <c:v>10.501656531009376</c:v>
                </c:pt>
                <c:pt idx="3">
                  <c:v>13.764231105816069</c:v>
                </c:pt>
                <c:pt idx="4">
                  <c:v>17.272059161810784</c:v>
                </c:pt>
                <c:pt idx="5">
                  <c:v>21.03986711562635</c:v>
                </c:pt>
                <c:pt idx="6">
                  <c:v>25.083191617004449</c:v>
                </c:pt>
                <c:pt idx="7">
                  <c:v>29.418422277819364</c:v>
                </c:pt>
                <c:pt idx="8">
                  <c:v>34.06284660407394</c:v>
                </c:pt>
                <c:pt idx="9">
                  <c:v>39.034697243012175</c:v>
                </c:pt>
                <c:pt idx="10">
                  <c:v>44.353201663159346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A-E644-9E8A-23F252EA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13</xdr:col>
      <xdr:colOff>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8"/>
  <sheetViews>
    <sheetView tabSelected="1" topLeftCell="A2" workbookViewId="0">
      <selection activeCell="D18" sqref="D18"/>
    </sheetView>
  </sheetViews>
  <sheetFormatPr baseColWidth="10" defaultColWidth="8.83203125" defaultRowHeight="15" x14ac:dyDescent="0.2"/>
  <cols>
    <col min="2" max="2" width="3.6640625" customWidth="1"/>
    <col min="3" max="3" width="34.33203125" customWidth="1"/>
    <col min="4" max="4" width="22.6640625" customWidth="1"/>
    <col min="5" max="5" width="65.6640625" customWidth="1"/>
  </cols>
  <sheetData>
    <row r="1" spans="2:5" ht="19" x14ac:dyDescent="0.25">
      <c r="B1" s="1" t="s">
        <v>0</v>
      </c>
      <c r="C1" s="1"/>
    </row>
    <row r="2" spans="2:5" x14ac:dyDescent="0.2">
      <c r="B2" s="2"/>
      <c r="C2" s="2"/>
    </row>
    <row r="3" spans="2:5" x14ac:dyDescent="0.2">
      <c r="B3" s="3" t="s">
        <v>72</v>
      </c>
      <c r="C3" s="3"/>
      <c r="D3" t="s">
        <v>1</v>
      </c>
    </row>
    <row r="5" spans="2:5" x14ac:dyDescent="0.2">
      <c r="B5" s="4" t="s">
        <v>2</v>
      </c>
      <c r="C5" s="4"/>
      <c r="D5" s="4" t="s">
        <v>3</v>
      </c>
      <c r="E5" s="4" t="s">
        <v>4</v>
      </c>
    </row>
    <row r="7" spans="2:5" ht="16" x14ac:dyDescent="0.2">
      <c r="B7" s="5" t="s">
        <v>5</v>
      </c>
      <c r="C7" s="5"/>
      <c r="D7" s="6">
        <f>SUM(D8:D10)</f>
        <v>34722800000000</v>
      </c>
      <c r="E7" s="7" t="s">
        <v>6</v>
      </c>
    </row>
    <row r="8" spans="2:5" x14ac:dyDescent="0.2">
      <c r="C8" s="5" t="s">
        <v>84</v>
      </c>
      <c r="D8" s="12">
        <v>34722800000000</v>
      </c>
      <c r="E8" s="7"/>
    </row>
    <row r="9" spans="2:5" x14ac:dyDescent="0.2">
      <c r="C9" s="5" t="s">
        <v>85</v>
      </c>
      <c r="D9" s="13">
        <v>0</v>
      </c>
      <c r="E9" s="7"/>
    </row>
    <row r="10" spans="2:5" x14ac:dyDescent="0.2">
      <c r="C10" s="5" t="s">
        <v>86</v>
      </c>
      <c r="D10" s="13">
        <v>0</v>
      </c>
      <c r="E10" s="7"/>
    </row>
    <row r="11" spans="2:5" x14ac:dyDescent="0.2">
      <c r="B11" s="5"/>
      <c r="C11" s="5"/>
      <c r="D11" s="6"/>
      <c r="E11" s="7"/>
    </row>
    <row r="12" spans="2:5" ht="16" x14ac:dyDescent="0.2">
      <c r="B12" s="5" t="s">
        <v>70</v>
      </c>
      <c r="C12" s="5"/>
      <c r="D12" s="6">
        <f>SUM(D13:D14)</f>
        <v>1540603000000</v>
      </c>
      <c r="E12" s="7" t="s">
        <v>73</v>
      </c>
    </row>
    <row r="13" spans="2:5" x14ac:dyDescent="0.2">
      <c r="C13" s="5" t="s">
        <v>81</v>
      </c>
      <c r="D13" s="12">
        <v>1540603000000</v>
      </c>
      <c r="E13" s="7"/>
    </row>
    <row r="14" spans="2:5" x14ac:dyDescent="0.2">
      <c r="C14" s="5" t="s">
        <v>82</v>
      </c>
      <c r="D14" s="13">
        <v>0</v>
      </c>
      <c r="E14" s="7"/>
    </row>
    <row r="15" spans="2:5" x14ac:dyDescent="0.2">
      <c r="B15" s="5"/>
      <c r="C15" s="5"/>
      <c r="D15" s="6"/>
      <c r="E15" s="7"/>
    </row>
    <row r="16" spans="2:5" x14ac:dyDescent="0.2">
      <c r="B16" s="5" t="s">
        <v>7</v>
      </c>
      <c r="C16" s="5"/>
      <c r="D16" s="6">
        <f>SUM(D17:D19)</f>
        <v>35000000000000</v>
      </c>
    </row>
    <row r="17" spans="2:5" ht="16" x14ac:dyDescent="0.2">
      <c r="C17" s="5" t="s">
        <v>79</v>
      </c>
      <c r="D17" s="12">
        <v>35000000000000</v>
      </c>
      <c r="E17" s="7" t="s">
        <v>8</v>
      </c>
    </row>
    <row r="18" spans="2:5" x14ac:dyDescent="0.2">
      <c r="C18" s="5" t="s">
        <v>80</v>
      </c>
      <c r="D18" s="13">
        <v>0</v>
      </c>
      <c r="E18" s="7"/>
    </row>
    <row r="19" spans="2:5" x14ac:dyDescent="0.2">
      <c r="C19" s="5" t="s">
        <v>83</v>
      </c>
      <c r="D19" s="13">
        <v>0</v>
      </c>
      <c r="E19" s="7"/>
    </row>
    <row r="20" spans="2:5" x14ac:dyDescent="0.2">
      <c r="B20" s="5"/>
      <c r="C20" s="5"/>
      <c r="D20" s="6"/>
      <c r="E20" s="7"/>
    </row>
    <row r="21" spans="2:5" ht="16" x14ac:dyDescent="0.2">
      <c r="B21" s="5" t="s">
        <v>9</v>
      </c>
      <c r="C21" s="5"/>
      <c r="D21" s="8">
        <v>0.05</v>
      </c>
      <c r="E21" s="7" t="s">
        <v>10</v>
      </c>
    </row>
    <row r="22" spans="2:5" ht="16" x14ac:dyDescent="0.2">
      <c r="B22" s="5" t="s">
        <v>11</v>
      </c>
      <c r="C22" s="5"/>
      <c r="D22" s="8">
        <v>0.03</v>
      </c>
      <c r="E22" s="7" t="s">
        <v>12</v>
      </c>
    </row>
    <row r="23" spans="2:5" ht="16" x14ac:dyDescent="0.2">
      <c r="B23" s="5" t="s">
        <v>74</v>
      </c>
      <c r="C23" s="5"/>
      <c r="D23" s="8">
        <v>0.08</v>
      </c>
      <c r="E23" s="7" t="s">
        <v>13</v>
      </c>
    </row>
    <row r="24" spans="2:5" ht="16" x14ac:dyDescent="0.2">
      <c r="B24" s="5" t="s">
        <v>14</v>
      </c>
      <c r="C24" s="5"/>
      <c r="D24" s="9">
        <v>10</v>
      </c>
      <c r="E24" s="7" t="s">
        <v>15</v>
      </c>
    </row>
    <row r="25" spans="2:5" ht="16" x14ac:dyDescent="0.2">
      <c r="B25" s="5" t="s">
        <v>16</v>
      </c>
      <c r="C25" s="5"/>
      <c r="D25" s="5" t="s">
        <v>75</v>
      </c>
      <c r="E25" s="7" t="s">
        <v>17</v>
      </c>
    </row>
    <row r="26" spans="2:5" ht="16" x14ac:dyDescent="0.2">
      <c r="B26" s="5" t="s">
        <v>18</v>
      </c>
      <c r="C26" s="5"/>
      <c r="D26" s="8">
        <v>1</v>
      </c>
      <c r="E26" s="7" t="s">
        <v>19</v>
      </c>
    </row>
    <row r="27" spans="2:5" ht="16" x14ac:dyDescent="0.2">
      <c r="B27" s="5" t="s">
        <v>20</v>
      </c>
      <c r="C27" s="5"/>
      <c r="D27" s="5">
        <v>2.5</v>
      </c>
      <c r="E27" s="7" t="s">
        <v>21</v>
      </c>
    </row>
    <row r="28" spans="2:5" ht="17" thickBot="1" x14ac:dyDescent="0.25">
      <c r="B28" s="5" t="s">
        <v>22</v>
      </c>
      <c r="C28" s="5"/>
      <c r="D28" s="9">
        <v>0</v>
      </c>
      <c r="E28" s="11" t="s">
        <v>23</v>
      </c>
    </row>
  </sheetData>
  <dataValidations disablePrompts="1" count="1">
    <dataValidation type="list" allowBlank="1" showInputMessage="1" showErrorMessage="1" sqref="D25" xr:uid="{00000000-0002-0000-0000-000000000000}">
      <formula1>"Annuity,Equal Principal"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40.6640625" customWidth="1"/>
    <col min="2" max="2" width="28.6640625" customWidth="1"/>
    <col min="3" max="3" width="65.6640625" customWidth="1"/>
  </cols>
  <sheetData>
    <row r="1" spans="1:3" ht="19" x14ac:dyDescent="0.25">
      <c r="A1" s="1" t="s">
        <v>24</v>
      </c>
    </row>
    <row r="3" spans="1:3" x14ac:dyDescent="0.2">
      <c r="A3" s="2" t="s">
        <v>25</v>
      </c>
    </row>
    <row r="5" spans="1:3" x14ac:dyDescent="0.2">
      <c r="A5" s="4" t="s">
        <v>26</v>
      </c>
      <c r="B5" s="4" t="s">
        <v>3</v>
      </c>
      <c r="C5" s="4" t="s">
        <v>4</v>
      </c>
    </row>
    <row r="7" spans="1:3" ht="16" x14ac:dyDescent="0.2">
      <c r="A7" s="5" t="s">
        <v>27</v>
      </c>
      <c r="B7" s="6">
        <f>SUM(Inputs!D8:D10)+Inputs!D13-Inputs!D14-SUM(Inputs!D17:D19)</f>
        <v>1263403000000</v>
      </c>
      <c r="C7" s="7" t="s">
        <v>28</v>
      </c>
    </row>
    <row r="8" spans="1:3" ht="16" x14ac:dyDescent="0.2">
      <c r="A8" s="5" t="s">
        <v>29</v>
      </c>
      <c r="B8" s="6">
        <f>0.75*Inputs!D7</f>
        <v>26042100000000</v>
      </c>
      <c r="C8" s="7" t="s">
        <v>30</v>
      </c>
    </row>
    <row r="9" spans="1:3" ht="16" x14ac:dyDescent="0.2">
      <c r="A9" s="5" t="s">
        <v>31</v>
      </c>
      <c r="B9" s="6">
        <f>(Inputs!D7+Inputs!D12-Inputs!D16)/Inputs!D27</f>
        <v>505361200000</v>
      </c>
      <c r="C9" s="7" t="s">
        <v>32</v>
      </c>
    </row>
    <row r="10" spans="1:3" ht="16" x14ac:dyDescent="0.2">
      <c r="A10" s="5" t="s">
        <v>33</v>
      </c>
      <c r="B10" s="6">
        <f>PV(Inputs!D23,Inputs!D24,-B9,0,0)</f>
        <v>3391014787866.728</v>
      </c>
      <c r="C10" s="7" t="s">
        <v>34</v>
      </c>
    </row>
    <row r="11" spans="1:3" ht="16" x14ac:dyDescent="0.2">
      <c r="A11" s="5" t="s">
        <v>35</v>
      </c>
      <c r="B11" s="6">
        <f>MIN(B8,B10)</f>
        <v>3391014787866.728</v>
      </c>
      <c r="C11" s="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baseColWidth="10" defaultColWidth="8.83203125" defaultRowHeight="15" x14ac:dyDescent="0.2"/>
  <cols>
    <col min="1" max="1" width="6.6640625" customWidth="1"/>
    <col min="2" max="5" width="17.6640625" customWidth="1"/>
    <col min="6" max="6" width="23" bestFit="1" customWidth="1"/>
    <col min="7" max="8" width="17.6640625" customWidth="1"/>
    <col min="9" max="9" width="20.6640625" customWidth="1"/>
    <col min="10" max="10" width="22.1640625" bestFit="1" customWidth="1"/>
    <col min="11" max="13" width="20.6640625" customWidth="1"/>
    <col min="14" max="14" width="29.5" bestFit="1" customWidth="1"/>
  </cols>
  <sheetData>
    <row r="1" spans="1:14" ht="19" x14ac:dyDescent="0.25">
      <c r="A1" s="1" t="s">
        <v>37</v>
      </c>
    </row>
    <row r="2" spans="1:14" x14ac:dyDescent="0.2">
      <c r="A2" s="2"/>
    </row>
    <row r="5" spans="1:14" x14ac:dyDescent="0.2">
      <c r="A5" s="4" t="s">
        <v>38</v>
      </c>
      <c r="B5" s="4" t="s">
        <v>76</v>
      </c>
      <c r="C5" s="4" t="s">
        <v>39</v>
      </c>
      <c r="D5" s="4" t="s">
        <v>40</v>
      </c>
      <c r="E5" s="4" t="s">
        <v>41</v>
      </c>
      <c r="F5" s="4" t="s">
        <v>71</v>
      </c>
      <c r="G5" s="4" t="s">
        <v>77</v>
      </c>
      <c r="H5" s="4" t="s">
        <v>78</v>
      </c>
      <c r="I5" s="4" t="s">
        <v>42</v>
      </c>
      <c r="J5" s="4" t="s">
        <v>43</v>
      </c>
      <c r="K5" s="4" t="s">
        <v>44</v>
      </c>
      <c r="L5" s="4" t="s">
        <v>45</v>
      </c>
      <c r="M5" s="4" t="s">
        <v>46</v>
      </c>
      <c r="N5" s="4" t="s">
        <v>47</v>
      </c>
    </row>
    <row r="7" spans="1:14" x14ac:dyDescent="0.2">
      <c r="A7" s="9">
        <f>1</f>
        <v>1</v>
      </c>
      <c r="B7" s="6">
        <f t="shared" ref="B7:B16" si="0">AllowedDebt</f>
        <v>3391014787866.728</v>
      </c>
      <c r="C7" s="6">
        <f>B7*Inputs!$D$23</f>
        <v>271281183029.33826</v>
      </c>
      <c r="D7" s="6">
        <f>B7/10</f>
        <v>339101478786.67279</v>
      </c>
      <c r="E7" s="6">
        <f>C7</f>
        <v>271281183029.33826</v>
      </c>
      <c r="F7" s="6">
        <f>(Inputs!$D$7+Inputs!$D$12)*(1+Inputs!$D$21)</f>
        <v>38076573150000</v>
      </c>
      <c r="G7" s="6">
        <f>Inputs!$D$16*(1+Inputs!$D$22)</f>
        <v>36050000000000</v>
      </c>
      <c r="H7" s="6">
        <f>F7-G7</f>
        <v>2026573150000</v>
      </c>
      <c r="I7" s="8">
        <f>IF(E7=0, "", H7/E7)</f>
        <v>7.4703786210665122</v>
      </c>
      <c r="J7" s="6">
        <f>IF(A7&lt;Inputs!$D$24, IF(Inputs!$D$25="Annuity", PMT(Inputs!$D$23, Inputs!$D$24, -AllowedDebt), C7+D7), 0)</f>
        <v>610382661816.01099</v>
      </c>
      <c r="K7" s="6">
        <f>MAX(J7-L7,0)*Inputs!$D$26</f>
        <v>610382661816.01099</v>
      </c>
      <c r="L7" s="6">
        <f>Inputs!$D$28</f>
        <v>0</v>
      </c>
      <c r="M7" s="6">
        <f>L7+K7</f>
        <v>610382661816.01099</v>
      </c>
      <c r="N7" s="6">
        <f>F7-G7-E7-K7</f>
        <v>1144909305154.6506</v>
      </c>
    </row>
    <row r="8" spans="1:14" x14ac:dyDescent="0.2">
      <c r="A8" s="9">
        <v>2</v>
      </c>
      <c r="B8" s="6">
        <f t="shared" si="0"/>
        <v>3391014787866.728</v>
      </c>
      <c r="C8" s="6">
        <f>B8*Inputs!$D$23</f>
        <v>271281183029.33826</v>
      </c>
      <c r="D8" s="6">
        <f t="shared" ref="D8:D16" si="1">B8/10</f>
        <v>339101478786.67279</v>
      </c>
      <c r="E8" s="6">
        <f t="shared" ref="E8:E16" si="2">C8</f>
        <v>271281183029.33826</v>
      </c>
      <c r="F8" s="6">
        <f>F7*(1+Inputs!$D$21)</f>
        <v>39980401807500</v>
      </c>
      <c r="G8" s="6">
        <f>G7*(1+Inputs!$D$22)</f>
        <v>37131500000000</v>
      </c>
      <c r="H8" s="6">
        <f t="shared" ref="H8:H16" si="3">F8-G8</f>
        <v>2848901807500</v>
      </c>
      <c r="I8" s="8">
        <f t="shared" ref="I8:I16" si="4">IF(E8=0, "", H8/E8)</f>
        <v>10.501656531009376</v>
      </c>
      <c r="J8" s="6">
        <f>IF(A8&lt;Inputs!$D$24, IF(Inputs!$D$25="Annuity", PMT(Inputs!$D$23, Inputs!$D$24, -AllowedDebt), C8+D8), 0)</f>
        <v>610382661816.01099</v>
      </c>
      <c r="K8" s="6">
        <f>MAX(J8-L8,0)*Inputs!$D$26</f>
        <v>610382661816.01099</v>
      </c>
      <c r="L8" s="6">
        <f>Inputs!$D$28</f>
        <v>0</v>
      </c>
      <c r="M8" s="6">
        <f t="shared" ref="M8:M16" si="5">L8+K8</f>
        <v>610382661816.01099</v>
      </c>
      <c r="N8" s="6">
        <f t="shared" ref="N8:N16" si="6">F8-G8-E8-K8</f>
        <v>1967237962654.6506</v>
      </c>
    </row>
    <row r="9" spans="1:14" x14ac:dyDescent="0.2">
      <c r="A9" s="9">
        <v>3</v>
      </c>
      <c r="B9" s="6">
        <f t="shared" si="0"/>
        <v>3391014787866.728</v>
      </c>
      <c r="C9" s="6">
        <f>B9*Inputs!$D$23</f>
        <v>271281183029.33826</v>
      </c>
      <c r="D9" s="6">
        <f t="shared" si="1"/>
        <v>339101478786.67279</v>
      </c>
      <c r="E9" s="6">
        <f t="shared" si="2"/>
        <v>271281183029.33826</v>
      </c>
      <c r="F9" s="6">
        <f>F8*(1+Inputs!$D$21)</f>
        <v>41979421897875</v>
      </c>
      <c r="G9" s="6">
        <f>G8*(1+Inputs!$D$22)</f>
        <v>38245445000000</v>
      </c>
      <c r="H9" s="6">
        <f t="shared" si="3"/>
        <v>3733976897875</v>
      </c>
      <c r="I9" s="8">
        <f t="shared" si="4"/>
        <v>13.764231105816069</v>
      </c>
      <c r="J9" s="6">
        <f>IF(A9&lt;Inputs!$D$24, IF(Inputs!$D$25="Annuity", PMT(Inputs!$D$23, Inputs!$D$24, -AllowedDebt), C9+D9), 0)</f>
        <v>610382661816.01099</v>
      </c>
      <c r="K9" s="6">
        <f>MAX(J9-L9,0)*Inputs!$D$26</f>
        <v>610382661816.01099</v>
      </c>
      <c r="L9" s="6">
        <f>Inputs!$D$28</f>
        <v>0</v>
      </c>
      <c r="M9" s="6">
        <f t="shared" si="5"/>
        <v>610382661816.01099</v>
      </c>
      <c r="N9" s="6">
        <f t="shared" si="6"/>
        <v>2852313053029.6504</v>
      </c>
    </row>
    <row r="10" spans="1:14" x14ac:dyDescent="0.2">
      <c r="A10" s="9">
        <v>4</v>
      </c>
      <c r="B10" s="6">
        <f t="shared" si="0"/>
        <v>3391014787866.728</v>
      </c>
      <c r="C10" s="6">
        <f>B10*Inputs!$D$23</f>
        <v>271281183029.33826</v>
      </c>
      <c r="D10" s="6">
        <f t="shared" si="1"/>
        <v>339101478786.67279</v>
      </c>
      <c r="E10" s="6">
        <f t="shared" si="2"/>
        <v>271281183029.33826</v>
      </c>
      <c r="F10" s="6">
        <f>F9*(1+Inputs!$D$21)</f>
        <v>44078392992768.75</v>
      </c>
      <c r="G10" s="6">
        <f>G9*(1+Inputs!$D$22)</f>
        <v>39392808350000</v>
      </c>
      <c r="H10" s="6">
        <f t="shared" si="3"/>
        <v>4685584642768.75</v>
      </c>
      <c r="I10" s="8">
        <f t="shared" si="4"/>
        <v>17.272059161810784</v>
      </c>
      <c r="J10" s="6">
        <f>IF(A10&lt;Inputs!$D$24, IF(Inputs!$D$25="Annuity", PMT(Inputs!$D$23, Inputs!$D$24, -AllowedDebt), C10+D10), 0)</f>
        <v>610382661816.01099</v>
      </c>
      <c r="K10" s="6">
        <f>MAX(J10-L10,0)*Inputs!$D$26</f>
        <v>610382661816.01099</v>
      </c>
      <c r="L10" s="6">
        <f>Inputs!$D$28</f>
        <v>0</v>
      </c>
      <c r="M10" s="6">
        <f t="shared" si="5"/>
        <v>610382661816.01099</v>
      </c>
      <c r="N10" s="6">
        <f t="shared" si="6"/>
        <v>3803920797923.4014</v>
      </c>
    </row>
    <row r="11" spans="1:14" x14ac:dyDescent="0.2">
      <c r="A11" s="9">
        <v>5</v>
      </c>
      <c r="B11" s="6">
        <f t="shared" si="0"/>
        <v>3391014787866.728</v>
      </c>
      <c r="C11" s="6">
        <f>B11*Inputs!$D$23</f>
        <v>271281183029.33826</v>
      </c>
      <c r="D11" s="6">
        <f t="shared" si="1"/>
        <v>339101478786.67279</v>
      </c>
      <c r="E11" s="6">
        <f t="shared" si="2"/>
        <v>271281183029.33826</v>
      </c>
      <c r="F11" s="6">
        <f>F10*(1+Inputs!$D$21)</f>
        <v>46282312642407.188</v>
      </c>
      <c r="G11" s="6">
        <f>G10*(1+Inputs!$D$22)</f>
        <v>40574592600500</v>
      </c>
      <c r="H11" s="6">
        <f t="shared" si="3"/>
        <v>5707720041907.1875</v>
      </c>
      <c r="I11" s="8">
        <f t="shared" si="4"/>
        <v>21.03986711562635</v>
      </c>
      <c r="J11" s="6">
        <f>IF(A11&lt;Inputs!$D$24, IF(Inputs!$D$25="Annuity", PMT(Inputs!$D$23, Inputs!$D$24, -AllowedDebt), C11+D11), 0)</f>
        <v>610382661816.01099</v>
      </c>
      <c r="K11" s="6">
        <f>MAX(J11-L11,0)*Inputs!$D$26</f>
        <v>610382661816.01099</v>
      </c>
      <c r="L11" s="6">
        <f>Inputs!$D$28</f>
        <v>0</v>
      </c>
      <c r="M11" s="6">
        <f t="shared" si="5"/>
        <v>610382661816.01099</v>
      </c>
      <c r="N11" s="6">
        <f t="shared" si="6"/>
        <v>4826056197061.8389</v>
      </c>
    </row>
    <row r="12" spans="1:14" x14ac:dyDescent="0.2">
      <c r="A12" s="9">
        <v>6</v>
      </c>
      <c r="B12" s="6">
        <f t="shared" si="0"/>
        <v>3391014787866.728</v>
      </c>
      <c r="C12" s="6">
        <f>B12*Inputs!$D$23</f>
        <v>271281183029.33826</v>
      </c>
      <c r="D12" s="6">
        <f t="shared" si="1"/>
        <v>339101478786.67279</v>
      </c>
      <c r="E12" s="6">
        <f t="shared" si="2"/>
        <v>271281183029.33826</v>
      </c>
      <c r="F12" s="6">
        <f>F11*(1+Inputs!$D$21)</f>
        <v>48596428274527.547</v>
      </c>
      <c r="G12" s="6">
        <f>G11*(1+Inputs!$D$22)</f>
        <v>41791830378515</v>
      </c>
      <c r="H12" s="6">
        <f t="shared" si="3"/>
        <v>6804597896012.5469</v>
      </c>
      <c r="I12" s="8">
        <f t="shared" si="4"/>
        <v>25.083191617004449</v>
      </c>
      <c r="J12" s="6">
        <f>IF(A12&lt;Inputs!$D$24, IF(Inputs!$D$25="Annuity", PMT(Inputs!$D$23, Inputs!$D$24, -AllowedDebt), C12+D12), 0)</f>
        <v>610382661816.01099</v>
      </c>
      <c r="K12" s="6">
        <f>MAX(J12-L12,0)*Inputs!$D$26</f>
        <v>610382661816.01099</v>
      </c>
      <c r="L12" s="6">
        <f>Inputs!$D$28</f>
        <v>0</v>
      </c>
      <c r="M12" s="6">
        <f t="shared" si="5"/>
        <v>610382661816.01099</v>
      </c>
      <c r="N12" s="6">
        <f t="shared" si="6"/>
        <v>5922934051167.1982</v>
      </c>
    </row>
    <row r="13" spans="1:14" x14ac:dyDescent="0.2">
      <c r="A13" s="9">
        <v>7</v>
      </c>
      <c r="B13" s="6">
        <f t="shared" si="0"/>
        <v>3391014787866.728</v>
      </c>
      <c r="C13" s="6">
        <f>B13*Inputs!$D$23</f>
        <v>271281183029.33826</v>
      </c>
      <c r="D13" s="6">
        <f t="shared" si="1"/>
        <v>339101478786.67279</v>
      </c>
      <c r="E13" s="6">
        <f t="shared" si="2"/>
        <v>271281183029.33826</v>
      </c>
      <c r="F13" s="6">
        <f>F12*(1+Inputs!$D$21)</f>
        <v>51026249688253.93</v>
      </c>
      <c r="G13" s="6">
        <f>G12*(1+Inputs!$D$22)</f>
        <v>43045585289870.453</v>
      </c>
      <c r="H13" s="6">
        <f t="shared" si="3"/>
        <v>7980664398383.4766</v>
      </c>
      <c r="I13" s="8">
        <f t="shared" si="4"/>
        <v>29.418422277819364</v>
      </c>
      <c r="J13" s="6">
        <f>IF(A13&lt;Inputs!$D$24, IF(Inputs!$D$25="Annuity", PMT(Inputs!$D$23, Inputs!$D$24, -AllowedDebt), C13+D13), 0)</f>
        <v>610382661816.01099</v>
      </c>
      <c r="K13" s="6">
        <f>MAX(J13-L13,0)*Inputs!$D$26</f>
        <v>610382661816.01099</v>
      </c>
      <c r="L13" s="6">
        <f>Inputs!$D$28</f>
        <v>0</v>
      </c>
      <c r="M13" s="6">
        <f t="shared" si="5"/>
        <v>610382661816.01099</v>
      </c>
      <c r="N13" s="6">
        <f t="shared" si="6"/>
        <v>7099000553538.1279</v>
      </c>
    </row>
    <row r="14" spans="1:14" x14ac:dyDescent="0.2">
      <c r="A14" s="9">
        <v>8</v>
      </c>
      <c r="B14" s="6">
        <f t="shared" si="0"/>
        <v>3391014787866.728</v>
      </c>
      <c r="C14" s="6">
        <f>B14*Inputs!$D$23</f>
        <v>271281183029.33826</v>
      </c>
      <c r="D14" s="6">
        <f t="shared" si="1"/>
        <v>339101478786.67279</v>
      </c>
      <c r="E14" s="6">
        <f t="shared" si="2"/>
        <v>271281183029.33826</v>
      </c>
      <c r="F14" s="6">
        <f>F13*(1+Inputs!$D$21)</f>
        <v>53577562172666.625</v>
      </c>
      <c r="G14" s="6">
        <f>G13*(1+Inputs!$D$22)</f>
        <v>44336952848566.57</v>
      </c>
      <c r="H14" s="6">
        <f t="shared" si="3"/>
        <v>9240609324100.0547</v>
      </c>
      <c r="I14" s="8">
        <f t="shared" si="4"/>
        <v>34.06284660407394</v>
      </c>
      <c r="J14" s="6">
        <f>IF(A14&lt;Inputs!$D$24, IF(Inputs!$D$25="Annuity", PMT(Inputs!$D$23, Inputs!$D$24, -AllowedDebt), C14+D14), 0)</f>
        <v>610382661816.01099</v>
      </c>
      <c r="K14" s="6">
        <f>MAX(J14-L14,0)*Inputs!$D$26</f>
        <v>610382661816.01099</v>
      </c>
      <c r="L14" s="6">
        <f>Inputs!$D$28</f>
        <v>0</v>
      </c>
      <c r="M14" s="6">
        <f t="shared" si="5"/>
        <v>610382661816.01099</v>
      </c>
      <c r="N14" s="6">
        <f t="shared" si="6"/>
        <v>8358945479254.7061</v>
      </c>
    </row>
    <row r="15" spans="1:14" x14ac:dyDescent="0.2">
      <c r="A15" s="9">
        <v>9</v>
      </c>
      <c r="B15" s="6">
        <f t="shared" si="0"/>
        <v>3391014787866.728</v>
      </c>
      <c r="C15" s="6">
        <f>B15*Inputs!$D$23</f>
        <v>271281183029.33826</v>
      </c>
      <c r="D15" s="6">
        <f t="shared" si="1"/>
        <v>339101478786.67279</v>
      </c>
      <c r="E15" s="6">
        <f t="shared" si="2"/>
        <v>271281183029.33826</v>
      </c>
      <c r="F15" s="6">
        <f>F14*(1+Inputs!$D$21)</f>
        <v>56256440281299.961</v>
      </c>
      <c r="G15" s="6">
        <f>G14*(1+Inputs!$D$22)</f>
        <v>45667061434023.57</v>
      </c>
      <c r="H15" s="6">
        <f t="shared" si="3"/>
        <v>10589378847276.391</v>
      </c>
      <c r="I15" s="8">
        <f t="shared" si="4"/>
        <v>39.034697243012175</v>
      </c>
      <c r="J15" s="6">
        <f>IF(A15&lt;Inputs!$D$24, IF(Inputs!$D$25="Annuity", PMT(Inputs!$D$23, Inputs!$D$24, -AllowedDebt), C15+D15), 0)</f>
        <v>610382661816.01099</v>
      </c>
      <c r="K15" s="6">
        <f>MAX(J15-L15,0)*Inputs!$D$26</f>
        <v>610382661816.01099</v>
      </c>
      <c r="L15" s="6">
        <f>Inputs!$D$28</f>
        <v>0</v>
      </c>
      <c r="M15" s="6">
        <f t="shared" si="5"/>
        <v>610382661816.01099</v>
      </c>
      <c r="N15" s="6">
        <f t="shared" si="6"/>
        <v>9707715002431.041</v>
      </c>
    </row>
    <row r="16" spans="1:14" x14ac:dyDescent="0.2">
      <c r="A16" s="9">
        <v>10</v>
      </c>
      <c r="B16" s="6">
        <f t="shared" si="0"/>
        <v>3391014787866.728</v>
      </c>
      <c r="C16" s="6">
        <f>B16*Inputs!$D$23</f>
        <v>271281183029.33826</v>
      </c>
      <c r="D16" s="6">
        <f t="shared" si="1"/>
        <v>339101478786.67279</v>
      </c>
      <c r="E16" s="6">
        <f t="shared" si="2"/>
        <v>271281183029.33826</v>
      </c>
      <c r="F16" s="6">
        <f>F15*(1+Inputs!$D$21)</f>
        <v>59069262295364.961</v>
      </c>
      <c r="G16" s="6">
        <f>G15*(1+Inputs!$D$22)</f>
        <v>47037073277044.281</v>
      </c>
      <c r="H16" s="6">
        <f t="shared" si="3"/>
        <v>12032189018320.68</v>
      </c>
      <c r="I16" s="8">
        <f t="shared" si="4"/>
        <v>44.353201663159346</v>
      </c>
      <c r="J16" s="6">
        <f>IF(A16&lt;Inputs!$D$24, IF(Inputs!$D$25="Annuity", PMT(Inputs!$D$23, Inputs!$D$24, -AllowedDebt), C16+D16), 0)</f>
        <v>0</v>
      </c>
      <c r="K16" s="6">
        <f>MAX(J16-L16,0)*Inputs!$D$26</f>
        <v>0</v>
      </c>
      <c r="L16" s="6">
        <f>Inputs!$D$28</f>
        <v>0</v>
      </c>
      <c r="M16" s="6">
        <f t="shared" si="5"/>
        <v>0</v>
      </c>
      <c r="N16" s="6">
        <f t="shared" si="6"/>
        <v>11760907835291.342</v>
      </c>
    </row>
  </sheetData>
  <conditionalFormatting sqref="M7:M16">
    <cfRule type="expression" dxfId="1" priority="63">
      <formula>$M6&lt;$J6</formula>
    </cfRule>
  </conditionalFormatting>
  <conditionalFormatting sqref="N7:N16">
    <cfRule type="cellIs" dxfId="0" priority="62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$A6&gt;Inputs!$D$23</xm:f>
            <x14:dxf>
              <font>
                <color rgb="FFA6A6A6"/>
              </font>
            </x14:dxf>
          </x14:cfRule>
          <xm:sqref>A7:N16</xm:sqref>
        </x14:conditionalFormatting>
        <x14:conditionalFormatting xmlns:xm="http://schemas.microsoft.com/office/excel/2006/main">
          <x14:cfRule type="cellIs" priority="61" operator="lessThan" id="{00000000-000E-0000-0200-00003D000000}">
            <xm:f>Inputs!$D$26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I7:I16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42.6640625" customWidth="1"/>
    <col min="2" max="2" width="28.6640625" customWidth="1"/>
    <col min="3" max="3" width="60.6640625" customWidth="1"/>
  </cols>
  <sheetData>
    <row r="1" spans="1:3" ht="19" x14ac:dyDescent="0.25">
      <c r="A1" s="1" t="s">
        <v>48</v>
      </c>
    </row>
    <row r="3" spans="1:3" x14ac:dyDescent="0.2">
      <c r="A3" s="3" t="s">
        <v>49</v>
      </c>
    </row>
    <row r="5" spans="1:3" x14ac:dyDescent="0.2">
      <c r="A5" s="4" t="s">
        <v>26</v>
      </c>
      <c r="B5" s="4" t="s">
        <v>3</v>
      </c>
      <c r="C5" s="4" t="s">
        <v>50</v>
      </c>
    </row>
    <row r="7" spans="1:3" ht="16" x14ac:dyDescent="0.2">
      <c r="A7" s="5" t="s">
        <v>51</v>
      </c>
      <c r="B7" s="6">
        <f>Capacity_Calc!$B$10</f>
        <v>3391014787866.728</v>
      </c>
      <c r="C7" s="7" t="s">
        <v>52</v>
      </c>
    </row>
    <row r="8" spans="1:3" ht="16" x14ac:dyDescent="0.2">
      <c r="A8" s="5" t="s">
        <v>53</v>
      </c>
      <c r="B8" s="6">
        <f>'Repayment Schedule'!$E$6</f>
        <v>0</v>
      </c>
      <c r="C8" s="7" t="s">
        <v>54</v>
      </c>
    </row>
    <row r="9" spans="1:3" ht="16" x14ac:dyDescent="0.2">
      <c r="A9" s="5" t="s">
        <v>55</v>
      </c>
      <c r="B9" s="8">
        <f>'Repayment Schedule'!$I$7</f>
        <v>7.4703786210665122</v>
      </c>
      <c r="C9" s="7" t="s">
        <v>56</v>
      </c>
    </row>
    <row r="10" spans="1:3" ht="16" x14ac:dyDescent="0.2">
      <c r="A10" s="5" t="s">
        <v>57</v>
      </c>
      <c r="B10" s="6">
        <f>'Repayment Schedule'!$K$6</f>
        <v>0</v>
      </c>
      <c r="C10" s="7" t="s">
        <v>58</v>
      </c>
    </row>
    <row r="11" spans="1:3" ht="16" x14ac:dyDescent="0.2">
      <c r="A11" s="5" t="s">
        <v>59</v>
      </c>
      <c r="B11" s="6">
        <f>'Repayment Schedule'!$N$6</f>
        <v>0</v>
      </c>
      <c r="C11" s="7" t="s">
        <v>60</v>
      </c>
    </row>
    <row r="13" spans="1:3" x14ac:dyDescent="0.2">
      <c r="A13" s="3" t="s">
        <v>61</v>
      </c>
    </row>
    <row r="14" spans="1:3" x14ac:dyDescent="0.2">
      <c r="A14" s="10" t="s">
        <v>62</v>
      </c>
      <c r="B14" s="10" t="s">
        <v>63</v>
      </c>
      <c r="C14" s="10" t="s">
        <v>4</v>
      </c>
    </row>
    <row r="15" spans="1:3" x14ac:dyDescent="0.2">
      <c r="A15" t="s">
        <v>64</v>
      </c>
      <c r="B15" t="str">
        <f>IF(Capacity_Calc!$B$10&lt;=Capacity_Calc!$B$8,"OK","Exceeds")</f>
        <v>OK</v>
      </c>
      <c r="C15" t="s">
        <v>65</v>
      </c>
    </row>
    <row r="16" spans="1:3" x14ac:dyDescent="0.2">
      <c r="A16" t="s">
        <v>66</v>
      </c>
      <c r="B16" t="str">
        <f ca="1">IFERROR(IF(MIN(OFFSET('Repayment Schedule'!$I$7,0,0,Inputs!$D$23,1))&gt;=Inputs!$D$26,"OK","Fail"),"Check")</f>
        <v>OK</v>
      </c>
      <c r="C16" t="s">
        <v>67</v>
      </c>
    </row>
    <row r="19" spans="1:1" x14ac:dyDescent="0.2">
      <c r="A19" s="3" t="s">
        <v>68</v>
      </c>
    </row>
    <row r="20" spans="1:1" ht="128" x14ac:dyDescent="0.2">
      <c r="A20" s="7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Inputs</vt:lpstr>
      <vt:lpstr>Capacity_Calc</vt:lpstr>
      <vt:lpstr>Repayment Schedule</vt:lpstr>
      <vt:lpstr>Summary</vt:lpstr>
      <vt:lpstr>AllowedDebt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Endi Roswendi</cp:lastModifiedBy>
  <dcterms:created xsi:type="dcterms:W3CDTF">2025-08-10T16:40:47Z</dcterms:created>
  <dcterms:modified xsi:type="dcterms:W3CDTF">2025-08-13T18:40:08Z</dcterms:modified>
</cp:coreProperties>
</file>