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9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0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1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3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15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16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17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18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19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20.xml" ContentType="application/vnd.openxmlformats-officedocument.drawing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21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22.xml" ContentType="application/vnd.openxmlformats-officedocument.drawing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23.xml" ContentType="application/vnd.openxmlformats-officedocument.drawing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24.xml" ContentType="application/vnd.openxmlformats-officedocument.drawing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25.xml" ContentType="application/vnd.openxmlformats-officedocument.drawing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drawings/drawing26.xml" ContentType="application/vnd.openxmlformats-officedocument.drawing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drawings/drawing27.xml" ContentType="application/vnd.openxmlformats-officedocument.drawing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drawings/drawing28.xml" ContentType="application/vnd.openxmlformats-officedocument.drawing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drawings/drawing29.xml" ContentType="application/vnd.openxmlformats-officedocument.drawing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lukas\Documents\diplomarbeit\"/>
    </mc:Choice>
  </mc:AlternateContent>
  <xr:revisionPtr revIDLastSave="0" documentId="13_ncr:1_{57313B32-8A97-43BE-AD13-CF79731327E5}" xr6:coauthVersionLast="47" xr6:coauthVersionMax="47" xr10:uidLastSave="{00000000-0000-0000-0000-000000000000}"/>
  <bookViews>
    <workbookView xWindow="-108" yWindow="-108" windowWidth="23256" windowHeight="12576" tabRatio="852" xr2:uid="{00000000-000D-0000-FFFF-FFFF00000000}"/>
  </bookViews>
  <sheets>
    <sheet name="AZE" sheetId="12" r:id="rId1"/>
    <sheet name="Wochenaufzeichnung" sheetId="41" r:id="rId2"/>
    <sheet name="Week 1" sheetId="10" r:id="rId3"/>
    <sheet name="Week 2" sheetId="13" r:id="rId4"/>
    <sheet name="Week 3" sheetId="4" r:id="rId5"/>
    <sheet name="Week 4" sheetId="14" r:id="rId6"/>
    <sheet name="Week 5" sheetId="15" r:id="rId7"/>
    <sheet name="Week 6" sheetId="16" r:id="rId8"/>
    <sheet name="Week 7" sheetId="17" r:id="rId9"/>
    <sheet name="Week 8" sheetId="18" r:id="rId10"/>
    <sheet name="Week 9" sheetId="19" r:id="rId11"/>
    <sheet name="Week 10" sheetId="20" r:id="rId12"/>
    <sheet name="Week 11" sheetId="21" r:id="rId13"/>
    <sheet name="Week 12" sheetId="22" r:id="rId14"/>
    <sheet name="Week 13" sheetId="23" r:id="rId15"/>
    <sheet name="Week 14" sheetId="24" r:id="rId16"/>
    <sheet name="Week 15" sheetId="25" r:id="rId17"/>
    <sheet name="Week 16" sheetId="26" r:id="rId18"/>
    <sheet name="Week 17" sheetId="27" r:id="rId19"/>
    <sheet name="Week 18" sheetId="30" r:id="rId20"/>
    <sheet name="Week 19" sheetId="28" r:id="rId21"/>
    <sheet name="Week 20" sheetId="35" r:id="rId22"/>
    <sheet name="Week 21" sheetId="36" r:id="rId23"/>
    <sheet name="Week 22" sheetId="37" r:id="rId24"/>
    <sheet name="Week 23" sheetId="38" r:id="rId25"/>
    <sheet name="Week 24" sheetId="39" r:id="rId26"/>
    <sheet name="Week 25" sheetId="40" r:id="rId27"/>
    <sheet name="Week 26" sheetId="42" r:id="rId28"/>
    <sheet name="Week 27" sheetId="43" r:id="rId29"/>
    <sheet name="Week 28" sheetId="44" r:id="rId30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44" l="1"/>
  <c r="B6" i="44"/>
  <c r="E198" i="12"/>
  <c r="E197" i="12"/>
  <c r="B14" i="44"/>
  <c r="E14" i="44" s="1"/>
  <c r="B12" i="44"/>
  <c r="E12" i="44" s="1"/>
  <c r="B13" i="44"/>
  <c r="E8" i="44"/>
  <c r="B7" i="44"/>
  <c r="D7" i="44" s="1"/>
  <c r="C6" i="44"/>
  <c r="E195" i="12"/>
  <c r="E196" i="12"/>
  <c r="E194" i="12"/>
  <c r="E16" i="44"/>
  <c r="E15" i="44"/>
  <c r="E13" i="44"/>
  <c r="C16" i="44"/>
  <c r="C15" i="44"/>
  <c r="C14" i="44"/>
  <c r="C13" i="44"/>
  <c r="C12" i="44"/>
  <c r="D8" i="44"/>
  <c r="C8" i="44"/>
  <c r="C7" i="44"/>
  <c r="B16" i="44"/>
  <c r="B15" i="44"/>
  <c r="D13" i="44"/>
  <c r="B14" i="43"/>
  <c r="B13" i="43"/>
  <c r="E13" i="43" s="1"/>
  <c r="B12" i="43"/>
  <c r="B8" i="43"/>
  <c r="B7" i="43"/>
  <c r="D7" i="43" s="1"/>
  <c r="B6" i="43"/>
  <c r="C6" i="43" s="1"/>
  <c r="E190" i="12"/>
  <c r="E191" i="12"/>
  <c r="E192" i="12"/>
  <c r="E189" i="12"/>
  <c r="E188" i="12"/>
  <c r="E187" i="12"/>
  <c r="E186" i="12"/>
  <c r="D14" i="43"/>
  <c r="E8" i="43"/>
  <c r="E16" i="43"/>
  <c r="E15" i="43"/>
  <c r="E12" i="43"/>
  <c r="E7" i="43"/>
  <c r="C16" i="43"/>
  <c r="C15" i="43"/>
  <c r="C14" i="43"/>
  <c r="C13" i="43"/>
  <c r="C12" i="43"/>
  <c r="B16" i="43"/>
  <c r="B15" i="43"/>
  <c r="E185" i="12"/>
  <c r="E184" i="12"/>
  <c r="B14" i="42"/>
  <c r="D14" i="42" s="1"/>
  <c r="B8" i="42"/>
  <c r="E182" i="12"/>
  <c r="B13" i="42"/>
  <c r="D13" i="42" s="1"/>
  <c r="B12" i="42"/>
  <c r="E12" i="42" s="1"/>
  <c r="B7" i="42"/>
  <c r="D7" i="42" s="1"/>
  <c r="B6" i="42"/>
  <c r="E180" i="12"/>
  <c r="E181" i="12"/>
  <c r="E179" i="12"/>
  <c r="D8" i="42"/>
  <c r="D6" i="42"/>
  <c r="E176" i="12"/>
  <c r="E175" i="12"/>
  <c r="E174" i="12"/>
  <c r="E173" i="12"/>
  <c r="I26" i="41"/>
  <c r="H26" i="41"/>
  <c r="G26" i="41"/>
  <c r="E26" i="41"/>
  <c r="E16" i="42"/>
  <c r="E15" i="42"/>
  <c r="E6" i="42"/>
  <c r="C6" i="42"/>
  <c r="C14" i="42"/>
  <c r="C13" i="42"/>
  <c r="C12" i="42"/>
  <c r="B16" i="42"/>
  <c r="C15" i="42"/>
  <c r="B15" i="42"/>
  <c r="B14" i="40"/>
  <c r="B8" i="40"/>
  <c r="E171" i="12"/>
  <c r="I4" i="41"/>
  <c r="I5" i="41"/>
  <c r="I6" i="41"/>
  <c r="I7" i="41"/>
  <c r="I8" i="41"/>
  <c r="I9" i="41"/>
  <c r="I10" i="41"/>
  <c r="I11" i="41"/>
  <c r="I12" i="41"/>
  <c r="I13" i="41"/>
  <c r="I14" i="41"/>
  <c r="I15" i="41"/>
  <c r="I16" i="41"/>
  <c r="I17" i="41"/>
  <c r="I18" i="41"/>
  <c r="I19" i="41"/>
  <c r="I20" i="41"/>
  <c r="I21" i="41"/>
  <c r="I22" i="41"/>
  <c r="I23" i="41"/>
  <c r="I24" i="41"/>
  <c r="I25" i="41"/>
  <c r="I3" i="41"/>
  <c r="H4" i="41"/>
  <c r="H5" i="41"/>
  <c r="H6" i="41"/>
  <c r="H7" i="41"/>
  <c r="H8" i="41"/>
  <c r="H9" i="41"/>
  <c r="H10" i="41"/>
  <c r="H11" i="41"/>
  <c r="H12" i="41"/>
  <c r="H13" i="41"/>
  <c r="H14" i="41"/>
  <c r="H15" i="41"/>
  <c r="H16" i="41"/>
  <c r="H17" i="41"/>
  <c r="H18" i="41"/>
  <c r="H19" i="41"/>
  <c r="H20" i="41"/>
  <c r="H21" i="41"/>
  <c r="H22" i="41"/>
  <c r="H23" i="41"/>
  <c r="H24" i="41"/>
  <c r="H25" i="41"/>
  <c r="H3" i="41"/>
  <c r="G3" i="41"/>
  <c r="G4" i="41"/>
  <c r="G5" i="41"/>
  <c r="G6" i="41"/>
  <c r="G7" i="41"/>
  <c r="G8" i="41"/>
  <c r="G9" i="41"/>
  <c r="G10" i="41"/>
  <c r="G11" i="41"/>
  <c r="G12" i="41"/>
  <c r="G13" i="41"/>
  <c r="G14" i="41"/>
  <c r="G15" i="41"/>
  <c r="G16" i="41"/>
  <c r="G17" i="41"/>
  <c r="G18" i="41"/>
  <c r="G19" i="41"/>
  <c r="G20" i="41"/>
  <c r="G21" i="41"/>
  <c r="G22" i="41"/>
  <c r="G23" i="41"/>
  <c r="G24" i="41"/>
  <c r="G25" i="41"/>
  <c r="G2" i="41"/>
  <c r="E3" i="41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" i="41"/>
  <c r="E14" i="40"/>
  <c r="B13" i="40"/>
  <c r="E13" i="40" s="1"/>
  <c r="B12" i="40"/>
  <c r="B7" i="40"/>
  <c r="B6" i="40"/>
  <c r="E169" i="12"/>
  <c r="E170" i="12"/>
  <c r="E168" i="12"/>
  <c r="E8" i="40"/>
  <c r="D7" i="40"/>
  <c r="E166" i="12"/>
  <c r="E167" i="12"/>
  <c r="E165" i="12"/>
  <c r="B6" i="38"/>
  <c r="E6" i="38"/>
  <c r="E12" i="40"/>
  <c r="E162" i="12"/>
  <c r="E163" i="12"/>
  <c r="E164" i="12"/>
  <c r="E16" i="40"/>
  <c r="E15" i="40"/>
  <c r="B16" i="40"/>
  <c r="D16" i="40" s="1"/>
  <c r="B15" i="40"/>
  <c r="C15" i="40"/>
  <c r="C14" i="40"/>
  <c r="C13" i="40"/>
  <c r="C12" i="40"/>
  <c r="D12" i="40"/>
  <c r="E161" i="12"/>
  <c r="E160" i="12"/>
  <c r="E159" i="12"/>
  <c r="B14" i="39"/>
  <c r="B13" i="39"/>
  <c r="E13" i="39" s="1"/>
  <c r="E156" i="12"/>
  <c r="E157" i="12"/>
  <c r="B8" i="39"/>
  <c r="C8" i="39" s="1"/>
  <c r="B6" i="39"/>
  <c r="D14" i="39"/>
  <c r="E16" i="39"/>
  <c r="E15" i="39"/>
  <c r="E14" i="39"/>
  <c r="E12" i="39"/>
  <c r="C15" i="39"/>
  <c r="C14" i="39"/>
  <c r="C13" i="39"/>
  <c r="C12" i="39"/>
  <c r="E7" i="39"/>
  <c r="D7" i="39"/>
  <c r="C7" i="39"/>
  <c r="D16" i="39"/>
  <c r="B15" i="39"/>
  <c r="D12" i="39"/>
  <c r="B12" i="39"/>
  <c r="B7" i="39"/>
  <c r="E155" i="12"/>
  <c r="E154" i="12"/>
  <c r="B13" i="38"/>
  <c r="E13" i="38" s="1"/>
  <c r="E152" i="12"/>
  <c r="E149" i="12"/>
  <c r="D6" i="38"/>
  <c r="D6" i="39" s="1"/>
  <c r="E16" i="38"/>
  <c r="E15" i="38"/>
  <c r="E14" i="38"/>
  <c r="E12" i="38"/>
  <c r="B14" i="38"/>
  <c r="B12" i="38"/>
  <c r="C15" i="38"/>
  <c r="C14" i="38"/>
  <c r="C13" i="38"/>
  <c r="C12" i="38"/>
  <c r="E8" i="38"/>
  <c r="E7" i="38"/>
  <c r="D8" i="38"/>
  <c r="D7" i="38"/>
  <c r="B8" i="38"/>
  <c r="B7" i="38"/>
  <c r="C7" i="38" s="1"/>
  <c r="C8" i="38"/>
  <c r="D16" i="38"/>
  <c r="B15" i="38"/>
  <c r="B14" i="37"/>
  <c r="B8" i="37"/>
  <c r="C8" i="37" s="1"/>
  <c r="E151" i="12"/>
  <c r="B6" i="37"/>
  <c r="E6" i="37" s="1"/>
  <c r="E148" i="12"/>
  <c r="B13" i="37"/>
  <c r="B12" i="37"/>
  <c r="B7" i="37"/>
  <c r="E7" i="37" s="1"/>
  <c r="E146" i="12"/>
  <c r="E147" i="12"/>
  <c r="E145" i="12"/>
  <c r="C7" i="37"/>
  <c r="D6" i="37"/>
  <c r="D12" i="37"/>
  <c r="E134" i="12"/>
  <c r="E135" i="12"/>
  <c r="E136" i="12"/>
  <c r="E137" i="12"/>
  <c r="E138" i="12"/>
  <c r="B14" i="36"/>
  <c r="E14" i="36" s="1"/>
  <c r="B8" i="36"/>
  <c r="E8" i="36" s="1"/>
  <c r="E142" i="12"/>
  <c r="E141" i="12"/>
  <c r="E139" i="12"/>
  <c r="C15" i="37"/>
  <c r="D15" i="37" s="1"/>
  <c r="C14" i="37"/>
  <c r="C13" i="37"/>
  <c r="C12" i="37"/>
  <c r="C15" i="36"/>
  <c r="D15" i="36" s="1"/>
  <c r="C14" i="36"/>
  <c r="C13" i="36"/>
  <c r="C12" i="36"/>
  <c r="E16" i="37"/>
  <c r="E15" i="37"/>
  <c r="E13" i="37"/>
  <c r="E12" i="36"/>
  <c r="D16" i="37"/>
  <c r="B15" i="37"/>
  <c r="B13" i="36"/>
  <c r="D13" i="36" s="1"/>
  <c r="B12" i="36"/>
  <c r="D12" i="36" s="1"/>
  <c r="C8" i="36"/>
  <c r="B7" i="36"/>
  <c r="D7" i="36" s="1"/>
  <c r="B6" i="36"/>
  <c r="E6" i="36"/>
  <c r="E16" i="36"/>
  <c r="E15" i="36"/>
  <c r="E7" i="36"/>
  <c r="D16" i="36"/>
  <c r="B15" i="36"/>
  <c r="B14" i="35"/>
  <c r="E14" i="35" s="1"/>
  <c r="B13" i="35"/>
  <c r="D13" i="35" s="1"/>
  <c r="B12" i="35"/>
  <c r="E12" i="35" s="1"/>
  <c r="B8" i="35"/>
  <c r="C8" i="35" s="1"/>
  <c r="B7" i="35"/>
  <c r="D7" i="35" s="1"/>
  <c r="B6" i="35"/>
  <c r="E6" i="35" s="1"/>
  <c r="E131" i="12"/>
  <c r="E132" i="12"/>
  <c r="E130" i="12"/>
  <c r="B15" i="35"/>
  <c r="D15" i="35"/>
  <c r="E15" i="35"/>
  <c r="E16" i="35"/>
  <c r="D16" i="35"/>
  <c r="C13" i="35"/>
  <c r="C12" i="35"/>
  <c r="E14" i="28"/>
  <c r="B15" i="28"/>
  <c r="D15" i="28" s="1"/>
  <c r="B13" i="28"/>
  <c r="B12" i="28"/>
  <c r="E12" i="28" s="1"/>
  <c r="B8" i="28"/>
  <c r="C8" i="28"/>
  <c r="B7" i="28"/>
  <c r="C7" i="28" s="1"/>
  <c r="B6" i="28"/>
  <c r="C6" i="28" s="1"/>
  <c r="E16" i="28"/>
  <c r="E15" i="28"/>
  <c r="E13" i="28"/>
  <c r="C13" i="28"/>
  <c r="E8" i="28"/>
  <c r="E7" i="28"/>
  <c r="E6" i="28"/>
  <c r="D8" i="28"/>
  <c r="D7" i="28"/>
  <c r="D6" i="28"/>
  <c r="D16" i="28"/>
  <c r="D14" i="28"/>
  <c r="C12" i="28"/>
  <c r="E16" i="30"/>
  <c r="E15" i="30"/>
  <c r="E14" i="30"/>
  <c r="E13" i="30"/>
  <c r="E12" i="30"/>
  <c r="C13" i="30"/>
  <c r="C12" i="30"/>
  <c r="D12" i="30" s="1"/>
  <c r="E8" i="30"/>
  <c r="E7" i="30"/>
  <c r="E6" i="30"/>
  <c r="C8" i="30"/>
  <c r="C7" i="30"/>
  <c r="C6" i="30"/>
  <c r="D8" i="30"/>
  <c r="D7" i="30"/>
  <c r="D6" i="30"/>
  <c r="B13" i="30"/>
  <c r="B6" i="30"/>
  <c r="D16" i="30"/>
  <c r="D15" i="30"/>
  <c r="D14" i="30"/>
  <c r="B12" i="30"/>
  <c r="E125" i="12"/>
  <c r="E126" i="12"/>
  <c r="E127" i="12"/>
  <c r="E128" i="12"/>
  <c r="E124" i="12"/>
  <c r="E119" i="12"/>
  <c r="E118" i="12"/>
  <c r="B13" i="27"/>
  <c r="D13" i="27" s="1"/>
  <c r="B6" i="27"/>
  <c r="C6" i="27" s="1"/>
  <c r="B12" i="27"/>
  <c r="E117" i="12"/>
  <c r="E16" i="27"/>
  <c r="E15" i="27"/>
  <c r="E14" i="27"/>
  <c r="E12" i="27"/>
  <c r="E8" i="27"/>
  <c r="E7" i="27"/>
  <c r="E6" i="27"/>
  <c r="D8" i="27"/>
  <c r="D7" i="27"/>
  <c r="D6" i="27"/>
  <c r="C8" i="27"/>
  <c r="C7" i="27"/>
  <c r="D16" i="27"/>
  <c r="D15" i="27"/>
  <c r="D14" i="27"/>
  <c r="E16" i="26"/>
  <c r="E15" i="26"/>
  <c r="E14" i="26"/>
  <c r="E13" i="26"/>
  <c r="E12" i="26"/>
  <c r="C15" i="26"/>
  <c r="C14" i="26"/>
  <c r="D14" i="26" s="1"/>
  <c r="C13" i="26"/>
  <c r="C12" i="26"/>
  <c r="D12" i="26" s="1"/>
  <c r="E8" i="26"/>
  <c r="E7" i="26"/>
  <c r="E6" i="26"/>
  <c r="D8" i="26"/>
  <c r="D7" i="26"/>
  <c r="D6" i="26"/>
  <c r="C8" i="26"/>
  <c r="C7" i="26"/>
  <c r="C6" i="26"/>
  <c r="D16" i="26"/>
  <c r="E116" i="12"/>
  <c r="B14" i="25"/>
  <c r="B15" i="25"/>
  <c r="E15" i="25" s="1"/>
  <c r="B13" i="25"/>
  <c r="B12" i="25"/>
  <c r="B8" i="25"/>
  <c r="D8" i="25" s="1"/>
  <c r="B7" i="25"/>
  <c r="B6" i="25"/>
  <c r="E111" i="12"/>
  <c r="E112" i="12"/>
  <c r="E113" i="12"/>
  <c r="E14" i="25"/>
  <c r="E13" i="25"/>
  <c r="E12" i="25"/>
  <c r="C8" i="25"/>
  <c r="D7" i="25"/>
  <c r="E108" i="12"/>
  <c r="E110" i="12"/>
  <c r="E109" i="12"/>
  <c r="C6" i="25"/>
  <c r="E16" i="25"/>
  <c r="C15" i="25"/>
  <c r="C14" i="25"/>
  <c r="C13" i="25"/>
  <c r="C12" i="25"/>
  <c r="E7" i="25"/>
  <c r="D6" i="25"/>
  <c r="D16" i="25"/>
  <c r="B13" i="24"/>
  <c r="E13" i="24" s="1"/>
  <c r="B15" i="24"/>
  <c r="E15" i="24" s="1"/>
  <c r="B8" i="24"/>
  <c r="C8" i="24" s="1"/>
  <c r="B6" i="24"/>
  <c r="E106" i="12"/>
  <c r="E105" i="12"/>
  <c r="B6" i="23"/>
  <c r="E6" i="23" s="1"/>
  <c r="E6" i="24" s="1"/>
  <c r="E16" i="24"/>
  <c r="E14" i="24"/>
  <c r="E12" i="24"/>
  <c r="B14" i="24"/>
  <c r="B12" i="24"/>
  <c r="E7" i="24"/>
  <c r="D8" i="24"/>
  <c r="D7" i="24"/>
  <c r="D6" i="24"/>
  <c r="C7" i="24"/>
  <c r="C6" i="24"/>
  <c r="B7" i="24"/>
  <c r="D16" i="24"/>
  <c r="C15" i="24"/>
  <c r="C14" i="24"/>
  <c r="C13" i="24"/>
  <c r="C12" i="24"/>
  <c r="D12" i="24" s="1"/>
  <c r="E16" i="23"/>
  <c r="E15" i="23"/>
  <c r="E14" i="23"/>
  <c r="E13" i="23"/>
  <c r="E12" i="23"/>
  <c r="E12" i="22"/>
  <c r="B14" i="23"/>
  <c r="B13" i="23"/>
  <c r="B12" i="23"/>
  <c r="B7" i="23"/>
  <c r="E7" i="23" s="1"/>
  <c r="B8" i="23"/>
  <c r="E8" i="23" s="1"/>
  <c r="C15" i="23"/>
  <c r="D15" i="23" s="1"/>
  <c r="C14" i="23"/>
  <c r="C13" i="23"/>
  <c r="C12" i="23"/>
  <c r="D8" i="23"/>
  <c r="D6" i="23"/>
  <c r="D16" i="23"/>
  <c r="B15" i="23"/>
  <c r="D12" i="23"/>
  <c r="E102" i="12"/>
  <c r="E103" i="12"/>
  <c r="E101" i="12"/>
  <c r="E97" i="12"/>
  <c r="E98" i="12"/>
  <c r="E96" i="12"/>
  <c r="E95" i="12"/>
  <c r="E94" i="12"/>
  <c r="B14" i="22"/>
  <c r="E14" i="22" s="1"/>
  <c r="B13" i="22"/>
  <c r="E13" i="22" s="1"/>
  <c r="B12" i="22"/>
  <c r="B8" i="22"/>
  <c r="E8" i="22" s="1"/>
  <c r="B7" i="22"/>
  <c r="D7" i="22" s="1"/>
  <c r="B6" i="22"/>
  <c r="D6" i="22" s="1"/>
  <c r="E16" i="22"/>
  <c r="E15" i="22"/>
  <c r="C15" i="22"/>
  <c r="C14" i="22"/>
  <c r="C13" i="22"/>
  <c r="C12" i="22"/>
  <c r="D8" i="22"/>
  <c r="C8" i="22"/>
  <c r="D16" i="22"/>
  <c r="D15" i="22"/>
  <c r="B15" i="22"/>
  <c r="E88" i="12"/>
  <c r="E89" i="12"/>
  <c r="E90" i="12"/>
  <c r="E91" i="12"/>
  <c r="E92" i="12"/>
  <c r="E87" i="12"/>
  <c r="B14" i="21"/>
  <c r="E14" i="21" s="1"/>
  <c r="B8" i="21"/>
  <c r="E8" i="21" s="1"/>
  <c r="E85" i="12"/>
  <c r="B6" i="21"/>
  <c r="E6" i="21" s="1"/>
  <c r="B13" i="21"/>
  <c r="E13" i="21" s="1"/>
  <c r="B12" i="21"/>
  <c r="D12" i="21" s="1"/>
  <c r="B7" i="21"/>
  <c r="C7" i="21" s="1"/>
  <c r="E83" i="12"/>
  <c r="E84" i="12"/>
  <c r="E82" i="12"/>
  <c r="E16" i="21"/>
  <c r="C15" i="21"/>
  <c r="C14" i="21"/>
  <c r="C13" i="21"/>
  <c r="C12" i="21"/>
  <c r="D16" i="21"/>
  <c r="E15" i="21"/>
  <c r="D15" i="21"/>
  <c r="B15" i="21"/>
  <c r="B14" i="20"/>
  <c r="D14" i="20" s="1"/>
  <c r="B8" i="20"/>
  <c r="E80" i="12"/>
  <c r="E8" i="20"/>
  <c r="B13" i="20"/>
  <c r="B12" i="20"/>
  <c r="E12" i="20" s="1"/>
  <c r="B6" i="20"/>
  <c r="B7" i="20"/>
  <c r="E79" i="12"/>
  <c r="E77" i="12"/>
  <c r="E78" i="12"/>
  <c r="E76" i="12"/>
  <c r="E13" i="20"/>
  <c r="C7" i="20"/>
  <c r="D6" i="20"/>
  <c r="E75" i="12"/>
  <c r="E74" i="12"/>
  <c r="C15" i="20"/>
  <c r="C14" i="20"/>
  <c r="C13" i="20"/>
  <c r="E15" i="20"/>
  <c r="E16" i="20"/>
  <c r="D12" i="20"/>
  <c r="D16" i="20"/>
  <c r="B15" i="20"/>
  <c r="B13" i="19"/>
  <c r="D13" i="19" s="1"/>
  <c r="B6" i="19"/>
  <c r="E16" i="18"/>
  <c r="E16" i="19" s="1"/>
  <c r="E15" i="19"/>
  <c r="E14" i="19"/>
  <c r="E12" i="19"/>
  <c r="C15" i="19"/>
  <c r="C14" i="19"/>
  <c r="C13" i="19"/>
  <c r="B14" i="19"/>
  <c r="E6" i="19"/>
  <c r="E7" i="19"/>
  <c r="E8" i="19"/>
  <c r="D7" i="19"/>
  <c r="D8" i="19"/>
  <c r="C8" i="19"/>
  <c r="C7" i="19"/>
  <c r="B8" i="19"/>
  <c r="D16" i="19"/>
  <c r="D15" i="19"/>
  <c r="B15" i="19"/>
  <c r="D14" i="19"/>
  <c r="D12" i="19"/>
  <c r="B7" i="19"/>
  <c r="B13" i="18"/>
  <c r="B6" i="18"/>
  <c r="C6" i="18" s="1"/>
  <c r="E13" i="18"/>
  <c r="B14" i="18"/>
  <c r="E14" i="18" s="1"/>
  <c r="E12" i="18"/>
  <c r="B8" i="18"/>
  <c r="C8" i="18" s="1"/>
  <c r="B7" i="18"/>
  <c r="E15" i="18"/>
  <c r="C15" i="18"/>
  <c r="C14" i="18"/>
  <c r="C13" i="18"/>
  <c r="C12" i="18"/>
  <c r="C7" i="18"/>
  <c r="E7" i="18"/>
  <c r="D16" i="18"/>
  <c r="B15" i="18"/>
  <c r="B14" i="17"/>
  <c r="D14" i="17" s="1"/>
  <c r="B13" i="17"/>
  <c r="E13" i="17" s="1"/>
  <c r="B12" i="17"/>
  <c r="E12" i="17" s="1"/>
  <c r="B8" i="17"/>
  <c r="E8" i="17" s="1"/>
  <c r="B7" i="17"/>
  <c r="C7" i="17" s="1"/>
  <c r="B6" i="17"/>
  <c r="D6" i="17" s="1"/>
  <c r="E16" i="17"/>
  <c r="E15" i="17"/>
  <c r="E14" i="17"/>
  <c r="C13" i="17"/>
  <c r="C12" i="17"/>
  <c r="B15" i="17"/>
  <c r="D16" i="17"/>
  <c r="D15" i="17"/>
  <c r="D13" i="17"/>
  <c r="B13" i="16"/>
  <c r="E13" i="16" s="1"/>
  <c r="B6" i="16"/>
  <c r="E6" i="16" s="1"/>
  <c r="D6" i="16"/>
  <c r="B12" i="16"/>
  <c r="B7" i="16"/>
  <c r="C7" i="16" s="1"/>
  <c r="E16" i="16"/>
  <c r="E15" i="16"/>
  <c r="E14" i="16"/>
  <c r="E12" i="16"/>
  <c r="C14" i="16"/>
  <c r="C13" i="16"/>
  <c r="E8" i="16"/>
  <c r="E7" i="16"/>
  <c r="D8" i="16"/>
  <c r="D7" i="16"/>
  <c r="C8" i="16"/>
  <c r="C6" i="16"/>
  <c r="B8" i="16"/>
  <c r="D16" i="16"/>
  <c r="D15" i="16"/>
  <c r="D14" i="16"/>
  <c r="D12" i="16"/>
  <c r="B14" i="15"/>
  <c r="D14" i="15" s="1"/>
  <c r="B13" i="15"/>
  <c r="D13" i="15" s="1"/>
  <c r="B8" i="15"/>
  <c r="C8" i="15" s="1"/>
  <c r="B6" i="15"/>
  <c r="E6" i="15"/>
  <c r="E12" i="15"/>
  <c r="E12" i="14"/>
  <c r="E16" i="15"/>
  <c r="E15" i="15"/>
  <c r="D7" i="15"/>
  <c r="E7" i="15"/>
  <c r="C7" i="15"/>
  <c r="D16" i="15"/>
  <c r="D15" i="15"/>
  <c r="D12" i="15"/>
  <c r="B6" i="14"/>
  <c r="C6" i="14" s="1"/>
  <c r="B8" i="14"/>
  <c r="E8" i="14" s="1"/>
  <c r="D12" i="14"/>
  <c r="E14" i="14"/>
  <c r="B7" i="14"/>
  <c r="E16" i="14"/>
  <c r="E15" i="14"/>
  <c r="E13" i="14"/>
  <c r="E7" i="14"/>
  <c r="E6" i="14"/>
  <c r="E7" i="4"/>
  <c r="E8" i="4"/>
  <c r="E6" i="4"/>
  <c r="E7" i="13"/>
  <c r="E8" i="13"/>
  <c r="E6" i="13"/>
  <c r="D6" i="4"/>
  <c r="D7" i="14"/>
  <c r="C7" i="14"/>
  <c r="D16" i="14"/>
  <c r="D15" i="14"/>
  <c r="D13" i="14"/>
  <c r="E27" i="12"/>
  <c r="E13" i="4"/>
  <c r="E14" i="4"/>
  <c r="E15" i="4"/>
  <c r="E16" i="4"/>
  <c r="E12" i="4"/>
  <c r="E12" i="13"/>
  <c r="E12" i="10"/>
  <c r="E15" i="13"/>
  <c r="E13" i="13"/>
  <c r="E14" i="13"/>
  <c r="D12" i="4"/>
  <c r="C8" i="4"/>
  <c r="C7" i="4"/>
  <c r="C6" i="4"/>
  <c r="D16" i="4"/>
  <c r="D15" i="4"/>
  <c r="D14" i="4"/>
  <c r="D13" i="4"/>
  <c r="D7" i="13"/>
  <c r="D7" i="4" s="1"/>
  <c r="D8" i="13"/>
  <c r="D8" i="4" s="1"/>
  <c r="D6" i="13"/>
  <c r="C7" i="13"/>
  <c r="C8" i="13"/>
  <c r="C6" i="13"/>
  <c r="E11" i="12"/>
  <c r="E16" i="13"/>
  <c r="D13" i="13"/>
  <c r="D14" i="13"/>
  <c r="D15" i="13"/>
  <c r="D16" i="13"/>
  <c r="D12" i="13"/>
  <c r="E13" i="10"/>
  <c r="E14" i="10"/>
  <c r="E15" i="10"/>
  <c r="E16" i="10"/>
  <c r="D13" i="10"/>
  <c r="D14" i="10"/>
  <c r="D15" i="10"/>
  <c r="D16" i="10"/>
  <c r="D12" i="10"/>
  <c r="C7" i="10"/>
  <c r="C8" i="10"/>
  <c r="C6" i="10"/>
  <c r="E8" i="12"/>
  <c r="E9" i="12"/>
  <c r="E12" i="12"/>
  <c r="E13" i="12"/>
  <c r="E14" i="12"/>
  <c r="E15" i="12"/>
  <c r="E16" i="12"/>
  <c r="E17" i="12"/>
  <c r="E19" i="12"/>
  <c r="E20" i="12"/>
  <c r="E21" i="12"/>
  <c r="E22" i="12"/>
  <c r="E23" i="12"/>
  <c r="E24" i="12"/>
  <c r="E25" i="12"/>
  <c r="E26" i="12"/>
  <c r="E28" i="12"/>
  <c r="E6" i="12"/>
  <c r="E7" i="12"/>
  <c r="E5" i="12"/>
  <c r="E7" i="44" l="1"/>
  <c r="E6" i="44"/>
  <c r="D6" i="44"/>
  <c r="D15" i="44"/>
  <c r="D12" i="44"/>
  <c r="D14" i="44"/>
  <c r="D16" i="44"/>
  <c r="C7" i="43"/>
  <c r="D6" i="43"/>
  <c r="E14" i="43"/>
  <c r="C8" i="43"/>
  <c r="D8" i="43"/>
  <c r="E6" i="43"/>
  <c r="D12" i="43"/>
  <c r="D16" i="43"/>
  <c r="D15" i="43"/>
  <c r="D13" i="43"/>
  <c r="E14" i="42"/>
  <c r="D12" i="42"/>
  <c r="E13" i="42"/>
  <c r="E8" i="42"/>
  <c r="C8" i="42"/>
  <c r="E7" i="42"/>
  <c r="C7" i="42"/>
  <c r="D15" i="42"/>
  <c r="D16" i="42"/>
  <c r="E7" i="40"/>
  <c r="C7" i="40"/>
  <c r="E6" i="39"/>
  <c r="E6" i="40" s="1"/>
  <c r="D8" i="40"/>
  <c r="D6" i="40"/>
  <c r="D15" i="40"/>
  <c r="D13" i="40"/>
  <c r="C8" i="40"/>
  <c r="C6" i="40"/>
  <c r="D14" i="40"/>
  <c r="E8" i="39"/>
  <c r="D8" i="39"/>
  <c r="C6" i="39"/>
  <c r="D13" i="39"/>
  <c r="D15" i="39"/>
  <c r="D13" i="38"/>
  <c r="C6" i="38"/>
  <c r="D15" i="38"/>
  <c r="D12" i="38"/>
  <c r="D14" i="38"/>
  <c r="C6" i="37"/>
  <c r="E14" i="37"/>
  <c r="E8" i="37"/>
  <c r="D7" i="37"/>
  <c r="D8" i="36"/>
  <c r="D8" i="37" s="1"/>
  <c r="E12" i="37"/>
  <c r="D14" i="37"/>
  <c r="D13" i="37"/>
  <c r="E13" i="36"/>
  <c r="C7" i="36"/>
  <c r="C6" i="36"/>
  <c r="D6" i="36"/>
  <c r="D14" i="36"/>
  <c r="D14" i="35"/>
  <c r="E13" i="35"/>
  <c r="E8" i="35"/>
  <c r="D8" i="35"/>
  <c r="E7" i="35"/>
  <c r="C7" i="35"/>
  <c r="D6" i="35"/>
  <c r="C6" i="35"/>
  <c r="D12" i="35"/>
  <c r="D13" i="28"/>
  <c r="D12" i="28"/>
  <c r="D13" i="30"/>
  <c r="E13" i="27"/>
  <c r="D12" i="27"/>
  <c r="D13" i="26"/>
  <c r="D15" i="26"/>
  <c r="E8" i="25"/>
  <c r="C7" i="25"/>
  <c r="E6" i="25"/>
  <c r="D15" i="25"/>
  <c r="D13" i="25"/>
  <c r="D12" i="25"/>
  <c r="D14" i="25"/>
  <c r="E8" i="24"/>
  <c r="C6" i="23"/>
  <c r="D14" i="24"/>
  <c r="D13" i="24"/>
  <c r="D15" i="24"/>
  <c r="D14" i="23"/>
  <c r="D13" i="23"/>
  <c r="C7" i="23"/>
  <c r="D7" i="23"/>
  <c r="C8" i="23"/>
  <c r="D12" i="22"/>
  <c r="C7" i="22"/>
  <c r="E7" i="22"/>
  <c r="E6" i="22"/>
  <c r="C6" i="22"/>
  <c r="D14" i="22"/>
  <c r="D13" i="22"/>
  <c r="D14" i="21"/>
  <c r="E12" i="21"/>
  <c r="C8" i="21"/>
  <c r="D8" i="21"/>
  <c r="D7" i="21"/>
  <c r="C6" i="21"/>
  <c r="D6" i="21"/>
  <c r="E7" i="21"/>
  <c r="D13" i="21"/>
  <c r="D8" i="20"/>
  <c r="C8" i="20"/>
  <c r="E14" i="20"/>
  <c r="E7" i="20"/>
  <c r="D7" i="20"/>
  <c r="E6" i="20"/>
  <c r="C6" i="20"/>
  <c r="D13" i="20"/>
  <c r="D15" i="20"/>
  <c r="E13" i="19"/>
  <c r="D6" i="19"/>
  <c r="C6" i="19"/>
  <c r="D8" i="18"/>
  <c r="E8" i="18"/>
  <c r="E6" i="18"/>
  <c r="D13" i="18"/>
  <c r="D7" i="18"/>
  <c r="D6" i="18"/>
  <c r="D14" i="18"/>
  <c r="D12" i="18"/>
  <c r="D15" i="18"/>
  <c r="D8" i="17"/>
  <c r="C8" i="17"/>
  <c r="D7" i="17"/>
  <c r="E7" i="17"/>
  <c r="E6" i="17"/>
  <c r="C6" i="17"/>
  <c r="D12" i="17"/>
  <c r="D13" i="16"/>
  <c r="E14" i="15"/>
  <c r="E13" i="15"/>
  <c r="E8" i="15"/>
  <c r="D8" i="15"/>
  <c r="C6" i="15"/>
  <c r="D6" i="15"/>
  <c r="D6" i="14"/>
  <c r="D14" i="14"/>
  <c r="D8" i="14"/>
  <c r="C8" i="14"/>
</calcChain>
</file>

<file path=xl/sharedStrings.xml><?xml version="1.0" encoding="utf-8"?>
<sst xmlns="http://schemas.openxmlformats.org/spreadsheetml/2006/main" count="1384" uniqueCount="339">
  <si>
    <t>Datum</t>
  </si>
  <si>
    <t>04.09.2023 - 10.09.2023</t>
  </si>
  <si>
    <t>Gruppe</t>
  </si>
  <si>
    <t>SumoBots</t>
  </si>
  <si>
    <t>Zeiterfassung</t>
  </si>
  <si>
    <t>AP1</t>
  </si>
  <si>
    <t>AP2</t>
  </si>
  <si>
    <t>AP3</t>
  </si>
  <si>
    <t>Stunden geleistet</t>
  </si>
  <si>
    <t>Stunden offen</t>
  </si>
  <si>
    <t>Fortschritt [%]</t>
  </si>
  <si>
    <t>Planung der Konstruktion</t>
  </si>
  <si>
    <t>Planung der HW</t>
  </si>
  <si>
    <t>Planung der SW</t>
  </si>
  <si>
    <t>-</t>
  </si>
  <si>
    <t>Controller Trigger testen</t>
  </si>
  <si>
    <t>alten Code untersuchen</t>
  </si>
  <si>
    <t>11.09.2023 - 17.09.2023</t>
  </si>
  <si>
    <t>Roboterschaltplan untersuchen</t>
  </si>
  <si>
    <t>Arduino mit Trigger testen</t>
  </si>
  <si>
    <t>PCB fertig routen</t>
  </si>
  <si>
    <t>PCB angefangen, SMD-Bauteile aus Werkstätte geholt</t>
  </si>
  <si>
    <t>AP4</t>
  </si>
  <si>
    <t>AP5</t>
  </si>
  <si>
    <t>Bearbeitung der DA_DB</t>
  </si>
  <si>
    <t xml:space="preserve">Zeit </t>
  </si>
  <si>
    <t>Tätigkeit</t>
  </si>
  <si>
    <t>Arbeitspaket</t>
  </si>
  <si>
    <t>Schüler</t>
  </si>
  <si>
    <t>Lucut</t>
  </si>
  <si>
    <t>Eismann</t>
  </si>
  <si>
    <t>Zickler</t>
  </si>
  <si>
    <t>Next Step</t>
  </si>
  <si>
    <t>von</t>
  </si>
  <si>
    <t>bis</t>
  </si>
  <si>
    <t xml:space="preserve">Week 1     </t>
  </si>
  <si>
    <t xml:space="preserve"> 04.09.2023 - 10.09.2023</t>
  </si>
  <si>
    <t>Inhaltsverzeichnis erstellt</t>
  </si>
  <si>
    <t>Week 2</t>
  </si>
  <si>
    <t>Leseprobe schreiben</t>
  </si>
  <si>
    <t>Projekt- u. Milestoneplan erstellt</t>
  </si>
  <si>
    <t>PSP, OSP erstellen</t>
  </si>
  <si>
    <t xml:space="preserve">DA bearbeiten u. einreichen </t>
  </si>
  <si>
    <t>Stunden</t>
  </si>
  <si>
    <t>Vorwoche</t>
  </si>
  <si>
    <t>Delta zur Vorwoche</t>
  </si>
  <si>
    <t xml:space="preserve">Summe </t>
  </si>
  <si>
    <t xml:space="preserve">Controller Trigger modifiziert </t>
  </si>
  <si>
    <t>erste 3D-Modelle designen</t>
  </si>
  <si>
    <t>Week 3</t>
  </si>
  <si>
    <t>alten Code untersucht u. dokumentiert</t>
  </si>
  <si>
    <t>18.09.2023 - 24.09.2023</t>
  </si>
  <si>
    <t>Milestones erstellt</t>
  </si>
  <si>
    <t>Seitenteile 3D-modellierte</t>
  </si>
  <si>
    <t>erste Kapitel dokumentieren</t>
  </si>
  <si>
    <t>Modelle überprüfen</t>
  </si>
  <si>
    <t>PCB bestellen</t>
  </si>
  <si>
    <t>Week 4</t>
  </si>
  <si>
    <t>25.09.2023 - 30.09.2023</t>
  </si>
  <si>
    <t>Roboter PCB bearbeitet</t>
  </si>
  <si>
    <t>Roboter PCB fertiggestellt u. bestellt</t>
  </si>
  <si>
    <t>Dokumentation</t>
  </si>
  <si>
    <t>Platine bestücken</t>
  </si>
  <si>
    <t xml:space="preserve">Ersatz für Trigger konstruieren </t>
  </si>
  <si>
    <t>Trigger gemessen mit Testschaltung</t>
  </si>
  <si>
    <t xml:space="preserve">Testaufbau </t>
  </si>
  <si>
    <t>ICP Testen</t>
  </si>
  <si>
    <t>September</t>
  </si>
  <si>
    <t>AZE überarbeitet, PSP erstellt</t>
  </si>
  <si>
    <t>Planung des Controllers (PCB-Design)</t>
  </si>
  <si>
    <t>Modifikation des 3D-Druckers (Z-Achse)</t>
  </si>
  <si>
    <t>mit Schaltplan beginnen</t>
  </si>
  <si>
    <t>Testprints starten</t>
  </si>
  <si>
    <t>Stunden gesamt</t>
  </si>
  <si>
    <t>Controller PCB</t>
  </si>
  <si>
    <t>Roboter PCB bestücken</t>
  </si>
  <si>
    <t>Trigger modelliert</t>
  </si>
  <si>
    <t>Trigger ausdrucken</t>
  </si>
  <si>
    <t>µController getestet</t>
  </si>
  <si>
    <t>Roboter PCB testen</t>
  </si>
  <si>
    <t>Oktober</t>
  </si>
  <si>
    <t>Week 5</t>
  </si>
  <si>
    <t>02.10.2023 - 08.10.2023</t>
  </si>
  <si>
    <t>Roboter Platine bestückt u. getestet</t>
  </si>
  <si>
    <t>Roboter Platine getestet</t>
  </si>
  <si>
    <t>Fehlersuche</t>
  </si>
  <si>
    <t>Fehler von PCB ausgebessert</t>
  </si>
  <si>
    <t>3V3 Wandler testen</t>
  </si>
  <si>
    <t>Fehlersuche externer Oszillator</t>
  </si>
  <si>
    <t>Roboter PCB über ICSP programmiert</t>
  </si>
  <si>
    <t>Bootloader über ICSP geladen</t>
  </si>
  <si>
    <t>PCB verbessert, Quarz gemessen</t>
  </si>
  <si>
    <t>Sensoren recherchieren</t>
  </si>
  <si>
    <t>Testcodes programmieren</t>
  </si>
  <si>
    <t>Roboter PCB angefangen</t>
  </si>
  <si>
    <t>Gyroscope programmiert und getestet</t>
  </si>
  <si>
    <t xml:space="preserve">Gyroscope, Motorshield einfügen </t>
  </si>
  <si>
    <t>weitere Sensoren programmieren</t>
  </si>
  <si>
    <t>Week 6</t>
  </si>
  <si>
    <t>09.10.2023 - 15.10.2023</t>
  </si>
  <si>
    <t>Fehlersuche bei Roboter PCB</t>
  </si>
  <si>
    <t>Debugging Funkmodul</t>
  </si>
  <si>
    <t xml:space="preserve">Motorhalterung modelliert </t>
  </si>
  <si>
    <t>Roboter PCBV2 weiterentwickeln</t>
  </si>
  <si>
    <t>Seitenteile modellieren</t>
  </si>
  <si>
    <t>Week 7</t>
  </si>
  <si>
    <t>16.10.2023 - 22.10.2023</t>
  </si>
  <si>
    <t xml:space="preserve">Grantchart erstellen, Dokumentation </t>
  </si>
  <si>
    <t>Recherche, Dokumentation</t>
  </si>
  <si>
    <t>Seitenteile 3D-modelliert</t>
  </si>
  <si>
    <t>fertigstellen</t>
  </si>
  <si>
    <t>3D-Drucker Reparatur, 3D-modelliert</t>
  </si>
  <si>
    <t>Funkmodul mit Logic A. messen</t>
  </si>
  <si>
    <t>neue Motorhalterung printen</t>
  </si>
  <si>
    <t>Fehlersuche Funkmodul</t>
  </si>
  <si>
    <t>Week 8</t>
  </si>
  <si>
    <t>23.10.2023 - 29.10.2023</t>
  </si>
  <si>
    <t>SPI Bus messen</t>
  </si>
  <si>
    <t>Fehlersuche Roboter PCB, Recherche</t>
  </si>
  <si>
    <t>Roboter PCB programmieren</t>
  </si>
  <si>
    <t>Receiver untersuchen</t>
  </si>
  <si>
    <t>Week 9</t>
  </si>
  <si>
    <t>30.10.2023 - 31.10.2023</t>
  </si>
  <si>
    <t>Test SPI-Bus des Funkmoduls</t>
  </si>
  <si>
    <t>Code umschreiben</t>
  </si>
  <si>
    <t>November</t>
  </si>
  <si>
    <t>01.11.2023 - 05.11.2023</t>
  </si>
  <si>
    <t>Aufbau ohne Logik-Pegel-Wandler</t>
  </si>
  <si>
    <t>Fehlersuche des PCBs</t>
  </si>
  <si>
    <t>Week 10</t>
  </si>
  <si>
    <t>06.11.2023 - 12.11.2023</t>
  </si>
  <si>
    <t>Funkmodul auf Steckbrett aufbauen</t>
  </si>
  <si>
    <t>Funkmodul an Arduino UNO verbunden</t>
  </si>
  <si>
    <t>Funkmodul mit UNO programmiert</t>
  </si>
  <si>
    <t>3D-modelliert und Druck gestartet</t>
  </si>
  <si>
    <t>C an Funkmodul u. MISO neugelötet</t>
  </si>
  <si>
    <t>C an Funkmodul löten u. SPI fixen</t>
  </si>
  <si>
    <t>fertige Seitenwände überprüfen</t>
  </si>
  <si>
    <t>neues PCB gelötet</t>
  </si>
  <si>
    <t>Debugging, Verbindung hergestellt</t>
  </si>
  <si>
    <t xml:space="preserve">3D-modelling, Drucker repariert </t>
  </si>
  <si>
    <t>Arduino mit Joystick Motor steuern</t>
  </si>
  <si>
    <t>neue Controller-Platine erstellen</t>
  </si>
  <si>
    <t>neuen Druck starten (Montag)</t>
  </si>
  <si>
    <t>Platine in Betriebnahme vorbereitet</t>
  </si>
  <si>
    <t>Motorsteuerung programmiert</t>
  </si>
  <si>
    <t>Controller erstellen</t>
  </si>
  <si>
    <t>Triggerfunktion programmieren</t>
  </si>
  <si>
    <t>Week 11</t>
  </si>
  <si>
    <t>13.11.2023 - 19.11.2023</t>
  </si>
  <si>
    <t>Roboter mit PCB_V1.00 betrieben</t>
  </si>
  <si>
    <t>Seitenteile ausgebessert u. gedruckt</t>
  </si>
  <si>
    <t>Robotercode mit Poti-ansteuerung programmiert</t>
  </si>
  <si>
    <t>Controller PCB weiterentwicklung</t>
  </si>
  <si>
    <t>Code an neuen Trigger anpassen</t>
  </si>
  <si>
    <t>Trigger-mechanismus</t>
  </si>
  <si>
    <t>Dokumentation u. Recherche</t>
  </si>
  <si>
    <t>Test mit Raspberry Pi</t>
  </si>
  <si>
    <t>Week 12</t>
  </si>
  <si>
    <t>20.11.2023 - 26.11.2023</t>
  </si>
  <si>
    <t xml:space="preserve">3D-modelliert </t>
  </si>
  <si>
    <t>3D-modelliert</t>
  </si>
  <si>
    <t>Controller Trigger fertiggestellt</t>
  </si>
  <si>
    <t>Pi-Verbindung mit Funkmodul getestet</t>
  </si>
  <si>
    <t>Raspi Pi aufsetzen u. einrichten</t>
  </si>
  <si>
    <t xml:space="preserve">Controller Trigger getestet </t>
  </si>
  <si>
    <t>Modelle fertigstellen</t>
  </si>
  <si>
    <t xml:space="preserve">Trigger fertigstellen </t>
  </si>
  <si>
    <t>Verbindung mit Arduino testen</t>
  </si>
  <si>
    <t>Modelle nächste Woche drucken</t>
  </si>
  <si>
    <t>PCB Controller fertigstellen</t>
  </si>
  <si>
    <t>Umstieg auf Arduino Webserver</t>
  </si>
  <si>
    <t>Week 13</t>
  </si>
  <si>
    <t>27.11.2023 - 30.11.2023</t>
  </si>
  <si>
    <t>Verbindung von Roboter zu Raspi</t>
  </si>
  <si>
    <t>Verbindung mit ESP32 testen</t>
  </si>
  <si>
    <t>Dezember</t>
  </si>
  <si>
    <t>01.12.2023 - 03.12.2023</t>
  </si>
  <si>
    <t>3D-Modell verbessert und geprintet</t>
  </si>
  <si>
    <t>Druck kontrollieren und Verbessern</t>
  </si>
  <si>
    <t>Verbindung von Roboter zu ESP32</t>
  </si>
  <si>
    <t>Arduino mit Wlanmodul testen</t>
  </si>
  <si>
    <t>Controller PCB weiterentwickeln</t>
  </si>
  <si>
    <t>3D-Drucker Reparatur</t>
  </si>
  <si>
    <t xml:space="preserve">Debugging </t>
  </si>
  <si>
    <t>Controller PCB fertigstellen</t>
  </si>
  <si>
    <t>neuen Print starten</t>
  </si>
  <si>
    <t>Verbindung sicherstellen (Debug)</t>
  </si>
  <si>
    <t>Week 14</t>
  </si>
  <si>
    <t>04.12.2023 - 10.12.2023</t>
  </si>
  <si>
    <t>27.11.2023 - 03.12.2023</t>
  </si>
  <si>
    <t>Recherche zu SPI-Bus, Hardwarekomponente</t>
  </si>
  <si>
    <t>Roboter PCB REV B anfangen</t>
  </si>
  <si>
    <t>Bearbeitung des Projektlibre file</t>
  </si>
  <si>
    <t>Week 15</t>
  </si>
  <si>
    <t>11.12.2023 - 17.12.2023</t>
  </si>
  <si>
    <t>Dokumentation, Zahnrad beim 3D-Drucker getauscht u. gedruckt</t>
  </si>
  <si>
    <t>Verbindung zwischen Controller Roboter u. Raspi hergestellt</t>
  </si>
  <si>
    <t>Modelle skizzieren und erstellen</t>
  </si>
  <si>
    <t>Roboter Rev B weiterarbeiten</t>
  </si>
  <si>
    <t>Sensoren programmieren</t>
  </si>
  <si>
    <t>Funkmodule auf Interferenzen getestet</t>
  </si>
  <si>
    <t xml:space="preserve">Recherche des Funkmoduls </t>
  </si>
  <si>
    <t>AP2/AP3</t>
  </si>
  <si>
    <t>Recherche zur Konstruktionideen</t>
  </si>
  <si>
    <t>Week 16</t>
  </si>
  <si>
    <t>18.12.2023 - 24.12.2023</t>
  </si>
  <si>
    <t>Week 17</t>
  </si>
  <si>
    <t>25.12.2023 - 31.12.2023</t>
  </si>
  <si>
    <t>Farbsensor hinzufügen, PCB erstellen und Pin-connection prüfen</t>
  </si>
  <si>
    <t>Roboter RevB Schaltplan weiterentwickelt, Gyroscope u. OLED Display getestet u. hinzugefügt, Footprint für Vibrationssensor selbst erstellt</t>
  </si>
  <si>
    <t xml:space="preserve">Schaltplan fertiggestellt (Farbsensor, Scheinwerfer, Bremslicht), richtige Footprints erstellt, neue Pindokumentation, PCB angefangen </t>
  </si>
  <si>
    <t>PCB fertigstellen (routen, DRC ohne Warnings)</t>
  </si>
  <si>
    <t>PCB fertiggestellt</t>
  </si>
  <si>
    <t>Infrarotsensoren hinzugefügt, M3-Bohrlöcher mit Masseverbindung eingebunden</t>
  </si>
  <si>
    <t>Week 18</t>
  </si>
  <si>
    <t>Week 19</t>
  </si>
  <si>
    <t>01.01.2024 - 07.01.2024</t>
  </si>
  <si>
    <t>08.01.2024 - 14.01.2024</t>
  </si>
  <si>
    <t>Recherche, Dokumentation, Planung der erreichbaren Ziele in den nächsten Monaten</t>
  </si>
  <si>
    <t>Diagramm mit Sensordaten programmiert</t>
  </si>
  <si>
    <t>AP2/AP4</t>
  </si>
  <si>
    <t>3D-Modellieren</t>
  </si>
  <si>
    <t>Server mit Raspi aufsetzen</t>
  </si>
  <si>
    <t>µC debuggen</t>
  </si>
  <si>
    <t>Week 20</t>
  </si>
  <si>
    <t>RevB bestückt, Inbetriebnahme, Fehlersuche (SPI-Pins)</t>
  </si>
  <si>
    <t>RevB Inbetriebnahme, Kommunikation hergestellt</t>
  </si>
  <si>
    <t>RevB Sensoren implementieren</t>
  </si>
  <si>
    <t>Server aufsetzen</t>
  </si>
  <si>
    <t>Week 21</t>
  </si>
  <si>
    <t>15.01.2024 - 21.01.2024</t>
  </si>
  <si>
    <t>22.01.2024 - 28.10.2024</t>
  </si>
  <si>
    <t>22.01.2024 - 28.01.2024</t>
  </si>
  <si>
    <t>29.01.2024 - 04.02.2024</t>
  </si>
  <si>
    <t>RevB testen</t>
  </si>
  <si>
    <t>RevB testen, Dokumentation</t>
  </si>
  <si>
    <t>Server aufsetzen, Sensordaten empfange und senden können</t>
  </si>
  <si>
    <t>Rev B mit Sensoren testen</t>
  </si>
  <si>
    <t>Kommunikation ausbauen</t>
  </si>
  <si>
    <t>Jänner</t>
  </si>
  <si>
    <t>Servercode bearbeitet</t>
  </si>
  <si>
    <t>Feinjustierungen</t>
  </si>
  <si>
    <t>Week 22</t>
  </si>
  <si>
    <t>3D-modellieren</t>
  </si>
  <si>
    <t>Website weiterprogrammieren</t>
  </si>
  <si>
    <t>3D-Druck starten</t>
  </si>
  <si>
    <t>29.01.2024 - 31.01.2024</t>
  </si>
  <si>
    <t>Februar</t>
  </si>
  <si>
    <t>01.02.2024 - 04.02.2024</t>
  </si>
  <si>
    <t>Seitenteile modelliert</t>
  </si>
  <si>
    <t>Druck nach den Ferien starten</t>
  </si>
  <si>
    <t>Controller Schaltung weiterentwickelt</t>
  </si>
  <si>
    <t>auf Fertigstellung der Software warten</t>
  </si>
  <si>
    <t>Week 23</t>
  </si>
  <si>
    <t>05.02.2024 - 11.02.2024</t>
  </si>
  <si>
    <t>Recherche u. Dokumentation</t>
  </si>
  <si>
    <t>Debugging</t>
  </si>
  <si>
    <t>Sensor auf Platine gelötet, neuer RC-TP für den Controller Trigger dimensioniert, Controller Prototyp aufgebaut, µController Pins neugelötet</t>
  </si>
  <si>
    <t>Verbindung zwischen Prototyp Controller und Roboter hergestellt, Debugging</t>
  </si>
  <si>
    <t>9V to 5V Spannungswandler aus der Werkstätte besorgen, Controller PCB weiterentwickeln</t>
  </si>
  <si>
    <t>Verbindung zwischen allen drei Komponenten herstellen</t>
  </si>
  <si>
    <t>Week 24</t>
  </si>
  <si>
    <t>12.02.2024 - 18.02.2024</t>
  </si>
  <si>
    <t>Controller weiterentwickelt, PM-Dokumentation</t>
  </si>
  <si>
    <t>Fertigstellung des Controllers</t>
  </si>
  <si>
    <t>Code optimieren</t>
  </si>
  <si>
    <t>Week 25</t>
  </si>
  <si>
    <t>19.02.2024 - 25.02.2024</t>
  </si>
  <si>
    <t>Prof. Goge das PCB-Layout geben</t>
  </si>
  <si>
    <t>Controller PCB fertiggestellt</t>
  </si>
  <si>
    <t>Server umstellen, Gyroskop programmiert</t>
  </si>
  <si>
    <t xml:space="preserve">Debugging der Sensordaten, Webserver überarbeiten </t>
  </si>
  <si>
    <t xml:space="preserve">Roboter fertigstellen </t>
  </si>
  <si>
    <t>Server-Bug behoben, Gyroskop-Werte richtig lesen u. senden</t>
  </si>
  <si>
    <t>Dokumentation, abwarten bis Goge wieder da ist (Montag, 19.02)</t>
  </si>
  <si>
    <t>mit der Dokumentation starten</t>
  </si>
  <si>
    <t>Dokumentation vom Server, Farbsensor korrekt einlesen</t>
  </si>
  <si>
    <t>Werkstätte über 2-Layer PCB informiert (Prof. Deaconu), Controller-Schaltplan verbessert</t>
  </si>
  <si>
    <t>Dokumentation, Controller-PCB bearbeiten</t>
  </si>
  <si>
    <t>3D-Druck gestartet und Modell bearbeitet</t>
  </si>
  <si>
    <t>Servercode umgeschrieben</t>
  </si>
  <si>
    <t>kommende Woche in der Werkstätte ätzen</t>
  </si>
  <si>
    <t>Roboter aufbauen</t>
  </si>
  <si>
    <t>LUC [Stunden]</t>
  </si>
  <si>
    <t>EIS [Stunden]</t>
  </si>
  <si>
    <t>ZIC [Stunden]</t>
  </si>
  <si>
    <t>Week ##</t>
  </si>
  <si>
    <t>∑EIS</t>
  </si>
  <si>
    <t>∑ZIC</t>
  </si>
  <si>
    <t xml:space="preserve">∑LUC </t>
  </si>
  <si>
    <t>Serverbug behoben</t>
  </si>
  <si>
    <t>In der Schule mit Roboter testen</t>
  </si>
  <si>
    <t>Week 26</t>
  </si>
  <si>
    <t>26.02.2024 - 03.03.2024</t>
  </si>
  <si>
    <t>1. Semester</t>
  </si>
  <si>
    <t>2. Semester</t>
  </si>
  <si>
    <t>26.02.2024 - 29.02.2024</t>
  </si>
  <si>
    <t>PCB bei Prof. Helfer ätzen lassen, lebensnotwendige Gespräche mit Wayßmaier</t>
  </si>
  <si>
    <t>Server "neu"-aufgesetzt mit geringeren Delay -&gt; 10 Fps Graph</t>
  </si>
  <si>
    <t>Do 29.02 zur Werkstätte gehen, optional: Wayßmaier ausweichen</t>
  </si>
  <si>
    <t>System mit Controller-PCB testen</t>
  </si>
  <si>
    <t>Ätzen einer doppelseitigen Platine, welcher in KiCAD erstellt wurde</t>
  </si>
  <si>
    <t>(mit Lucut)</t>
  </si>
  <si>
    <t>neuer Versuch am Freitag</t>
  </si>
  <si>
    <t>März</t>
  </si>
  <si>
    <t>Week 27</t>
  </si>
  <si>
    <t>01.03.2024 - 03.03.2024</t>
  </si>
  <si>
    <t>KiCAD-Projekt in der Werkstätte abgegeben, Dokumentation</t>
  </si>
  <si>
    <t>Roboterteile 3D-modellieren</t>
  </si>
  <si>
    <t>Raspberry Pi Zero in Betrieb genommen</t>
  </si>
  <si>
    <t>Montag/Dienstag PCB aus der Werkstätte holen</t>
  </si>
  <si>
    <t>Montag 3D-drucken</t>
  </si>
  <si>
    <t>Mit ESP32-CAM testen</t>
  </si>
  <si>
    <t>Server konfiguriert,  Webserver Fron-End bearbeitet</t>
  </si>
  <si>
    <t>Raspi Zero erfolgreich in Betrieb nehmen</t>
  </si>
  <si>
    <t>04.03.2024 - 10.03.2024</t>
  </si>
  <si>
    <t>fertige Inbetriebnahme des Controllers</t>
  </si>
  <si>
    <t>Test mit Controller-PCB</t>
  </si>
  <si>
    <t>Inbetriebnahme des Raspi Zero</t>
  </si>
  <si>
    <t xml:space="preserve">Controller PCB: Bestückung und Fehlersuche </t>
  </si>
  <si>
    <t>neuen 7805 in Schaltung implementieren</t>
  </si>
  <si>
    <t xml:space="preserve">Controller Setup </t>
  </si>
  <si>
    <t>mit PCB testen</t>
  </si>
  <si>
    <t>Controller PCB: Fehlersuche, erste Inbetriebnahme</t>
  </si>
  <si>
    <t>Debugging, Steuerung mit fertigem Controller testen</t>
  </si>
  <si>
    <t>erste Versuche mit ESP32, Verbindung mit Controller herstellen</t>
  </si>
  <si>
    <t>Controller mit Joystick, Trigger, etc. fertigbestücken</t>
  </si>
  <si>
    <t>Druck gestartet</t>
  </si>
  <si>
    <t>mit neuer Platine fertigstellen</t>
  </si>
  <si>
    <t>neue Platine bestücken</t>
  </si>
  <si>
    <t>Gehäuse zusammenbauen</t>
  </si>
  <si>
    <t>Verbindung mit allen geteset</t>
  </si>
  <si>
    <t>PCB fehlersuche, PCB überarbeitet</t>
  </si>
  <si>
    <t>Week 28</t>
  </si>
  <si>
    <t>11.03.2024 - 17.03.2024</t>
  </si>
  <si>
    <t>Implementierung des Screens</t>
  </si>
  <si>
    <t>Raspi Zero im Netzwerk hinzugefügt</t>
  </si>
  <si>
    <t>Raspberry Pi 3 als Router aufsetzen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</si>
</sst>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h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20" fontId="0" fillId="0" borderId="1" xfId="0" applyNumberFormat="1" applyBorder="1" applyAlignment="1">
      <alignment horizontal="left"/>
    </xf>
    <xf numFmtId="20" fontId="0" fillId="4" borderId="1" xfId="0" applyNumberFormat="1" applyFill="1" applyBorder="1" applyAlignment="1">
      <alignment horizontal="left"/>
    </xf>
    <xf numFmtId="0" fontId="1" fillId="2" borderId="5" xfId="0" applyFont="1" applyFill="1" applyBorder="1"/>
    <xf numFmtId="0" fontId="1" fillId="3" borderId="2" xfId="0" applyFont="1" applyFill="1" applyBorder="1"/>
    <xf numFmtId="0" fontId="1" fillId="3" borderId="6" xfId="0" applyFont="1" applyFill="1" applyBorder="1"/>
    <xf numFmtId="14" fontId="0" fillId="5" borderId="1" xfId="0" applyNumberFormat="1" applyFill="1" applyBorder="1" applyAlignment="1">
      <alignment horizontal="left"/>
    </xf>
    <xf numFmtId="20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1" fillId="3" borderId="3" xfId="0" applyFont="1" applyFill="1" applyBorder="1" applyAlignment="1">
      <alignment horizontal="right"/>
    </xf>
    <xf numFmtId="0" fontId="0" fillId="3" borderId="6" xfId="0" applyFill="1" applyBorder="1" applyAlignment="1">
      <alignment horizontal="left"/>
    </xf>
    <xf numFmtId="20" fontId="0" fillId="3" borderId="6" xfId="0" applyNumberForma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20" fontId="1" fillId="3" borderId="6" xfId="0" applyNumberFormat="1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4" borderId="1" xfId="0" applyFill="1" applyBorder="1"/>
    <xf numFmtId="0" fontId="0" fillId="5" borderId="1" xfId="0" applyFill="1" applyBorder="1" applyAlignment="1">
      <alignment horizontal="left" wrapText="1"/>
    </xf>
    <xf numFmtId="14" fontId="0" fillId="6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20" fontId="0" fillId="6" borderId="1" xfId="0" applyNumberFormat="1" applyFill="1" applyBorder="1" applyAlignment="1">
      <alignment horizontal="left"/>
    </xf>
    <xf numFmtId="0" fontId="0" fillId="6" borderId="1" xfId="0" applyFill="1" applyBorder="1"/>
    <xf numFmtId="0" fontId="1" fillId="2" borderId="7" xfId="0" applyFont="1" applyFill="1" applyBorder="1"/>
    <xf numFmtId="0" fontId="1" fillId="2" borderId="4" xfId="0" applyFont="1" applyFill="1" applyBorder="1"/>
    <xf numFmtId="0" fontId="1" fillId="2" borderId="8" xfId="0" applyFont="1" applyFill="1" applyBorder="1"/>
    <xf numFmtId="14" fontId="0" fillId="0" borderId="1" xfId="0" applyNumberFormat="1" applyBorder="1"/>
    <xf numFmtId="20" fontId="0" fillId="0" borderId="1" xfId="0" applyNumberFormat="1" applyBorder="1"/>
    <xf numFmtId="14" fontId="0" fillId="5" borderId="1" xfId="0" applyNumberFormat="1" applyFill="1" applyBorder="1"/>
    <xf numFmtId="20" fontId="0" fillId="5" borderId="1" xfId="0" applyNumberFormat="1" applyFill="1" applyBorder="1"/>
    <xf numFmtId="0" fontId="0" fillId="3" borderId="6" xfId="0" applyFill="1" applyBorder="1"/>
    <xf numFmtId="14" fontId="0" fillId="4" borderId="1" xfId="0" applyNumberFormat="1" applyFill="1" applyBorder="1"/>
    <xf numFmtId="20" fontId="0" fillId="4" borderId="1" xfId="0" applyNumberFormat="1" applyFill="1" applyBorder="1"/>
    <xf numFmtId="0" fontId="0" fillId="2" borderId="6" xfId="0" applyFill="1" applyBorder="1"/>
    <xf numFmtId="0" fontId="1" fillId="2" borderId="3" xfId="0" applyFont="1" applyFill="1" applyBorder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0" fillId="0" borderId="1" xfId="0" applyBorder="1" applyAlignment="1">
      <alignment wrapText="1"/>
    </xf>
    <xf numFmtId="0" fontId="0" fillId="7" borderId="6" xfId="0" applyFill="1" applyBorder="1"/>
    <xf numFmtId="0" fontId="1" fillId="7" borderId="2" xfId="0" applyFont="1" applyFill="1" applyBorder="1"/>
    <xf numFmtId="0" fontId="1" fillId="7" borderId="3" xfId="0" applyFont="1" applyFill="1" applyBorder="1" applyAlignment="1">
      <alignment horizontal="right"/>
    </xf>
    <xf numFmtId="0" fontId="1" fillId="2" borderId="6" xfId="0" applyFont="1" applyFill="1" applyBorder="1"/>
    <xf numFmtId="0" fontId="3" fillId="3" borderId="2" xfId="0" applyFont="1" applyFill="1" applyBorder="1"/>
    <xf numFmtId="0" fontId="3" fillId="3" borderId="6" xfId="0" applyFont="1" applyFill="1" applyBorder="1"/>
    <xf numFmtId="0" fontId="3" fillId="3" borderId="3" xfId="0" applyFont="1" applyFill="1" applyBorder="1" applyAlignment="1">
      <alignment horizontal="right"/>
    </xf>
    <xf numFmtId="20" fontId="0" fillId="0" borderId="1" xfId="0" applyNumberFormat="1" applyBorder="1" applyAlignment="1">
      <alignment wrapText="1"/>
    </xf>
    <xf numFmtId="0" fontId="0" fillId="5" borderId="1" xfId="0" applyFill="1" applyBorder="1" applyAlignment="1">
      <alignment wrapText="1"/>
    </xf>
    <xf numFmtId="14" fontId="1" fillId="3" borderId="3" xfId="0" applyNumberFormat="1" applyFont="1" applyFill="1" applyBorder="1" applyAlignment="1">
      <alignment horizontal="right"/>
    </xf>
    <xf numFmtId="0" fontId="0" fillId="8" borderId="6" xfId="0" applyFill="1" applyBorder="1"/>
    <xf numFmtId="20" fontId="0" fillId="8" borderId="6" xfId="0" applyNumberFormat="1" applyFill="1" applyBorder="1"/>
    <xf numFmtId="0" fontId="0" fillId="8" borderId="3" xfId="0" applyFill="1" applyBorder="1"/>
    <xf numFmtId="0" fontId="1" fillId="8" borderId="7" xfId="0" applyFont="1" applyFill="1" applyBorder="1"/>
    <xf numFmtId="0" fontId="1" fillId="8" borderId="4" xfId="0" applyFont="1" applyFill="1" applyBorder="1"/>
    <xf numFmtId="0" fontId="1" fillId="8" borderId="8" xfId="0" applyFont="1" applyFill="1" applyBorder="1"/>
    <xf numFmtId="1" fontId="1" fillId="8" borderId="2" xfId="0" applyNumberFormat="1" applyFont="1" applyFill="1" applyBorder="1"/>
    <xf numFmtId="16" fontId="1" fillId="3" borderId="3" xfId="0" applyNumberFormat="1" applyFont="1" applyFill="1" applyBorder="1" applyAlignment="1">
      <alignment horizontal="right"/>
    </xf>
    <xf numFmtId="1" fontId="1" fillId="9" borderId="2" xfId="0" applyNumberFormat="1" applyFont="1" applyFill="1" applyBorder="1"/>
    <xf numFmtId="0" fontId="0" fillId="9" borderId="6" xfId="0" applyFill="1" applyBorder="1"/>
    <xf numFmtId="20" fontId="0" fillId="9" borderId="6" xfId="0" applyNumberFormat="1" applyFill="1" applyBorder="1"/>
    <xf numFmtId="0" fontId="0" fillId="9" borderId="3" xfId="0" applyFill="1" applyBorder="1"/>
    <xf numFmtId="14" fontId="0" fillId="5" borderId="2" xfId="0" applyNumberFormat="1" applyFill="1" applyBorder="1"/>
    <xf numFmtId="20" fontId="0" fillId="5" borderId="6" xfId="0" applyNumberFormat="1" applyFill="1" applyBorder="1"/>
    <xf numFmtId="0" fontId="0" fillId="5" borderId="6" xfId="0" applyFill="1" applyBorder="1"/>
    <xf numFmtId="0" fontId="0" fillId="4" borderId="1" xfId="0" applyFill="1" applyBorder="1" applyAlignment="1">
      <alignment wrapText="1"/>
    </xf>
    <xf numFmtId="20" fontId="0" fillId="6" borderId="1" xfId="0" applyNumberFormat="1" applyFill="1" applyBorder="1"/>
    <xf numFmtId="14" fontId="1" fillId="7" borderId="2" xfId="0" applyNumberFormat="1" applyFont="1" applyFill="1" applyBorder="1"/>
    <xf numFmtId="20" fontId="0" fillId="7" borderId="6" xfId="0" applyNumberFormat="1" applyFill="1" applyBorder="1"/>
    <xf numFmtId="0" fontId="0" fillId="7" borderId="6" xfId="0" applyFill="1" applyBorder="1" applyAlignment="1">
      <alignment wrapText="1"/>
    </xf>
    <xf numFmtId="0" fontId="1" fillId="9" borderId="1" xfId="0" applyFont="1" applyFill="1" applyBorder="1"/>
    <xf numFmtId="0" fontId="0" fillId="7" borderId="1" xfId="0" applyFill="1" applyBorder="1"/>
    <xf numFmtId="0" fontId="1" fillId="0" borderId="1" xfId="0" applyFont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9" borderId="2" xfId="0" applyFont="1" applyFill="1" applyBorder="1"/>
    <xf numFmtId="0" fontId="1" fillId="7" borderId="6" xfId="0" applyFont="1" applyFill="1" applyBorder="1"/>
    <xf numFmtId="165" fontId="0" fillId="5" borderId="1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erstes</a:t>
            </a:r>
            <a:r>
              <a:rPr lang="en-US" baseline="0"/>
              <a:t> Semester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Wochenaufzeichnung!$A$2:$A$23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Wochenaufzeichnung!$G$2:$G$23</c:f>
              <c:numCache>
                <c:formatCode>General</c:formatCode>
                <c:ptCount val="22"/>
                <c:pt idx="0">
                  <c:v>5</c:v>
                </c:pt>
                <c:pt idx="1">
                  <c:v>10.7</c:v>
                </c:pt>
                <c:pt idx="2">
                  <c:v>20.299999999999997</c:v>
                </c:pt>
                <c:pt idx="3">
                  <c:v>28.099999999999998</c:v>
                </c:pt>
                <c:pt idx="4">
                  <c:v>37.599999999999994</c:v>
                </c:pt>
                <c:pt idx="5">
                  <c:v>42.899999999999991</c:v>
                </c:pt>
                <c:pt idx="6">
                  <c:v>46.699999999999989</c:v>
                </c:pt>
                <c:pt idx="7">
                  <c:v>53.699999999999989</c:v>
                </c:pt>
                <c:pt idx="8">
                  <c:v>57.199999999999989</c:v>
                </c:pt>
                <c:pt idx="9">
                  <c:v>70.199999999999989</c:v>
                </c:pt>
                <c:pt idx="10">
                  <c:v>73.199999999999989</c:v>
                </c:pt>
                <c:pt idx="11">
                  <c:v>76.499999999999986</c:v>
                </c:pt>
                <c:pt idx="12">
                  <c:v>81.59999999999998</c:v>
                </c:pt>
                <c:pt idx="13">
                  <c:v>83.09999999999998</c:v>
                </c:pt>
                <c:pt idx="14">
                  <c:v>89.09999999999998</c:v>
                </c:pt>
                <c:pt idx="15">
                  <c:v>89.09999999999998</c:v>
                </c:pt>
                <c:pt idx="16">
                  <c:v>100.99999999999999</c:v>
                </c:pt>
                <c:pt idx="17">
                  <c:v>100.99999999999999</c:v>
                </c:pt>
                <c:pt idx="18">
                  <c:v>105.89999999999999</c:v>
                </c:pt>
                <c:pt idx="19">
                  <c:v>110.89999999999999</c:v>
                </c:pt>
                <c:pt idx="20">
                  <c:v>117.49999999999999</c:v>
                </c:pt>
                <c:pt idx="21">
                  <c:v>120.39999999999999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B-43FA-AFAE-B76090F04A81}"/>
            </c:ext>
          </c:extLst>
        </c:ser>
        <c:ser>
          <c:idx val="1"/>
          <c:order val="1"/>
          <c:tx>
            <c:v>EIS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Wochenaufzeichnung!$A$1:$A$23</c:f>
              <c:strCache>
                <c:ptCount val="23"/>
                <c:pt idx="0">
                  <c:v>Week ##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Wochenaufzeichnung!$H$1:$H$23</c:f>
              <c:numCache>
                <c:formatCode>General</c:formatCode>
                <c:ptCount val="23"/>
                <c:pt idx="0">
                  <c:v>0</c:v>
                </c:pt>
                <c:pt idx="1">
                  <c:v>3.8</c:v>
                </c:pt>
                <c:pt idx="2">
                  <c:v>8.6</c:v>
                </c:pt>
                <c:pt idx="3">
                  <c:v>18.600000000000001</c:v>
                </c:pt>
                <c:pt idx="4">
                  <c:v>26.200000000000003</c:v>
                </c:pt>
                <c:pt idx="5">
                  <c:v>26.200000000000003</c:v>
                </c:pt>
                <c:pt idx="6">
                  <c:v>32</c:v>
                </c:pt>
                <c:pt idx="7">
                  <c:v>35.799999999999997</c:v>
                </c:pt>
                <c:pt idx="8">
                  <c:v>35.799999999999997</c:v>
                </c:pt>
                <c:pt idx="9">
                  <c:v>35.799999999999997</c:v>
                </c:pt>
                <c:pt idx="10">
                  <c:v>42.099999999999994</c:v>
                </c:pt>
                <c:pt idx="11">
                  <c:v>45.099999999999994</c:v>
                </c:pt>
                <c:pt idx="12">
                  <c:v>49.899999999999991</c:v>
                </c:pt>
                <c:pt idx="13">
                  <c:v>54.999999999999993</c:v>
                </c:pt>
                <c:pt idx="14">
                  <c:v>54.999999999999993</c:v>
                </c:pt>
                <c:pt idx="15">
                  <c:v>60.999999999999993</c:v>
                </c:pt>
                <c:pt idx="16">
                  <c:v>60.999999999999993</c:v>
                </c:pt>
                <c:pt idx="17">
                  <c:v>60.999999999999993</c:v>
                </c:pt>
                <c:pt idx="18">
                  <c:v>60.999999999999993</c:v>
                </c:pt>
                <c:pt idx="19">
                  <c:v>64.8</c:v>
                </c:pt>
                <c:pt idx="20">
                  <c:v>69.8</c:v>
                </c:pt>
                <c:pt idx="21">
                  <c:v>73.599999999999994</c:v>
                </c:pt>
                <c:pt idx="22">
                  <c:v>79.199999999999989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AB-43FA-AFAE-B76090F04A81}"/>
            </c:ext>
          </c:extLst>
        </c:ser>
        <c:ser>
          <c:idx val="2"/>
          <c:order val="2"/>
          <c:tx>
            <c:v>ZIC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Wochenaufzeichnung!$A$1:$A$23</c:f>
              <c:strCache>
                <c:ptCount val="23"/>
                <c:pt idx="0">
                  <c:v>Week ##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Wochenaufzeichnung!$I$1:$I$23</c:f>
              <c:numCache>
                <c:formatCode>General</c:formatCode>
                <c:ptCount val="23"/>
                <c:pt idx="0">
                  <c:v>0</c:v>
                </c:pt>
                <c:pt idx="1">
                  <c:v>3.8</c:v>
                </c:pt>
                <c:pt idx="2">
                  <c:v>8.6</c:v>
                </c:pt>
                <c:pt idx="3">
                  <c:v>16.3</c:v>
                </c:pt>
                <c:pt idx="4">
                  <c:v>23.9</c:v>
                </c:pt>
                <c:pt idx="5">
                  <c:v>32.4</c:v>
                </c:pt>
                <c:pt idx="6">
                  <c:v>36.199999999999996</c:v>
                </c:pt>
                <c:pt idx="7">
                  <c:v>39.999999999999993</c:v>
                </c:pt>
                <c:pt idx="8">
                  <c:v>41.999999999999993</c:v>
                </c:pt>
                <c:pt idx="9">
                  <c:v>41.999999999999993</c:v>
                </c:pt>
                <c:pt idx="10">
                  <c:v>52.8</c:v>
                </c:pt>
                <c:pt idx="11">
                  <c:v>57.8</c:v>
                </c:pt>
                <c:pt idx="12">
                  <c:v>62.599999999999994</c:v>
                </c:pt>
                <c:pt idx="13">
                  <c:v>69.899999999999991</c:v>
                </c:pt>
                <c:pt idx="14">
                  <c:v>70.899999999999991</c:v>
                </c:pt>
                <c:pt idx="15">
                  <c:v>76.899999999999991</c:v>
                </c:pt>
                <c:pt idx="16">
                  <c:v>76.899999999999991</c:v>
                </c:pt>
                <c:pt idx="17">
                  <c:v>76.899999999999991</c:v>
                </c:pt>
                <c:pt idx="18">
                  <c:v>76.899999999999991</c:v>
                </c:pt>
                <c:pt idx="19">
                  <c:v>84.999999999999986</c:v>
                </c:pt>
                <c:pt idx="20">
                  <c:v>89.999999999999986</c:v>
                </c:pt>
                <c:pt idx="21">
                  <c:v>99.09999999999998</c:v>
                </c:pt>
                <c:pt idx="22">
                  <c:v>105.79999999999998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AB-43FA-AFAE-B76090F04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436815"/>
        <c:axId val="1625833791"/>
      </c:scatterChart>
      <c:valAx>
        <c:axId val="1433436815"/>
        <c:scaling>
          <c:orientation val="minMax"/>
          <c:max val="2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  <a:r>
                  <a:rPr lang="en-US" baseline="0"/>
                  <a:t>  ##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833791"/>
        <c:crosses val="autoZero"/>
        <c:crossBetween val="midCat"/>
        <c:majorUnit val="1"/>
      </c:valAx>
      <c:valAx>
        <c:axId val="162583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436815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D8-4B22-B80A-B8E5F27E9B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D8-4B22-B80A-B8E5F27E9B85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3'!$D$6,'Week 3'!$E$6)</c:f>
              <c:numCache>
                <c:formatCode>General</c:formatCode>
                <c:ptCount val="2"/>
                <c:pt idx="0">
                  <c:v>159.70000000000002</c:v>
                </c:pt>
                <c:pt idx="1">
                  <c:v>20.299999999999997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D8-4B22-B80A-B8E5F27E9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0F-46B8-9296-1F38F64D97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0F-46B8-9296-1F38F64D977B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25'!$D$8,'Week 25'!$E$8)</c:f>
              <c:numCache>
                <c:formatCode>General</c:formatCode>
                <c:ptCount val="2"/>
                <c:pt idx="0">
                  <c:v>34.799999999999983</c:v>
                </c:pt>
                <c:pt idx="1">
                  <c:v>145.19999999999999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0F-46B8-9296-1F38F64D9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25'!$F$12:$F$16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6-4EF1-A451-CA6922CC3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09-453F-A86A-12BA371E7A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09-453F-A86A-12BA371E7AAD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26'!$D$6,'Week 26'!$E$6)</c:f>
              <c:numCache>
                <c:formatCode>General</c:formatCode>
                <c:ptCount val="2"/>
                <c:pt idx="0">
                  <c:v>14.299999999999979</c:v>
                </c:pt>
                <c:pt idx="1">
                  <c:v>165.7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09-453F-A86A-12BA371E7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1B-4158-8E9B-9520BA53C5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1B-4158-8E9B-9520BA53C567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26'!$D$7,'Week 26'!$E$7)</c:f>
              <c:numCache>
                <c:formatCode>General</c:formatCode>
                <c:ptCount val="2"/>
                <c:pt idx="0">
                  <c:v>74.499999999999943</c:v>
                </c:pt>
                <c:pt idx="1">
                  <c:v>105.5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1B-4158-8E9B-9520BA53C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DD-49EB-B8F1-F2B343F9B3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DD-49EB-B8F1-F2B343F9B34F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26'!$D$8,'Week 26'!$E$8)</c:f>
              <c:numCache>
                <c:formatCode>General</c:formatCode>
                <c:ptCount val="2"/>
                <c:pt idx="0">
                  <c:v>18.399999999999984</c:v>
                </c:pt>
                <c:pt idx="1">
                  <c:v>161.6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DD-49EB-B8F1-F2B343F9B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26'!$F$12:$F$16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9-48E5-9D61-E3E6ED03C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13-4795-B17E-910E64D210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13-4795-B17E-910E64D21043}"/>
              </c:ext>
            </c:extLst>
          </c:dPt>
          <c:cat>
            <c:strRef>
              <c:f>('Week 27'!$D$5,'Week 27'!$E$5)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27'!$D$6,'Week 27'!$E$6)</c:f>
              <c:numCache>
                <c:formatCode>General</c:formatCode>
                <c:ptCount val="2"/>
                <c:pt idx="0">
                  <c:v>-0.20000000000002061</c:v>
                </c:pt>
                <c:pt idx="1">
                  <c:v>180.2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13-4795-B17E-910E64D21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38-45E5-9353-DB5A5E8523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38-45E5-9353-DB5A5E852384}"/>
              </c:ext>
            </c:extLst>
          </c:dPt>
          <c:cat>
            <c:strRef>
              <c:f>('Week 27'!$D$5,'Week 27'!$E$5)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27'!$D$7,'Week 27'!$E$7)</c:f>
              <c:numCache>
                <c:formatCode>General</c:formatCode>
                <c:ptCount val="2"/>
                <c:pt idx="0">
                  <c:v>70.699999999999946</c:v>
                </c:pt>
                <c:pt idx="1">
                  <c:v>109.3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8-45E5-9353-DB5A5E852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3F-494C-9C91-527CBBF9BC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3F-494C-9C91-527CBBF9BC5E}"/>
              </c:ext>
            </c:extLst>
          </c:dPt>
          <c:cat>
            <c:strRef>
              <c:f>('Week 27'!$D$5,'Week 27'!$E$5)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27'!$D$8,'Week 27'!$E$8)</c:f>
              <c:numCache>
                <c:formatCode>General</c:formatCode>
                <c:ptCount val="2"/>
                <c:pt idx="0">
                  <c:v>3.8999999999999844</c:v>
                </c:pt>
                <c:pt idx="1">
                  <c:v>176.1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3F-494C-9C91-527CBBF9B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27'!$F$12:$F$16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2-4D33-92FA-0B8BDEF94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4C-41CD-8CB5-410F6FBF60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4C-41CD-8CB5-410F6FBF6093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3'!$D$7,'Week 3'!$E$7)</c:f>
              <c:numCache>
                <c:formatCode>General</c:formatCode>
                <c:ptCount val="2"/>
                <c:pt idx="0">
                  <c:v>161.39999999999998</c:v>
                </c:pt>
                <c:pt idx="1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4C-41CD-8CB5-410F6FBF6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D8-460E-9522-A310F8E710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D8-460E-9522-A310F8E710DC}"/>
              </c:ext>
            </c:extLst>
          </c:dPt>
          <c:cat>
            <c:strRef>
              <c:f>('Week 28'!$D$5,'Week 28'!$E$5)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28'!$D$6,'Week 28'!$E$6)</c:f>
              <c:numCache>
                <c:formatCode>General</c:formatCode>
                <c:ptCount val="2"/>
                <c:pt idx="0">
                  <c:v>-3.0000000000000204</c:v>
                </c:pt>
                <c:pt idx="1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D8-460E-9522-A310F8E71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73-41D5-9B3A-FA8467E00B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73-41D5-9B3A-FA8467E00B68}"/>
              </c:ext>
            </c:extLst>
          </c:dPt>
          <c:cat>
            <c:strRef>
              <c:f>('Week 28'!$D$5,'Week 28'!$E$5)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28'!$D$7,'Week 28'!$E$7)</c:f>
              <c:numCache>
                <c:formatCode>General</c:formatCode>
                <c:ptCount val="2"/>
                <c:pt idx="0">
                  <c:v>69.699999999999946</c:v>
                </c:pt>
                <c:pt idx="1">
                  <c:v>110.3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73-41D5-9B3A-FA8467E00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C3-4353-8543-A0B3041B9E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C3-4353-8543-A0B3041B9EB5}"/>
              </c:ext>
            </c:extLst>
          </c:dPt>
          <c:cat>
            <c:strRef>
              <c:f>('Week 28'!$D$5,'Week 28'!$E$5)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28'!$D$8,'Week 28'!$E$8)</c:f>
              <c:numCache>
                <c:formatCode>General</c:formatCode>
                <c:ptCount val="2"/>
                <c:pt idx="0">
                  <c:v>1.0999999999999845</c:v>
                </c:pt>
                <c:pt idx="1">
                  <c:v>178.9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C3-4353-8543-A0B3041B9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28'!$F$12:$F$16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8-4D5D-804E-364B7C797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1F-4A10-8B40-DD667D562C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1F-4A10-8B40-DD667D562C18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3'!$D$8,'Week 3'!$E$8)</c:f>
              <c:numCache>
                <c:formatCode>General</c:formatCode>
                <c:ptCount val="2"/>
                <c:pt idx="0">
                  <c:v>163.69999999999999</c:v>
                </c:pt>
                <c:pt idx="1">
                  <c:v>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1F-4A10-8B40-DD667D562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3'!$F$12:$F$16</c:f>
              <c:numCache>
                <c:formatCode>General</c:formatCode>
                <c:ptCount val="5"/>
                <c:pt idx="0">
                  <c:v>15</c:v>
                </c:pt>
                <c:pt idx="1">
                  <c:v>25</c:v>
                </c:pt>
                <c:pt idx="2">
                  <c:v>10</c:v>
                </c:pt>
                <c:pt idx="3">
                  <c:v>65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8-4C38-89FE-37D894490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E6-49BA-83A2-C1A48E9798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E6-49BA-83A2-C1A48E9798AF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4'!$D$6,'Week 4'!$E$6)</c:f>
              <c:numCache>
                <c:formatCode>General</c:formatCode>
                <c:ptCount val="2"/>
                <c:pt idx="0">
                  <c:v>151.9</c:v>
                </c:pt>
                <c:pt idx="1">
                  <c:v>28.099999999999998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E6-49BA-83A2-C1A48E979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96-4E8C-908A-CEBD90CAC9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96-4E8C-908A-CEBD90CAC9F9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4'!$D$7,'Week 4'!$E$7)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96-4E8C-908A-CEBD90CAC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ED-49A5-A947-1A0ED10D38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ED-49A5-A947-1A0ED10D38D1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4'!$D$8,'Week 4'!$E$8)</c:f>
              <c:numCache>
                <c:formatCode>General</c:formatCode>
                <c:ptCount val="2"/>
                <c:pt idx="0">
                  <c:v>156.1</c:v>
                </c:pt>
                <c:pt idx="1">
                  <c:v>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ED-49A5-A947-1A0ED10D3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4'!$F$12:$F$16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12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8-4C8F-9596-DB4A0BEEB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57-4984-9C9B-2CAB25B208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57-4984-9C9B-2CAB25B208B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5'!$D$6,'Week 5'!$E$6)</c:f>
              <c:numCache>
                <c:formatCode>General</c:formatCode>
                <c:ptCount val="2"/>
                <c:pt idx="0">
                  <c:v>142.4</c:v>
                </c:pt>
                <c:pt idx="1">
                  <c:v>37.599999999999994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57-4984-9C9B-2CAB25B20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BE-4311-A3E7-ECC9195FE2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BE-4311-A3E7-ECC9195FE2D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5'!$D$7,'Week 5'!$E$7)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BE-4311-A3E7-ECC9195F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1'!$F$12:$F$16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F-4644-9748-407D20927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5283631"/>
        <c:axId val="1868963615"/>
      </c:barChart>
      <c:catAx>
        <c:axId val="2135283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63615"/>
        <c:crosses val="autoZero"/>
        <c:auto val="1"/>
        <c:lblAlgn val="ctr"/>
        <c:lblOffset val="100"/>
        <c:noMultiLvlLbl val="0"/>
      </c:catAx>
      <c:valAx>
        <c:axId val="18689636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836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7-4279-AC70-50D8E274D9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7-4279-AC70-50D8E274D996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5'!$D$8,'Week 5'!$E$8)</c:f>
              <c:numCache>
                <c:formatCode>General</c:formatCode>
                <c:ptCount val="2"/>
                <c:pt idx="0">
                  <c:v>147.6</c:v>
                </c:pt>
                <c:pt idx="1">
                  <c:v>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7-4279-AC70-50D8E274D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5'!$F$12:$F$16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B-4A7C-8C81-24F2C9248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18-44F7-9BC4-453BEDEBA5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18-44F7-9BC4-453BEDEBA5E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6'!$D$6,'Week 6'!$E$6)</c:f>
              <c:numCache>
                <c:formatCode>General</c:formatCode>
                <c:ptCount val="2"/>
                <c:pt idx="0">
                  <c:v>137.1</c:v>
                </c:pt>
                <c:pt idx="1">
                  <c:v>42.899999999999991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18-44F7-9BC4-453BEDEBA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1E-442C-AB0B-FB78580890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1E-442C-AB0B-FB78580890ED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6'!$D$7,'Week 6'!$E$7)</c:f>
              <c:numCache>
                <c:formatCode>General</c:formatCode>
                <c:ptCount val="2"/>
                <c:pt idx="0">
                  <c:v>147.99999999999997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1E-442C-AB0B-FB785808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A1-4341-8C70-FC7F24262A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A1-4341-8C70-FC7F24262A0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6'!$D$8,'Week 6'!$E$8)</c:f>
              <c:numCache>
                <c:formatCode>General</c:formatCode>
                <c:ptCount val="2"/>
                <c:pt idx="0">
                  <c:v>143.79999999999998</c:v>
                </c:pt>
                <c:pt idx="1">
                  <c:v>36.199999999999996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A1-4341-8C70-FC7F24262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6'!$F$12:$F$16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5-460C-9428-8419D007F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46-4227-8880-04CA334463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46-4227-8880-04CA3344632C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7'!$D$6,'Week 7'!$E$6)</c:f>
              <c:numCache>
                <c:formatCode>General</c:formatCode>
                <c:ptCount val="2"/>
                <c:pt idx="0">
                  <c:v>133.29999999999998</c:v>
                </c:pt>
                <c:pt idx="1">
                  <c:v>46.699999999999989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6-4227-8880-04CA33446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BD-4FD2-A5CD-B7D18C5EF7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BD-4FD2-A5CD-B7D18C5EF7C3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7'!$D$7,'Week 7'!$E$7)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BD-4FD2-A5CD-B7D18C5EF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41-4539-A1B3-129CFE0BC8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41-4539-A1B3-129CFE0BC85D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7'!$D$8,'Week 7'!$E$8)</c:f>
              <c:numCache>
                <c:formatCode>General</c:formatCode>
                <c:ptCount val="2"/>
                <c:pt idx="0">
                  <c:v>139.99999999999997</c:v>
                </c:pt>
                <c:pt idx="1">
                  <c:v>39.999999999999993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41-4539-A1B3-129CFE0B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7'!$F$12:$F$16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3-4ACC-A1CC-D3CC15933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9E-45ED-B3E2-2352DCEB3D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9E-45ED-B3E2-2352DCEB3D64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1'!$C$6,'Week 1'!$D$6)</c:f>
              <c:numCache>
                <c:formatCode>General</c:formatCode>
                <c:ptCount val="2"/>
                <c:pt idx="0">
                  <c:v>175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9-4653-AA10-83260E5C2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79-4AEF-9323-1C81DD16F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79-4AEF-9323-1C81DD16FD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8'!$D$6,'Week 8'!$E$6)</c:f>
              <c:numCache>
                <c:formatCode>General</c:formatCode>
                <c:ptCount val="2"/>
                <c:pt idx="0">
                  <c:v>126.29999999999998</c:v>
                </c:pt>
                <c:pt idx="1">
                  <c:v>53.699999999999989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79-4AEF-9323-1C81DD16F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E1-4A27-BB84-43AAF5573B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E1-4A27-BB84-43AAF5573B1D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8'!$D$7,'Week 8'!$E$7)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E1-4A27-BB84-43AAF5573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DF-41C1-A810-6976212315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DF-41C1-A810-6976212315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8'!$D$8,'Week 8'!$E$8)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F-41C1-A810-69762123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8'!$F$12:$F$16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7-4E83-9BD9-36B6B47D4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02-4AE5-AD94-52BD147C0E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02-4AE5-AD94-52BD147C0EDA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9'!$D$6,'Week 9'!$E$6)</c:f>
              <c:numCache>
                <c:formatCode>General</c:formatCode>
                <c:ptCount val="2"/>
                <c:pt idx="0">
                  <c:v>122.79999999999998</c:v>
                </c:pt>
                <c:pt idx="1">
                  <c:v>57.199999999999989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2-4AE5-AD94-52BD147C0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E9-4876-8F60-28D4A37D65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E9-4876-8F60-28D4A37D65C3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9'!$D$7,'Week 9'!$E$7)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9-4876-8F60-28D4A37D6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77-432E-8D36-5130F606A1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77-432E-8D36-5130F606A172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9'!$D$8,'Week 9'!$E$8)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77-432E-8D36-5130F606A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9'!$F$12:$F$16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3-4595-81B2-8F961DC4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3F-4150-ADF8-D0DA00B52E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3F-4150-ADF8-D0DA00B52EBB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10'!$D$6,'Week 10'!$E$6)</c:f>
              <c:numCache>
                <c:formatCode>General</c:formatCode>
                <c:ptCount val="2"/>
                <c:pt idx="0">
                  <c:v>109.79999999999998</c:v>
                </c:pt>
                <c:pt idx="1">
                  <c:v>70.199999999999989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3F-4150-ADF8-D0DA00B52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78-4983-907E-EDF7CD29B5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78-4983-907E-EDF7CD29B5FD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10'!$D$7,'Week 10'!$E$7)</c:f>
              <c:numCache>
                <c:formatCode>General</c:formatCode>
                <c:ptCount val="2"/>
                <c:pt idx="0">
                  <c:v>137.89999999999995</c:v>
                </c:pt>
                <c:pt idx="1">
                  <c:v>42.099999999999994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78-4983-907E-EDF7CD29B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A8-4CED-98BC-442F354DF0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A8-4CED-98BC-442F354DF035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1'!$C$7,'Week 1'!$D$7)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E-400F-83FD-E342C0BE9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4C-4CB8-9F6E-E6106A8949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4C-4CB8-9F6E-E6106A8949B7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10'!$D$8,'Week 10'!$E$8)</c:f>
              <c:numCache>
                <c:formatCode>General</c:formatCode>
                <c:ptCount val="2"/>
                <c:pt idx="0">
                  <c:v>127.19999999999997</c:v>
                </c:pt>
                <c:pt idx="1">
                  <c:v>52.8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4C-4CB8-9F6E-E6106A89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10'!$F$12:$F$16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E-4266-AD8D-421234063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07-46A6-9491-4F8AFF182A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07-46A6-9491-4F8AFF182AD9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11'!$D$6,'Week 11'!$E$6)</c:f>
              <c:numCache>
                <c:formatCode>General</c:formatCode>
                <c:ptCount val="2"/>
                <c:pt idx="0">
                  <c:v>106.79999999999998</c:v>
                </c:pt>
                <c:pt idx="1">
                  <c:v>73.199999999999989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07-46A6-9491-4F8AFF182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7F-494A-AC19-F874279BAC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7F-494A-AC19-F874279BACC1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11'!$D$7,'Week 11'!$E$7)</c:f>
              <c:numCache>
                <c:formatCode>General</c:formatCode>
                <c:ptCount val="2"/>
                <c:pt idx="0">
                  <c:v>134.89999999999995</c:v>
                </c:pt>
                <c:pt idx="1">
                  <c:v>45.099999999999994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7F-494A-AC19-F874279BA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99-4C7B-840B-D7CD273683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99-4C7B-840B-D7CD27368342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11'!$D$8,'Week 11'!$E$8)</c:f>
              <c:numCache>
                <c:formatCode>General</c:formatCode>
                <c:ptCount val="2"/>
                <c:pt idx="0">
                  <c:v>122.19999999999997</c:v>
                </c:pt>
                <c:pt idx="1">
                  <c:v>57.8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9-4C7B-840B-D7CD27368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8F8-9FB5-24218BF89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60-4C6A-B97C-B449F47F98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60-4C6A-B97C-B449F47F983C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12'!$D$6,'Week 12'!$E$6)</c:f>
              <c:numCache>
                <c:formatCode>General</c:formatCode>
                <c:ptCount val="2"/>
                <c:pt idx="0">
                  <c:v>103.49999999999999</c:v>
                </c:pt>
                <c:pt idx="1">
                  <c:v>76.499999999999986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60-4C6A-B97C-B449F47F9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D9-46FC-B4BA-FF2E2578BD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D9-46FC-B4BA-FF2E2578BDB8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12'!$D$7,'Week 12'!$E$7)</c:f>
              <c:numCache>
                <c:formatCode>General</c:formatCode>
                <c:ptCount val="2"/>
                <c:pt idx="0">
                  <c:v>130.09999999999994</c:v>
                </c:pt>
                <c:pt idx="1">
                  <c:v>49.899999999999991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D9-46FC-B4BA-FF2E2578B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B6-4452-A243-2A0F9786FD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B6-4452-A243-2A0F9786FDF3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12'!$D$8,'Week 12'!$E$8)</c:f>
              <c:numCache>
                <c:formatCode>General</c:formatCode>
                <c:ptCount val="2"/>
                <c:pt idx="0">
                  <c:v>117.39999999999998</c:v>
                </c:pt>
                <c:pt idx="1">
                  <c:v>62.599999999999994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B6-4452-A243-2A0F9786F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A-4335-800D-4241AF97A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16-4468-8C2E-9C0941942F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16-4468-8C2E-9C0941942F29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1'!$C$8,'Week 1'!$D$8)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2-44E9-88BC-F70B27BE7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75-4C78-88DC-EBFD21FA81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75-4C78-88DC-EBFD21FA8194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13'!$D$6,'Week 13'!$E$6)</c:f>
              <c:numCache>
                <c:formatCode>General</c:formatCode>
                <c:ptCount val="2"/>
                <c:pt idx="0">
                  <c:v>98.399999999999991</c:v>
                </c:pt>
                <c:pt idx="1">
                  <c:v>81.59999999999998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75-4C78-88DC-EBFD21FA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D9-4205-92CF-4981F7C6D1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D9-4205-92CF-4981F7C6D15F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13'!$D$7,'Week 13'!$E$7)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D9-4205-92CF-4981F7C6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5A-4988-AAC4-8EECA58746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5A-4988-AAC4-8EECA5874659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13'!$D$8,'Week 13'!$E$8)</c:f>
              <c:numCache>
                <c:formatCode>General</c:formatCode>
                <c:ptCount val="2"/>
                <c:pt idx="0">
                  <c:v>110.09999999999998</c:v>
                </c:pt>
                <c:pt idx="1">
                  <c:v>69.899999999999991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5A-4988-AAC4-8EECA5874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13'!$F$12:$F$16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7-4DC8-B4A9-E90704739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6F-4CC2-8E91-A8F6F162B5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6F-4CC2-8E91-A8F6F162B562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14'!$D$6,'Week 14'!$E$6)</c:f>
              <c:numCache>
                <c:formatCode>General</c:formatCode>
                <c:ptCount val="2"/>
                <c:pt idx="0">
                  <c:v>96.899999999999991</c:v>
                </c:pt>
                <c:pt idx="1">
                  <c:v>83.09999999999998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6F-4CC2-8E91-A8F6F162B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5E-42D2-AC04-BDEE400D60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5E-42D2-AC04-BDEE400D601F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14'!$D$7,'Week 14'!$E$7)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5E-42D2-AC04-BDEE400D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F6-4BA9-BCE5-452D4651A3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F6-4BA9-BCE5-452D4651A310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14'!$D$8,'Week 14'!$E$8)</c:f>
              <c:numCache>
                <c:formatCode>General</c:formatCode>
                <c:ptCount val="2"/>
                <c:pt idx="0">
                  <c:v>109.09999999999998</c:v>
                </c:pt>
                <c:pt idx="1">
                  <c:v>70.899999999999991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6-4BA9-BCE5-452D4651A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14'!$F$12:$F$16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0-497F-8817-71C4A657F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E7-4830-87F7-5A2615D428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E7-4830-87F7-5A2615D42889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15'!$D$6,'Week 15'!$E$6)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7-4830-87F7-5A2615D42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30-4780-B4FD-43FD54ACD0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30-4780-B4FD-43FD54ACD0F5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15'!$D$7,'Week 15'!$E$7)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30-4780-B4FD-43FD54ACD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F9-47FB-9533-27EC23D383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F9-47FB-9533-27EC23D3832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2'!$D$6,'Week 2'!$E$6)</c:f>
              <c:numCache>
                <c:formatCode>General</c:formatCode>
                <c:ptCount val="2"/>
                <c:pt idx="0">
                  <c:v>169.3</c:v>
                </c:pt>
                <c:pt idx="1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46-4398-8C63-C33CC4E4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D1-4839-9EC0-323F4315D6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D1-4839-9EC0-323F4315D62B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15'!$D$8,'Week 15'!$E$8)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D1-4839-9EC0-323F4315D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15'!$F$12:$F$16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7-4180-802B-DE0993338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DB-49CF-B54B-FA79C9F08D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DB-49CF-B54B-FA79C9F08D17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16'!$D$6,'Week 16'!$E$6)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DB-49CF-B54B-FA79C9F08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A7-4994-9132-467E3D9EB3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A7-4994-9132-467E3D9EB304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16'!$D$7,'Week 16'!$E$7)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A7-4994-9132-467E3D9EB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EA-4BDD-9833-DD891A2A01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EA-4BDD-9833-DD891A2A01E3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16'!$D$8,'Week 16'!$E$8)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EA-4BDD-9833-DD891A2A0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16'!$F$12:$F$16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DC1-A7C1-ADB77B7C1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43-4E8F-9C6C-93D5121F97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43-4E8F-9C6C-93D5121F97F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17'!$D$6,'Week 17'!$E$6)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43-4E8F-9C6C-93D5121F9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D1-4844-AE40-357E3D385B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D1-4844-AE40-357E3D385B1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17'!$D$7,'Week 17'!$E$7)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D1-4844-AE40-357E3D385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9A-48E5-BE59-8CF4062F8C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9A-48E5-BE59-8CF4062F8C42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17'!$D$8,'Week 17'!$E$8)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9A-48E5-BE59-8CF4062F8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17'!$F$12:$F$16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3-4C63-A0A6-07960FB8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2'!$F$12:$F$16</c:f>
              <c:numCache>
                <c:formatCode>General</c:formatCode>
                <c:ptCount val="5"/>
                <c:pt idx="0">
                  <c:v>7</c:v>
                </c:pt>
                <c:pt idx="1">
                  <c:v>15</c:v>
                </c:pt>
                <c:pt idx="2">
                  <c:v>10</c:v>
                </c:pt>
                <c:pt idx="3">
                  <c:v>40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4-479A-AA76-5E6F52118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EC-4AFB-9B52-9D7597CD94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EC-4AFB-9B52-9D7597CD947B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18'!$D$6,'Week 18'!$E$6)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EC-4AFB-9B52-9D7597CD9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C9-4569-AA68-D86E2A47D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C9-4569-AA68-D86E2A47DD3E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18'!$D$7,'Week 18'!$E$7)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C9-4569-AA68-D86E2A47D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3C-4925-A6A0-A7ED91E688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3C-4925-A6A0-A7ED91E688F7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18'!$D$8,'Week 18'!$E$8)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3C-4925-A6A0-A7ED91E68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18'!$F$12:$F$16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7-4C46-A7FF-3D578210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7E-4B64-BCC8-6BEC565D55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7E-4B64-BCC8-6BEC565D5574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19'!$D$6,'Week 19'!$E$6)</c:f>
              <c:numCache>
                <c:formatCode>General</c:formatCode>
                <c:ptCount val="2"/>
                <c:pt idx="0">
                  <c:v>74.09999999999998</c:v>
                </c:pt>
                <c:pt idx="1">
                  <c:v>105.89999999999999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7E-4B64-BCC8-6BEC565D5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3F-48F8-BEA4-29F959E9B6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3F-48F8-BEA4-29F959E9B63A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19'!$D$7,'Week 19'!$E$7)</c:f>
              <c:numCache>
                <c:formatCode>General</c:formatCode>
                <c:ptCount val="2"/>
                <c:pt idx="0">
                  <c:v>115.19999999999995</c:v>
                </c:pt>
                <c:pt idx="1">
                  <c:v>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3F-48F8-BEA4-29F959E9B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41-476D-AB44-39FF914217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41-476D-AB44-39FF9142178B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19'!$D$8,'Week 19'!$E$8)</c:f>
              <c:numCache>
                <c:formatCode>General</c:formatCode>
                <c:ptCount val="2"/>
                <c:pt idx="0">
                  <c:v>94.999999999999986</c:v>
                </c:pt>
                <c:pt idx="1">
                  <c:v>84.999999999999986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41-476D-AB44-39FF91421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19'!$F$12:$F$16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2-4674-A448-2A10F5FD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E1-4957-9E18-513D36195A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E1-4957-9E18-513D36195AC0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20'!$D$6,'Week 20'!$E$6)</c:f>
              <c:numCache>
                <c:formatCode>General</c:formatCode>
                <c:ptCount val="2"/>
                <c:pt idx="0">
                  <c:v>69.09999999999998</c:v>
                </c:pt>
                <c:pt idx="1">
                  <c:v>110.89999999999999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E1-4957-9E18-513D36195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22-4C1B-8CB5-991D48256F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22-4C1B-8CB5-991D48256F32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20'!$D$7,'Week 20'!$E$7)</c:f>
              <c:numCache>
                <c:formatCode>General</c:formatCode>
                <c:ptCount val="2"/>
                <c:pt idx="0">
                  <c:v>110.19999999999995</c:v>
                </c:pt>
                <c:pt idx="1">
                  <c:v>69.8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22-4C1B-8CB5-991D48256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C1-4545-9E6B-4973A4CD9A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C1-4545-9E6B-4973A4CD9AA0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2'!$D$8,'Week 2'!$E$8)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1-4545-9E6B-4973A4CD9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FE-43AF-B095-1C653E1051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FE-43AF-B095-1C653E105134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20'!$D$8,'Week 20'!$E$8)</c:f>
              <c:numCache>
                <c:formatCode>General</c:formatCode>
                <c:ptCount val="2"/>
                <c:pt idx="0">
                  <c:v>89.999999999999986</c:v>
                </c:pt>
                <c:pt idx="1">
                  <c:v>89.999999999999986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FE-43AF-B095-1C653E105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20'!$F$12:$F$16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7-4816-9624-F3F01EC51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61-42DD-A732-AE2E3AEC16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61-42DD-A732-AE2E3AEC165A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21'!$D$6,'Week 21'!$E$6)</c:f>
              <c:numCache>
                <c:formatCode>General</c:formatCode>
                <c:ptCount val="2"/>
                <c:pt idx="0">
                  <c:v>62.499999999999979</c:v>
                </c:pt>
                <c:pt idx="1">
                  <c:v>117.49999999999999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61-42DD-A732-AE2E3AEC1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B7-4713-97FB-AF3131E120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B7-4713-97FB-AF3131E120F9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21'!$D$7,'Week 21'!$E$7)</c:f>
              <c:numCache>
                <c:formatCode>General</c:formatCode>
                <c:ptCount val="2"/>
                <c:pt idx="0">
                  <c:v>106.39999999999995</c:v>
                </c:pt>
                <c:pt idx="1">
                  <c:v>73.599999999999994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B7-4713-97FB-AF3131E12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C9-434C-8BC9-889D520D40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C9-434C-8BC9-889D520D40C6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21'!$D$8,'Week 21'!$E$8)</c:f>
              <c:numCache>
                <c:formatCode>General</c:formatCode>
                <c:ptCount val="2"/>
                <c:pt idx="0">
                  <c:v>80.899999999999991</c:v>
                </c:pt>
                <c:pt idx="1">
                  <c:v>99.09999999999998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C9-434C-8BC9-889D520D4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21'!$F$12:$F$16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5-4310-9E4A-B354A2DA3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06-4B52-B7C5-9FA97C6142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06-4B52-B7C5-9FA97C614204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22'!$D$6,'Week 22'!$E$6)</c:f>
              <c:numCache>
                <c:formatCode>General</c:formatCode>
                <c:ptCount val="2"/>
                <c:pt idx="0">
                  <c:v>59.59999999999998</c:v>
                </c:pt>
                <c:pt idx="1">
                  <c:v>120.39999999999999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06-4B52-B7C5-9FA97C614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38-47A6-981B-91DCBC9219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38-47A6-981B-91DCBC921962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22'!$D$7,'Week 22'!$E$7)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38-47A6-981B-91DCBC921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FE-4122-940E-9A259E5D46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FE-4122-940E-9A259E5D466C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22'!$D$8,'Week 22'!$E$8)</c:f>
              <c:numCache>
                <c:formatCode>General</c:formatCode>
                <c:ptCount val="2"/>
                <c:pt idx="0">
                  <c:v>74.199999999999989</c:v>
                </c:pt>
                <c:pt idx="1">
                  <c:v>105.79999999999998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FE-4122-940E-9A259E5D4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22'!$F$12:$F$16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75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B-4862-BC67-B7C4C7D4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CE-4219-8F7A-4712C4B2D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CE-4219-8F7A-4712C4B2D0C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2'!$D$7,'Week 2'!$E$7)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CE-4219-8F7A-4712C4B2D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F1-41AE-95FA-7646849FA6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F1-41AE-95FA-7646849FA60E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23'!$D$6,'Week 23'!$E$6)</c:f>
              <c:numCache>
                <c:formatCode>General</c:formatCode>
                <c:ptCount val="2"/>
                <c:pt idx="0">
                  <c:v>57.09999999999998</c:v>
                </c:pt>
                <c:pt idx="1">
                  <c:v>122.89999999999999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F1-41AE-95FA-7646849FA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C9-45FF-8360-2F6E8111B2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C9-45FF-8360-2F6E8111B208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23'!$D$7,'Week 23'!$E$7)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C9-45FF-8360-2F6E8111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9D-4EA1-A0FC-928067CEEB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9D-4EA1-A0FC-928067CEEBA9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23'!$D$8,'Week 23'!$E$8)</c:f>
              <c:numCache>
                <c:formatCode>General</c:formatCode>
                <c:ptCount val="2"/>
                <c:pt idx="0">
                  <c:v>74.199999999999989</c:v>
                </c:pt>
                <c:pt idx="1">
                  <c:v>105.79999999999998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9D-4EA1-A0FC-928067CEE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23'!$F$12:$F$16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75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2-459B-B467-6A065FB56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9E-4638-935D-B84BAFB615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9E-4638-935D-B84BAFB6157E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24'!$D$6,'Week 24'!$E$6)</c:f>
              <c:numCache>
                <c:formatCode>General</c:formatCode>
                <c:ptCount val="2"/>
                <c:pt idx="0">
                  <c:v>47.09999999999998</c:v>
                </c:pt>
                <c:pt idx="1">
                  <c:v>132.89999999999998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9E-4638-935D-B84BAFB61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BE-47A1-AC3B-8ABD39DD44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BE-47A1-AC3B-8ABD39DD4423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24'!$D$7,'Week 24'!$E$7)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BE-47A1-AC3B-8ABD39DD4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28-42BD-9DAB-630955137A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28-42BD-9DAB-630955137AB6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24'!$D$8,'Week 24'!$E$8)</c:f>
              <c:numCache>
                <c:formatCode>General</c:formatCode>
                <c:ptCount val="2"/>
                <c:pt idx="0">
                  <c:v>64.199999999999989</c:v>
                </c:pt>
                <c:pt idx="1">
                  <c:v>115.79999999999998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8-42BD-9DAB-630955137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24'!$F$12:$F$16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E-4BE6-887A-AE556767A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9C-442F-A172-4E56A02F1B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9C-442F-A172-4E56A02F1BB8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25'!$D$6,'Week 25'!$E$6)</c:f>
              <c:numCache>
                <c:formatCode>General</c:formatCode>
                <c:ptCount val="2"/>
                <c:pt idx="0">
                  <c:v>24.699999999999978</c:v>
                </c:pt>
                <c:pt idx="1">
                  <c:v>155.29999999999998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9C-442F-A172-4E56A02F1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A0-421B-B8B1-A9597FF967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A0-421B-B8B1-A9597FF967D7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25'!$D$7,'Week 25'!$E$7)</c:f>
              <c:numCache>
                <c:formatCode>General</c:formatCode>
                <c:ptCount val="2"/>
                <c:pt idx="0">
                  <c:v>78.29999999999994</c:v>
                </c:pt>
                <c:pt idx="1">
                  <c:v>101.7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A0-421B-B8B1-A9597FF96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4" Type="http://schemas.openxmlformats.org/officeDocument/2006/relationships/chart" Target="../charts/chart53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4" Type="http://schemas.openxmlformats.org/officeDocument/2006/relationships/chart" Target="../charts/chart57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4" Type="http://schemas.openxmlformats.org/officeDocument/2006/relationships/chart" Target="../charts/chart61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4" Type="http://schemas.openxmlformats.org/officeDocument/2006/relationships/chart" Target="../charts/chart65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4" Type="http://schemas.openxmlformats.org/officeDocument/2006/relationships/chart" Target="../charts/chart69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4" Type="http://schemas.openxmlformats.org/officeDocument/2006/relationships/chart" Target="../charts/chart7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6.xml"/><Relationship Id="rId2" Type="http://schemas.openxmlformats.org/officeDocument/2006/relationships/chart" Target="../charts/chart75.xml"/><Relationship Id="rId1" Type="http://schemas.openxmlformats.org/officeDocument/2006/relationships/chart" Target="../charts/chart74.xml"/><Relationship Id="rId4" Type="http://schemas.openxmlformats.org/officeDocument/2006/relationships/chart" Target="../charts/chart77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0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4" Type="http://schemas.openxmlformats.org/officeDocument/2006/relationships/chart" Target="../charts/chart81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4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Relationship Id="rId4" Type="http://schemas.openxmlformats.org/officeDocument/2006/relationships/chart" Target="../charts/chart85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8.xml"/><Relationship Id="rId2" Type="http://schemas.openxmlformats.org/officeDocument/2006/relationships/chart" Target="../charts/chart87.xml"/><Relationship Id="rId1" Type="http://schemas.openxmlformats.org/officeDocument/2006/relationships/chart" Target="../charts/chart86.xml"/><Relationship Id="rId4" Type="http://schemas.openxmlformats.org/officeDocument/2006/relationships/chart" Target="../charts/chart89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2.xml"/><Relationship Id="rId2" Type="http://schemas.openxmlformats.org/officeDocument/2006/relationships/chart" Target="../charts/chart91.xml"/><Relationship Id="rId1" Type="http://schemas.openxmlformats.org/officeDocument/2006/relationships/chart" Target="../charts/chart90.xml"/><Relationship Id="rId4" Type="http://schemas.openxmlformats.org/officeDocument/2006/relationships/chart" Target="../charts/chart93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6.xml"/><Relationship Id="rId2" Type="http://schemas.openxmlformats.org/officeDocument/2006/relationships/chart" Target="../charts/chart95.xml"/><Relationship Id="rId1" Type="http://schemas.openxmlformats.org/officeDocument/2006/relationships/chart" Target="../charts/chart94.xml"/><Relationship Id="rId4" Type="http://schemas.openxmlformats.org/officeDocument/2006/relationships/chart" Target="../charts/chart97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0.xml"/><Relationship Id="rId2" Type="http://schemas.openxmlformats.org/officeDocument/2006/relationships/chart" Target="../charts/chart99.xml"/><Relationship Id="rId1" Type="http://schemas.openxmlformats.org/officeDocument/2006/relationships/chart" Target="../charts/chart98.xml"/><Relationship Id="rId4" Type="http://schemas.openxmlformats.org/officeDocument/2006/relationships/chart" Target="../charts/chart101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4.xml"/><Relationship Id="rId2" Type="http://schemas.openxmlformats.org/officeDocument/2006/relationships/chart" Target="../charts/chart103.xml"/><Relationship Id="rId1" Type="http://schemas.openxmlformats.org/officeDocument/2006/relationships/chart" Target="../charts/chart102.xml"/><Relationship Id="rId4" Type="http://schemas.openxmlformats.org/officeDocument/2006/relationships/chart" Target="../charts/chart105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8.xml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Relationship Id="rId4" Type="http://schemas.openxmlformats.org/officeDocument/2006/relationships/chart" Target="../charts/chart109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2.xml"/><Relationship Id="rId2" Type="http://schemas.openxmlformats.org/officeDocument/2006/relationships/chart" Target="../charts/chart111.xml"/><Relationship Id="rId1" Type="http://schemas.openxmlformats.org/officeDocument/2006/relationships/chart" Target="../charts/chart110.xml"/><Relationship Id="rId4" Type="http://schemas.openxmlformats.org/officeDocument/2006/relationships/chart" Target="../charts/chart1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0</xdr:row>
      <xdr:rowOff>0</xdr:rowOff>
    </xdr:from>
    <xdr:to>
      <xdr:col>17</xdr:col>
      <xdr:colOff>182880</xdr:colOff>
      <xdr:row>23</xdr:row>
      <xdr:rowOff>140970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14AF3C7-7270-A946-7F63-2A66C63F8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4B827AB-873E-4CF6-845E-16B793F9E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852FA93-381E-4F2C-8F8C-398573F15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E14EE8F-2FB5-4229-B9DA-42D3934FA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E4F5E7E-7667-40C8-838B-46A88F436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E818291-854C-40A6-86E4-281CDBE4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D43D4C3-85C8-4825-BA31-92500F6FA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5DD856D-1422-41E8-8A80-810D00E06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EE29DD1-B19F-4A07-B818-CCCE621BB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04E4F9-E71C-4846-8EAD-127CC2873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68EF388-83D8-4623-AAB8-1BE7562AA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3A20570-972E-4B60-AC97-2A063F4F4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0068343-8F83-42BF-A894-519DC6EDC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C3D258-8985-4E29-AD95-2CF01924A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57566-44B0-4B98-BAC5-5ACD4A05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51E8E19-2DCA-4495-8D04-ABFBC4C11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07591A-846B-49C3-A481-0F6000D0B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F359A1A-3C8E-462C-A06D-12DD0D899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F3BD748-8A2A-45FB-B549-3C70AD2C8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000A5B-8BEB-4F9D-B190-AFE47BC85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D4AFBB3-034C-463B-962D-1CEEC3C52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48C768-8486-42C4-AD71-7BE06000C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DCAC3CE-E81C-400E-B503-4482FF81D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52D23B7-EAE7-4767-8CD0-1B22212A6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E0501EE-E9A7-43C0-B51D-186AC3CEF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CF9F573-7DED-4AC7-A56B-63FEB513B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FD2FD1-F145-4655-8C7B-96663A14C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839891D-F8A0-4C73-854A-F9FF1BD3A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094DCD9-11B2-45D7-8003-DF8BAD44D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2CD212-F064-4B37-8F4F-104CDF9E9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2185A0B-D20D-48C3-ADAF-7651AFE4A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D71BC59-E490-4EA9-B930-45A290068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20DA0E6-FF82-48AD-8278-0FE094240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1C69F7E-626A-423C-BDA8-D08583C91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08D01D-E6F3-4D4D-B70A-1DFE6A46F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8B8ED4B-CD90-40C5-A3C3-B62688FCF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DC1E0B1-2ECD-4027-96B7-35BAE8BD2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26AD8BC-A25E-433B-9127-6A761FB98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800CFFD-5CB8-4817-A132-2C5D39795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865DBEE-4A87-4269-8345-514857054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292331C-E368-46FA-85A7-1F7361EA2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17</xdr:row>
      <xdr:rowOff>185737</xdr:rowOff>
    </xdr:from>
    <xdr:to>
      <xdr:col>3</xdr:col>
      <xdr:colOff>1119187</xdr:colOff>
      <xdr:row>32</xdr:row>
      <xdr:rowOff>71437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B0C60A3-2AC5-8EBE-5156-78C96841B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DA052AF-4CA8-025A-2F02-86E29A359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E395349-6191-AA6B-746A-FF6C7A058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14E11ED-A7CA-E2AA-6C7D-F4697ECAE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35BF2C-4272-4E31-A6C4-5AADDF605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77111A-7090-4A24-AC0C-F12590C9B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34E8316-0007-4160-8175-787931A92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FD66D6E-6C83-444A-BCC0-F29CBC963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A91D8A8-F537-444A-945B-780735B9B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4393442-4D5D-4F17-9127-6891116B4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2584CAD-3622-482C-BC1E-A93FDAA8F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BF027D6-E99A-4196-A73C-6C79D533A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5F4D592-9D6B-4C11-9E37-B3FA6BA89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B8F9E25-BC10-4924-BF92-765CCC149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3C5B6C8-FF46-4499-97F5-8BF2D70C5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1787AB3-B49A-4779-B52A-C3743889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9E6EC6-E61A-4D4E-95F9-EFA355023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91BF479-A516-44E0-84B8-FA9548287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1104B52-4904-41BB-B92C-544FBA26E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9379A0A-27BF-4F77-AB02-E1638CB47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F171E7-90B7-427B-84DA-549ED6AF8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14C4B20-098C-4C3B-AF59-BE9C73FBA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D168BC7-65F1-4E5C-A07D-CA8E365B0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AD220A-E1F0-452D-8ED1-8A430667A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5B4383D-7607-45DE-9457-31EFD9FED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3619F3A-A0F6-4357-8622-6FA18204D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44B0F19-BAE4-4BA8-B097-587956777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ABDACCF-55E5-44DB-B884-C764AFAEB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18D5873-7CEE-4A9B-8C7B-446131DC7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8B553D-2393-4B91-B6AD-3AEE57457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F89062-E2BF-4792-9852-82F5D83F9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9E6A329-FAF8-4F4F-A365-6A5B90FA3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40F5ED9-BC88-4C48-B80D-C0FA03729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4DCA80F-B305-4666-A067-60863A507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23A7FDA-6FE4-4164-9A9B-07AA1EC75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8280CD-6647-4A03-A133-180007281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81E497B-C740-4B1B-99A0-B07631701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57D68E0-0334-4F04-A5E0-393FED998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3F51872-B7F2-45F9-94B2-7DA29F6D6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CD46021-3EDA-4DAB-ABEF-971AAE097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18C08C2-55ED-4B5B-BEC0-E46CB68AE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1022D51-F68E-44B1-82F7-F68157936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DC53F4F-780C-4ED5-B9FC-B0A49B25F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07988CD-B633-4A77-AD94-20252FEF4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59B0583-A698-4BDA-A79D-A4D3451F4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A8F3046-06B5-AB64-0BAF-F3A771A5A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762000</xdr:colOff>
      <xdr:row>18</xdr:row>
      <xdr:rowOff>1</xdr:rowOff>
    </xdr:from>
    <xdr:to>
      <xdr:col>14</xdr:col>
      <xdr:colOff>536483</xdr:colOff>
      <xdr:row>32</xdr:row>
      <xdr:rowOff>80964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FB0A8BD-7620-4D44-B517-8872E3CA0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134471</xdr:colOff>
      <xdr:row>18</xdr:row>
      <xdr:rowOff>26894</xdr:rowOff>
    </xdr:from>
    <xdr:to>
      <xdr:col>10</xdr:col>
      <xdr:colOff>697848</xdr:colOff>
      <xdr:row>32</xdr:row>
      <xdr:rowOff>107857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0D1F2A9-51F0-4E31-81C2-0DB7BE6CF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BD879BD-3CBB-4AFE-B9C8-80B0EE151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FA03DA3-BE03-4E75-B938-2713D15F7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3AA3D20-AF46-4235-AB9A-DE779EB7E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FE1A66-C545-4D41-9738-2E5F41A1E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A3692E-6438-4AA0-9EC1-E28EECDB6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6DA834-AA11-450B-A9F7-4AB52A7B2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53AFFBC-0B0B-4C20-8DD3-D6A05AA91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1AFB263-700B-4131-800E-6B4255A41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759C351-B9C6-4884-A951-D536881E0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8AE8A8-4497-49DF-BB80-74D968A27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50C0364-C332-4CF7-9927-A99F764E3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2F5CE23-C54F-458C-AB23-DECE0A465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5D9FED7-6734-4693-BFB3-ABCA214B6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A94C4C0-2D6F-4EB5-9A27-2A46D626C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D918D1C-82DE-4CF8-87B2-4D96E4523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A2477F1-C710-4512-8E72-2F8D7735D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EDA9EA-1D89-4694-A787-83CBDD731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38470-BB9E-40AC-9809-4B0F167C1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664CC28-876C-4E99-8CAA-799FD7770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4C91C86-E35C-4DEF-990B-0AF63440B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D4538CA-0E3F-4979-8D23-F105B29A1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7C1038-4E6A-4769-B3AF-A5925EFE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5C39E67-1EFC-426D-80A1-87085A588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34F8167-26BE-4E8D-B015-592AC3756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7534-694C-40D9-8751-CE2B801AD914}">
  <dimension ref="A1:H198"/>
  <sheetViews>
    <sheetView tabSelected="1" zoomScale="85" zoomScaleNormal="85" workbookViewId="0">
      <selection activeCell="A199" sqref="A199"/>
    </sheetView>
  </sheetViews>
  <sheetFormatPr baseColWidth="10" defaultRowHeight="14.4" outlineLevelRow="2" x14ac:dyDescent="0.3"/>
  <cols>
    <col min="1" max="2" width="13.109375" customWidth="1"/>
    <col min="3" max="4" width="8.44140625" customWidth="1"/>
    <col min="6" max="6" width="33.33203125" customWidth="1"/>
    <col min="7" max="7" width="14.44140625" customWidth="1"/>
    <col min="8" max="8" width="31.88671875" customWidth="1"/>
  </cols>
  <sheetData>
    <row r="1" spans="1:8" x14ac:dyDescent="0.3">
      <c r="A1" s="11" t="s">
        <v>0</v>
      </c>
      <c r="B1" s="11" t="s">
        <v>28</v>
      </c>
      <c r="C1" s="11" t="s">
        <v>33</v>
      </c>
      <c r="D1" s="11" t="s">
        <v>34</v>
      </c>
      <c r="E1" s="11" t="s">
        <v>25</v>
      </c>
      <c r="F1" s="11" t="s">
        <v>26</v>
      </c>
      <c r="G1" s="11" t="s">
        <v>27</v>
      </c>
      <c r="H1" s="11" t="s">
        <v>32</v>
      </c>
    </row>
    <row r="2" spans="1:8" x14ac:dyDescent="0.3">
      <c r="A2" s="59">
        <v>2023</v>
      </c>
      <c r="B2" s="60"/>
      <c r="C2" s="60"/>
      <c r="D2" s="60"/>
      <c r="E2" s="60"/>
      <c r="F2" s="60"/>
      <c r="G2" s="60"/>
      <c r="H2" s="61"/>
    </row>
    <row r="3" spans="1:8" x14ac:dyDescent="0.3">
      <c r="A3" s="31" t="s">
        <v>67</v>
      </c>
      <c r="B3" s="32"/>
      <c r="C3" s="32"/>
      <c r="D3" s="32"/>
      <c r="E3" s="32"/>
      <c r="F3" s="32"/>
      <c r="G3" s="32"/>
      <c r="H3" s="33"/>
    </row>
    <row r="4" spans="1:8" hidden="1" outlineLevel="1" x14ac:dyDescent="0.3">
      <c r="A4" s="12" t="s">
        <v>35</v>
      </c>
      <c r="B4" s="13"/>
      <c r="C4" s="13"/>
      <c r="D4" s="13"/>
      <c r="E4" s="13"/>
      <c r="F4" s="13"/>
      <c r="G4" s="13"/>
      <c r="H4" s="18" t="s">
        <v>36</v>
      </c>
    </row>
    <row r="5" spans="1:8" hidden="1" outlineLevel="2" x14ac:dyDescent="0.3">
      <c r="A5" s="7">
        <v>45177</v>
      </c>
      <c r="B5" s="7" t="s">
        <v>29</v>
      </c>
      <c r="C5" s="9">
        <v>0.52777777777777779</v>
      </c>
      <c r="D5" s="9">
        <v>0.68055555555555547</v>
      </c>
      <c r="E5" s="9">
        <f>D5-C5</f>
        <v>0.15277777777777768</v>
      </c>
      <c r="F5" s="8" t="s">
        <v>12</v>
      </c>
      <c r="G5" s="8" t="s">
        <v>6</v>
      </c>
      <c r="H5" s="2" t="s">
        <v>18</v>
      </c>
    </row>
    <row r="6" spans="1:8" hidden="1" outlineLevel="2" x14ac:dyDescent="0.3">
      <c r="A6" s="14">
        <v>45177</v>
      </c>
      <c r="B6" s="14" t="s">
        <v>31</v>
      </c>
      <c r="C6" s="15">
        <v>0.52777777777777779</v>
      </c>
      <c r="D6" s="15">
        <v>0.68055555555555547</v>
      </c>
      <c r="E6" s="15">
        <f t="shared" ref="E6:E28" si="0">D6-C6</f>
        <v>0.15277777777777768</v>
      </c>
      <c r="F6" s="16" t="s">
        <v>13</v>
      </c>
      <c r="G6" s="16" t="s">
        <v>7</v>
      </c>
      <c r="H6" s="17" t="s">
        <v>16</v>
      </c>
    </row>
    <row r="7" spans="1:8" hidden="1" outlineLevel="2" x14ac:dyDescent="0.3">
      <c r="A7" s="7">
        <v>45177</v>
      </c>
      <c r="B7" s="7" t="s">
        <v>30</v>
      </c>
      <c r="C7" s="10">
        <v>0.52777777777777779</v>
      </c>
      <c r="D7" s="9">
        <v>0.68055555555555547</v>
      </c>
      <c r="E7" s="9">
        <f t="shared" si="0"/>
        <v>0.15277777777777768</v>
      </c>
      <c r="F7" s="8" t="s">
        <v>11</v>
      </c>
      <c r="G7" s="8" t="s">
        <v>5</v>
      </c>
      <c r="H7" s="2" t="s">
        <v>15</v>
      </c>
    </row>
    <row r="8" spans="1:8" hidden="1" outlineLevel="2" x14ac:dyDescent="0.3">
      <c r="A8" s="14">
        <v>45178</v>
      </c>
      <c r="B8" s="14" t="s">
        <v>29</v>
      </c>
      <c r="C8" s="15">
        <v>0.59722222222222221</v>
      </c>
      <c r="D8" s="15">
        <v>0.625</v>
      </c>
      <c r="E8" s="15">
        <f t="shared" si="0"/>
        <v>2.777777777777779E-2</v>
      </c>
      <c r="F8" s="16" t="s">
        <v>24</v>
      </c>
      <c r="G8" s="16" t="s">
        <v>22</v>
      </c>
      <c r="H8" s="17" t="s">
        <v>42</v>
      </c>
    </row>
    <row r="9" spans="1:8" hidden="1" outlineLevel="2" x14ac:dyDescent="0.3">
      <c r="A9" s="7">
        <v>45179</v>
      </c>
      <c r="B9" s="8" t="s">
        <v>29</v>
      </c>
      <c r="C9" s="9">
        <v>0.50694444444444442</v>
      </c>
      <c r="D9" s="9">
        <v>0.54166666666666663</v>
      </c>
      <c r="E9" s="9">
        <f t="shared" si="0"/>
        <v>3.472222222222221E-2</v>
      </c>
      <c r="F9" s="8" t="s">
        <v>37</v>
      </c>
      <c r="G9" s="8" t="s">
        <v>22</v>
      </c>
      <c r="H9" s="2" t="s">
        <v>39</v>
      </c>
    </row>
    <row r="10" spans="1:8" hidden="1" outlineLevel="1" collapsed="1" x14ac:dyDescent="0.3">
      <c r="A10" s="21" t="s">
        <v>38</v>
      </c>
      <c r="B10" s="22"/>
      <c r="C10" s="22"/>
      <c r="D10" s="22"/>
      <c r="E10" s="23"/>
      <c r="F10" s="22"/>
      <c r="G10" s="22"/>
      <c r="H10" s="18" t="s">
        <v>17</v>
      </c>
    </row>
    <row r="11" spans="1:8" hidden="1" outlineLevel="2" x14ac:dyDescent="0.3">
      <c r="A11" s="7">
        <v>45181</v>
      </c>
      <c r="B11" s="8" t="s">
        <v>29</v>
      </c>
      <c r="C11" s="9">
        <v>0.63888888888888895</v>
      </c>
      <c r="D11" s="9">
        <v>0.68055555555555547</v>
      </c>
      <c r="E11" s="9">
        <f>D11-C11</f>
        <v>4.1666666666666519E-2</v>
      </c>
      <c r="F11" s="8" t="s">
        <v>39</v>
      </c>
      <c r="G11" s="8" t="s">
        <v>22</v>
      </c>
      <c r="H11" s="2" t="s">
        <v>14</v>
      </c>
    </row>
    <row r="12" spans="1:8" hidden="1" outlineLevel="2" x14ac:dyDescent="0.3">
      <c r="A12" s="14">
        <v>45181</v>
      </c>
      <c r="B12" s="16" t="s">
        <v>31</v>
      </c>
      <c r="C12" s="15">
        <v>0.63888888888888895</v>
      </c>
      <c r="D12" s="15">
        <v>0.68055555555555547</v>
      </c>
      <c r="E12" s="15">
        <f t="shared" si="0"/>
        <v>4.1666666666666519E-2</v>
      </c>
      <c r="F12" s="16" t="s">
        <v>39</v>
      </c>
      <c r="G12" s="16" t="s">
        <v>22</v>
      </c>
      <c r="H12" s="17" t="s">
        <v>14</v>
      </c>
    </row>
    <row r="13" spans="1:8" hidden="1" outlineLevel="2" x14ac:dyDescent="0.3">
      <c r="A13" s="7">
        <v>45181</v>
      </c>
      <c r="B13" s="8" t="s">
        <v>30</v>
      </c>
      <c r="C13" s="9">
        <v>0.63888888888888895</v>
      </c>
      <c r="D13" s="9">
        <v>0.68055555555555547</v>
      </c>
      <c r="E13" s="9">
        <f t="shared" si="0"/>
        <v>4.1666666666666519E-2</v>
      </c>
      <c r="F13" s="8" t="s">
        <v>39</v>
      </c>
      <c r="G13" s="8" t="s">
        <v>22</v>
      </c>
      <c r="H13" s="2" t="s">
        <v>14</v>
      </c>
    </row>
    <row r="14" spans="1:8" hidden="1" outlineLevel="2" x14ac:dyDescent="0.3">
      <c r="A14" s="14">
        <v>45183</v>
      </c>
      <c r="B14" s="16" t="s">
        <v>29</v>
      </c>
      <c r="C14" s="15">
        <v>0.73611111111111116</v>
      </c>
      <c r="D14" s="15">
        <v>0.77083333333333337</v>
      </c>
      <c r="E14" s="15">
        <f t="shared" si="0"/>
        <v>3.472222222222221E-2</v>
      </c>
      <c r="F14" s="16" t="s">
        <v>40</v>
      </c>
      <c r="G14" s="16" t="s">
        <v>22</v>
      </c>
      <c r="H14" s="17" t="s">
        <v>41</v>
      </c>
    </row>
    <row r="15" spans="1:8" ht="28.8" hidden="1" outlineLevel="2" x14ac:dyDescent="0.3">
      <c r="A15" s="7">
        <v>45184</v>
      </c>
      <c r="B15" s="8" t="s">
        <v>29</v>
      </c>
      <c r="C15" s="9">
        <v>0.52777777777777779</v>
      </c>
      <c r="D15" s="9">
        <v>0.68055555555555547</v>
      </c>
      <c r="E15" s="9">
        <f t="shared" si="0"/>
        <v>0.15277777777777768</v>
      </c>
      <c r="F15" s="24" t="s">
        <v>21</v>
      </c>
      <c r="G15" s="8" t="s">
        <v>6</v>
      </c>
      <c r="H15" s="25" t="s">
        <v>20</v>
      </c>
    </row>
    <row r="16" spans="1:8" hidden="1" outlineLevel="2" x14ac:dyDescent="0.3">
      <c r="A16" s="14">
        <v>45184</v>
      </c>
      <c r="B16" s="16" t="s">
        <v>31</v>
      </c>
      <c r="C16" s="15">
        <v>0.52777777777777779</v>
      </c>
      <c r="D16" s="15">
        <v>0.68055555555555547</v>
      </c>
      <c r="E16" s="15">
        <f t="shared" si="0"/>
        <v>0.15277777777777768</v>
      </c>
      <c r="F16" s="26" t="s">
        <v>50</v>
      </c>
      <c r="G16" s="16" t="s">
        <v>7</v>
      </c>
      <c r="H16" s="17" t="s">
        <v>19</v>
      </c>
    </row>
    <row r="17" spans="1:8" hidden="1" outlineLevel="2" x14ac:dyDescent="0.3">
      <c r="A17" s="7">
        <v>45184</v>
      </c>
      <c r="B17" s="8" t="s">
        <v>30</v>
      </c>
      <c r="C17" s="10">
        <v>0.52777777777777779</v>
      </c>
      <c r="D17" s="9">
        <v>0.68055555555555547</v>
      </c>
      <c r="E17" s="9">
        <f t="shared" si="0"/>
        <v>0.15277777777777768</v>
      </c>
      <c r="F17" s="8" t="s">
        <v>47</v>
      </c>
      <c r="G17" s="8" t="s">
        <v>5</v>
      </c>
      <c r="H17" s="2" t="s">
        <v>48</v>
      </c>
    </row>
    <row r="18" spans="1:8" hidden="1" outlineLevel="1" collapsed="1" x14ac:dyDescent="0.3">
      <c r="A18" s="21" t="s">
        <v>49</v>
      </c>
      <c r="B18" s="19"/>
      <c r="C18" s="19"/>
      <c r="D18" s="19"/>
      <c r="E18" s="20"/>
      <c r="F18" s="19"/>
      <c r="G18" s="19"/>
      <c r="H18" s="18" t="s">
        <v>51</v>
      </c>
    </row>
    <row r="19" spans="1:8" hidden="1" outlineLevel="2" x14ac:dyDescent="0.3">
      <c r="A19" s="7">
        <v>45187</v>
      </c>
      <c r="B19" s="8" t="s">
        <v>29</v>
      </c>
      <c r="C19" s="9">
        <v>0.41666666666666669</v>
      </c>
      <c r="D19" s="9">
        <v>0.52777777777777779</v>
      </c>
      <c r="E19" s="9">
        <f t="shared" si="0"/>
        <v>0.1111111111111111</v>
      </c>
      <c r="F19" s="8" t="s">
        <v>52</v>
      </c>
      <c r="G19" s="8" t="s">
        <v>22</v>
      </c>
      <c r="H19" s="2" t="s">
        <v>54</v>
      </c>
    </row>
    <row r="20" spans="1:8" hidden="1" outlineLevel="2" x14ac:dyDescent="0.3">
      <c r="A20" s="14">
        <v>45187</v>
      </c>
      <c r="B20" s="16" t="s">
        <v>31</v>
      </c>
      <c r="C20" s="15">
        <v>0.41666666666666669</v>
      </c>
      <c r="D20" s="15">
        <v>0.52777777777777779</v>
      </c>
      <c r="E20" s="15">
        <f t="shared" si="0"/>
        <v>0.1111111111111111</v>
      </c>
      <c r="F20" s="16" t="s">
        <v>52</v>
      </c>
      <c r="G20" s="16" t="s">
        <v>22</v>
      </c>
      <c r="H20" s="17" t="s">
        <v>54</v>
      </c>
    </row>
    <row r="21" spans="1:8" hidden="1" outlineLevel="2" x14ac:dyDescent="0.3">
      <c r="A21" s="7">
        <v>45187</v>
      </c>
      <c r="B21" s="8" t="s">
        <v>30</v>
      </c>
      <c r="C21" s="9">
        <v>0.41666666666666669</v>
      </c>
      <c r="D21" s="9">
        <v>0.52777777777777779</v>
      </c>
      <c r="E21" s="9">
        <f t="shared" si="0"/>
        <v>0.1111111111111111</v>
      </c>
      <c r="F21" s="8" t="s">
        <v>52</v>
      </c>
      <c r="G21" s="8" t="s">
        <v>22</v>
      </c>
      <c r="H21" s="2" t="s">
        <v>54</v>
      </c>
    </row>
    <row r="22" spans="1:8" hidden="1" outlineLevel="2" x14ac:dyDescent="0.3">
      <c r="A22" s="14">
        <v>45188</v>
      </c>
      <c r="B22" s="16" t="s">
        <v>30</v>
      </c>
      <c r="C22" s="15">
        <v>0.75</v>
      </c>
      <c r="D22" s="15">
        <v>0.89583333333333337</v>
      </c>
      <c r="E22" s="15">
        <f t="shared" si="0"/>
        <v>0.14583333333333337</v>
      </c>
      <c r="F22" s="16" t="s">
        <v>53</v>
      </c>
      <c r="G22" s="16" t="s">
        <v>5</v>
      </c>
      <c r="H22" s="17" t="s">
        <v>55</v>
      </c>
    </row>
    <row r="23" spans="1:8" hidden="1" outlineLevel="2" x14ac:dyDescent="0.3">
      <c r="A23" s="7">
        <v>45190</v>
      </c>
      <c r="B23" s="8" t="s">
        <v>29</v>
      </c>
      <c r="C23" s="9">
        <v>0.56944444444444442</v>
      </c>
      <c r="D23" s="9">
        <v>0.61111111111111105</v>
      </c>
      <c r="E23" s="9">
        <f t="shared" si="0"/>
        <v>4.166666666666663E-2</v>
      </c>
      <c r="F23" s="8" t="s">
        <v>59</v>
      </c>
      <c r="G23" s="8" t="s">
        <v>6</v>
      </c>
      <c r="H23" s="2" t="s">
        <v>56</v>
      </c>
    </row>
    <row r="24" spans="1:8" hidden="1" outlineLevel="2" x14ac:dyDescent="0.3">
      <c r="A24" s="14">
        <v>45191</v>
      </c>
      <c r="B24" s="16" t="s">
        <v>29</v>
      </c>
      <c r="C24" s="15">
        <v>0.52777777777777779</v>
      </c>
      <c r="D24" s="15">
        <v>0.68055555555555547</v>
      </c>
      <c r="E24" s="15">
        <f t="shared" si="0"/>
        <v>0.15277777777777768</v>
      </c>
      <c r="F24" s="16" t="s">
        <v>60</v>
      </c>
      <c r="G24" s="16" t="s">
        <v>6</v>
      </c>
      <c r="H24" s="17" t="s">
        <v>62</v>
      </c>
    </row>
    <row r="25" spans="1:8" hidden="1" outlineLevel="2" x14ac:dyDescent="0.3">
      <c r="A25" s="7">
        <v>45191</v>
      </c>
      <c r="B25" s="8" t="s">
        <v>31</v>
      </c>
      <c r="C25" s="9">
        <v>0.52777777777777779</v>
      </c>
      <c r="D25" s="9">
        <v>0.68055555555555547</v>
      </c>
      <c r="E25" s="9">
        <f t="shared" si="0"/>
        <v>0.15277777777777768</v>
      </c>
      <c r="F25" s="8" t="s">
        <v>65</v>
      </c>
      <c r="G25" s="8" t="s">
        <v>5</v>
      </c>
      <c r="H25" s="2" t="s">
        <v>66</v>
      </c>
    </row>
    <row r="26" spans="1:8" hidden="1" outlineLevel="2" x14ac:dyDescent="0.3">
      <c r="A26" s="14">
        <v>45191</v>
      </c>
      <c r="B26" s="16" t="s">
        <v>30</v>
      </c>
      <c r="C26" s="15">
        <v>0.52777777777777779</v>
      </c>
      <c r="D26" s="15">
        <v>0.68055555555555547</v>
      </c>
      <c r="E26" s="15">
        <f t="shared" si="0"/>
        <v>0.15277777777777768</v>
      </c>
      <c r="F26" s="16" t="s">
        <v>64</v>
      </c>
      <c r="G26" s="16" t="s">
        <v>5</v>
      </c>
      <c r="H26" s="17" t="s">
        <v>63</v>
      </c>
    </row>
    <row r="27" spans="1:8" hidden="1" outlineLevel="2" x14ac:dyDescent="0.3">
      <c r="A27" s="27">
        <v>45192</v>
      </c>
      <c r="B27" s="28" t="s">
        <v>29</v>
      </c>
      <c r="C27" s="29">
        <v>0.625</v>
      </c>
      <c r="D27" s="29">
        <v>0.70833333333333337</v>
      </c>
      <c r="E27" s="29">
        <f t="shared" si="0"/>
        <v>8.333333333333337E-2</v>
      </c>
      <c r="F27" s="28" t="s">
        <v>68</v>
      </c>
      <c r="G27" s="28" t="s">
        <v>14</v>
      </c>
      <c r="H27" s="30" t="s">
        <v>14</v>
      </c>
    </row>
    <row r="28" spans="1:8" hidden="1" outlineLevel="2" x14ac:dyDescent="0.3">
      <c r="A28" s="14">
        <v>45192</v>
      </c>
      <c r="B28" s="16" t="s">
        <v>31</v>
      </c>
      <c r="C28" s="15">
        <v>0.41666666666666669</v>
      </c>
      <c r="D28" s="15">
        <v>0.47916666666666669</v>
      </c>
      <c r="E28" s="15">
        <f t="shared" si="0"/>
        <v>6.25E-2</v>
      </c>
      <c r="F28" s="16" t="s">
        <v>61</v>
      </c>
      <c r="G28" s="16" t="s">
        <v>6</v>
      </c>
      <c r="H28" s="17" t="s">
        <v>14</v>
      </c>
    </row>
    <row r="29" spans="1:8" hidden="1" outlineLevel="1" x14ac:dyDescent="0.3">
      <c r="A29" s="21" t="s">
        <v>57</v>
      </c>
      <c r="B29" s="19"/>
      <c r="C29" s="19"/>
      <c r="D29" s="19"/>
      <c r="E29" s="20"/>
      <c r="F29" s="19"/>
      <c r="G29" s="19"/>
      <c r="H29" s="18" t="s">
        <v>58</v>
      </c>
    </row>
    <row r="30" spans="1:8" hidden="1" outlineLevel="1" x14ac:dyDescent="0.3">
      <c r="A30" s="34">
        <v>45195</v>
      </c>
      <c r="B30" s="2" t="s">
        <v>29</v>
      </c>
      <c r="C30" s="35">
        <v>0.52777777777777779</v>
      </c>
      <c r="D30" s="35">
        <v>0.68055555555555547</v>
      </c>
      <c r="E30" s="35">
        <v>0.15277777777777776</v>
      </c>
      <c r="F30" s="2" t="s">
        <v>69</v>
      </c>
      <c r="G30" s="2" t="s">
        <v>6</v>
      </c>
      <c r="H30" s="2" t="s">
        <v>71</v>
      </c>
    </row>
    <row r="31" spans="1:8" hidden="1" outlineLevel="1" x14ac:dyDescent="0.3">
      <c r="A31" s="36">
        <v>45195</v>
      </c>
      <c r="B31" s="17" t="s">
        <v>31</v>
      </c>
      <c r="C31" s="37">
        <v>0.52777777777777779</v>
      </c>
      <c r="D31" s="37">
        <v>0.68055555555555547</v>
      </c>
      <c r="E31" s="37">
        <v>0.15277777777777776</v>
      </c>
      <c r="F31" s="17" t="s">
        <v>61</v>
      </c>
      <c r="G31" s="17" t="s">
        <v>7</v>
      </c>
      <c r="H31" s="17" t="s">
        <v>14</v>
      </c>
    </row>
    <row r="32" spans="1:8" hidden="1" outlineLevel="1" x14ac:dyDescent="0.3">
      <c r="A32" s="34">
        <v>45195</v>
      </c>
      <c r="B32" s="2" t="s">
        <v>30</v>
      </c>
      <c r="C32" s="35">
        <v>0.52777777777777779</v>
      </c>
      <c r="D32" s="35">
        <v>0.68055555555555547</v>
      </c>
      <c r="E32" s="35">
        <v>0.15277777777777776</v>
      </c>
      <c r="F32" s="2" t="s">
        <v>70</v>
      </c>
      <c r="G32" s="2" t="s">
        <v>5</v>
      </c>
      <c r="H32" s="2" t="s">
        <v>72</v>
      </c>
    </row>
    <row r="33" spans="1:8" hidden="1" outlineLevel="1" x14ac:dyDescent="0.3">
      <c r="A33" s="36">
        <v>45197</v>
      </c>
      <c r="B33" s="17" t="s">
        <v>29</v>
      </c>
      <c r="C33" s="37">
        <v>0.74305555555555547</v>
      </c>
      <c r="D33" s="37">
        <v>0.63194444444444442</v>
      </c>
      <c r="E33" s="37">
        <v>1.3888888888888888E-2</v>
      </c>
      <c r="F33" s="17" t="s">
        <v>61</v>
      </c>
      <c r="G33" s="17" t="s">
        <v>22</v>
      </c>
      <c r="H33" s="17" t="s">
        <v>14</v>
      </c>
    </row>
    <row r="34" spans="1:8" hidden="1" outlineLevel="1" x14ac:dyDescent="0.3">
      <c r="A34" s="34">
        <v>45198</v>
      </c>
      <c r="B34" s="2" t="s">
        <v>29</v>
      </c>
      <c r="C34" s="35">
        <v>0.52777777777777779</v>
      </c>
      <c r="D34" s="35">
        <v>0.68055555555555547</v>
      </c>
      <c r="E34" s="35">
        <v>0.15277777777777776</v>
      </c>
      <c r="F34" s="2" t="s">
        <v>74</v>
      </c>
      <c r="G34" s="2" t="s">
        <v>6</v>
      </c>
      <c r="H34" s="2" t="s">
        <v>75</v>
      </c>
    </row>
    <row r="35" spans="1:8" hidden="1" outlineLevel="1" x14ac:dyDescent="0.3">
      <c r="A35" s="36">
        <v>45198</v>
      </c>
      <c r="B35" s="17" t="s">
        <v>30</v>
      </c>
      <c r="C35" s="37">
        <v>0.52777777777777779</v>
      </c>
      <c r="D35" s="37">
        <v>0.68055555555555547</v>
      </c>
      <c r="E35" s="37">
        <v>0.15277777777777776</v>
      </c>
      <c r="F35" s="17" t="s">
        <v>76</v>
      </c>
      <c r="G35" s="17" t="s">
        <v>5</v>
      </c>
      <c r="H35" s="17" t="s">
        <v>77</v>
      </c>
    </row>
    <row r="36" spans="1:8" hidden="1" outlineLevel="1" x14ac:dyDescent="0.3">
      <c r="A36" s="34">
        <v>45198</v>
      </c>
      <c r="B36" s="2" t="s">
        <v>31</v>
      </c>
      <c r="C36" s="35">
        <v>0.52777777777777779</v>
      </c>
      <c r="D36" s="35">
        <v>0.68055555555555547</v>
      </c>
      <c r="E36" s="35">
        <v>0.15277777777777776</v>
      </c>
      <c r="F36" s="2" t="s">
        <v>78</v>
      </c>
      <c r="G36" s="2" t="s">
        <v>7</v>
      </c>
      <c r="H36" s="2" t="s">
        <v>79</v>
      </c>
    </row>
    <row r="37" spans="1:8" collapsed="1" x14ac:dyDescent="0.3">
      <c r="A37" s="31" t="s">
        <v>80</v>
      </c>
      <c r="B37" s="32"/>
      <c r="C37" s="32"/>
      <c r="D37" s="32"/>
      <c r="E37" s="32"/>
      <c r="F37" s="32"/>
      <c r="G37" s="32"/>
      <c r="H37" s="33"/>
    </row>
    <row r="38" spans="1:8" hidden="1" outlineLevel="1" x14ac:dyDescent="0.3">
      <c r="A38" s="12" t="s">
        <v>81</v>
      </c>
      <c r="B38" s="38"/>
      <c r="C38" s="38"/>
      <c r="D38" s="38"/>
      <c r="E38" s="38"/>
      <c r="F38" s="38"/>
      <c r="G38" s="38"/>
      <c r="H38" s="18" t="s">
        <v>82</v>
      </c>
    </row>
    <row r="39" spans="1:8" hidden="1" outlineLevel="2" x14ac:dyDescent="0.3">
      <c r="A39" s="34">
        <v>45202</v>
      </c>
      <c r="B39" s="2" t="s">
        <v>29</v>
      </c>
      <c r="C39" s="35">
        <v>0.61111111111111105</v>
      </c>
      <c r="D39" s="35">
        <v>0.70138888888888884</v>
      </c>
      <c r="E39" s="35">
        <v>9.0277777777777776E-2</v>
      </c>
      <c r="F39" s="2" t="s">
        <v>83</v>
      </c>
      <c r="G39" s="2" t="s">
        <v>6</v>
      </c>
      <c r="H39" s="2" t="s">
        <v>85</v>
      </c>
    </row>
    <row r="40" spans="1:8" hidden="1" outlineLevel="2" x14ac:dyDescent="0.3">
      <c r="A40" s="36">
        <v>45202</v>
      </c>
      <c r="B40" s="17" t="s">
        <v>31</v>
      </c>
      <c r="C40" s="37">
        <v>0.61111111111111105</v>
      </c>
      <c r="D40" s="37">
        <v>0.70138888888888884</v>
      </c>
      <c r="E40" s="37">
        <v>9.0277777777777776E-2</v>
      </c>
      <c r="F40" s="17" t="s">
        <v>84</v>
      </c>
      <c r="G40" s="17" t="s">
        <v>7</v>
      </c>
      <c r="H40" s="17" t="s">
        <v>85</v>
      </c>
    </row>
    <row r="41" spans="1:8" hidden="1" outlineLevel="2" x14ac:dyDescent="0.3">
      <c r="A41" s="34">
        <v>45203</v>
      </c>
      <c r="B41" s="2" t="s">
        <v>29</v>
      </c>
      <c r="C41" s="35">
        <v>0.56944444444444442</v>
      </c>
      <c r="D41" s="35">
        <v>0.61111111111111105</v>
      </c>
      <c r="E41" s="35">
        <v>4.1666666666666664E-2</v>
      </c>
      <c r="F41" s="2" t="s">
        <v>86</v>
      </c>
      <c r="G41" s="2" t="s">
        <v>6</v>
      </c>
      <c r="H41" s="2" t="s">
        <v>87</v>
      </c>
    </row>
    <row r="42" spans="1:8" hidden="1" outlineLevel="2" x14ac:dyDescent="0.3">
      <c r="A42" s="36">
        <v>45203</v>
      </c>
      <c r="B42" s="17" t="s">
        <v>31</v>
      </c>
      <c r="C42" s="37">
        <v>0.56944444444444442</v>
      </c>
      <c r="D42" s="37">
        <v>0.61111111111111105</v>
      </c>
      <c r="E42" s="37">
        <v>4.1666666666666664E-2</v>
      </c>
      <c r="F42" s="17" t="s">
        <v>89</v>
      </c>
      <c r="G42" s="17" t="s">
        <v>7</v>
      </c>
      <c r="H42" s="17" t="s">
        <v>88</v>
      </c>
    </row>
    <row r="43" spans="1:8" hidden="1" outlineLevel="2" x14ac:dyDescent="0.3">
      <c r="A43" s="34">
        <v>45204</v>
      </c>
      <c r="B43" s="2" t="s">
        <v>29</v>
      </c>
      <c r="C43" s="35">
        <v>0.56944444444444442</v>
      </c>
      <c r="D43" s="35">
        <v>0.63194444444444442</v>
      </c>
      <c r="E43" s="35">
        <v>6.25E-2</v>
      </c>
      <c r="F43" s="2" t="s">
        <v>91</v>
      </c>
      <c r="G43" s="2" t="s">
        <v>6</v>
      </c>
      <c r="H43" s="2" t="s">
        <v>92</v>
      </c>
    </row>
    <row r="44" spans="1:8" hidden="1" outlineLevel="2" x14ac:dyDescent="0.3">
      <c r="A44" s="36">
        <v>45204</v>
      </c>
      <c r="B44" s="17" t="s">
        <v>31</v>
      </c>
      <c r="C44" s="37">
        <v>0.56944444444444442</v>
      </c>
      <c r="D44" s="37">
        <v>0.63194444444444442</v>
      </c>
      <c r="E44" s="37">
        <v>6.25E-2</v>
      </c>
      <c r="F44" s="17" t="s">
        <v>90</v>
      </c>
      <c r="G44" s="17" t="s">
        <v>7</v>
      </c>
      <c r="H44" s="17" t="s">
        <v>93</v>
      </c>
    </row>
    <row r="45" spans="1:8" hidden="1" outlineLevel="2" x14ac:dyDescent="0.3">
      <c r="A45" s="34">
        <v>45204</v>
      </c>
      <c r="B45" s="2" t="s">
        <v>29</v>
      </c>
      <c r="C45" s="35">
        <v>0.79166666666666663</v>
      </c>
      <c r="D45" s="35">
        <v>0.83333333333333337</v>
      </c>
      <c r="E45" s="35">
        <v>4.1666666666666664E-2</v>
      </c>
      <c r="F45" s="2" t="s">
        <v>61</v>
      </c>
      <c r="G45" s="2" t="s">
        <v>14</v>
      </c>
      <c r="H45" s="2" t="s">
        <v>14</v>
      </c>
    </row>
    <row r="46" spans="1:8" hidden="1" outlineLevel="2" x14ac:dyDescent="0.3">
      <c r="A46" s="36">
        <v>45205</v>
      </c>
      <c r="B46" s="17" t="s">
        <v>29</v>
      </c>
      <c r="C46" s="37">
        <v>0.52777777777777779</v>
      </c>
      <c r="D46" s="37">
        <v>0.68055555555555547</v>
      </c>
      <c r="E46" s="37">
        <v>0.15277777777777776</v>
      </c>
      <c r="F46" s="17" t="s">
        <v>94</v>
      </c>
      <c r="G46" s="17" t="s">
        <v>6</v>
      </c>
      <c r="H46" s="17" t="s">
        <v>96</v>
      </c>
    </row>
    <row r="47" spans="1:8" hidden="1" outlineLevel="2" x14ac:dyDescent="0.3">
      <c r="A47" s="34">
        <v>45205</v>
      </c>
      <c r="B47" s="2" t="s">
        <v>31</v>
      </c>
      <c r="C47" s="35">
        <v>0.52777777777777779</v>
      </c>
      <c r="D47" s="35">
        <v>0.68055555555555547</v>
      </c>
      <c r="E47" s="35">
        <v>0.15277777777777776</v>
      </c>
      <c r="F47" s="2" t="s">
        <v>95</v>
      </c>
      <c r="G47" s="2" t="s">
        <v>7</v>
      </c>
      <c r="H47" s="2" t="s">
        <v>97</v>
      </c>
    </row>
    <row r="48" spans="1:8" hidden="1" outlineLevel="1" collapsed="1" x14ac:dyDescent="0.3">
      <c r="A48" s="12" t="s">
        <v>98</v>
      </c>
      <c r="B48" s="13"/>
      <c r="C48" s="13"/>
      <c r="D48" s="13"/>
      <c r="E48" s="13"/>
      <c r="F48" s="13"/>
      <c r="G48" s="13"/>
      <c r="H48" s="18" t="s">
        <v>99</v>
      </c>
    </row>
    <row r="49" spans="1:8" hidden="1" outlineLevel="2" x14ac:dyDescent="0.3">
      <c r="A49" s="34">
        <v>45212</v>
      </c>
      <c r="B49" s="2" t="s">
        <v>29</v>
      </c>
      <c r="C49" s="35">
        <v>0.52777777777777779</v>
      </c>
      <c r="D49" s="35">
        <v>0.68055555555555547</v>
      </c>
      <c r="E49" s="35">
        <v>0.15277777777777776</v>
      </c>
      <c r="F49" s="2" t="s">
        <v>100</v>
      </c>
      <c r="G49" s="2" t="s">
        <v>6</v>
      </c>
      <c r="H49" s="2" t="s">
        <v>103</v>
      </c>
    </row>
    <row r="50" spans="1:8" hidden="1" outlineLevel="2" x14ac:dyDescent="0.3">
      <c r="A50" s="36">
        <v>45212</v>
      </c>
      <c r="B50" s="17" t="s">
        <v>31</v>
      </c>
      <c r="C50" s="37">
        <v>0.52777777777777779</v>
      </c>
      <c r="D50" s="37">
        <v>0.68055555555555547</v>
      </c>
      <c r="E50" s="37">
        <v>0.15277777777777776</v>
      </c>
      <c r="F50" s="17" t="s">
        <v>101</v>
      </c>
      <c r="G50" s="17" t="s">
        <v>7</v>
      </c>
      <c r="H50" s="17" t="s">
        <v>92</v>
      </c>
    </row>
    <row r="51" spans="1:8" hidden="1" outlineLevel="2" x14ac:dyDescent="0.3">
      <c r="A51" s="34">
        <v>45212</v>
      </c>
      <c r="B51" s="2" t="s">
        <v>30</v>
      </c>
      <c r="C51" s="35">
        <v>0.52777777777777779</v>
      </c>
      <c r="D51" s="35">
        <v>0.68055555555555547</v>
      </c>
      <c r="E51" s="35">
        <v>0.15277777777777776</v>
      </c>
      <c r="F51" s="2" t="s">
        <v>102</v>
      </c>
      <c r="G51" s="2" t="s">
        <v>5</v>
      </c>
      <c r="H51" s="2" t="s">
        <v>104</v>
      </c>
    </row>
    <row r="52" spans="1:8" hidden="1" outlineLevel="2" x14ac:dyDescent="0.3">
      <c r="A52" s="36">
        <v>45213</v>
      </c>
      <c r="B52" s="17" t="s">
        <v>29</v>
      </c>
      <c r="C52" s="37">
        <v>0.58333333333333337</v>
      </c>
      <c r="D52" s="37">
        <v>0.625</v>
      </c>
      <c r="E52" s="37">
        <v>4.1666666666666664E-2</v>
      </c>
      <c r="F52" s="17" t="s">
        <v>107</v>
      </c>
      <c r="G52" s="17" t="s">
        <v>22</v>
      </c>
      <c r="H52" s="17" t="s">
        <v>14</v>
      </c>
    </row>
    <row r="53" spans="1:8" hidden="1" outlineLevel="2" x14ac:dyDescent="0.3">
      <c r="A53" s="39">
        <v>45213</v>
      </c>
      <c r="B53" s="25" t="s">
        <v>29</v>
      </c>
      <c r="C53" s="40">
        <v>0.70833333333333337</v>
      </c>
      <c r="D53" s="40">
        <v>0.72916666666666663</v>
      </c>
      <c r="E53" s="40">
        <v>2.0833333333333332E-2</v>
      </c>
      <c r="F53" s="25" t="s">
        <v>108</v>
      </c>
      <c r="G53" s="25" t="s">
        <v>6</v>
      </c>
      <c r="H53" s="25" t="s">
        <v>14</v>
      </c>
    </row>
    <row r="54" spans="1:8" hidden="1" outlineLevel="2" x14ac:dyDescent="0.3">
      <c r="A54" s="36">
        <v>45214</v>
      </c>
      <c r="B54" s="17" t="s">
        <v>30</v>
      </c>
      <c r="C54" s="37">
        <v>0.5</v>
      </c>
      <c r="D54" s="37">
        <v>0.58333333333333337</v>
      </c>
      <c r="E54" s="37">
        <v>8.3333333333333329E-2</v>
      </c>
      <c r="F54" s="17" t="s">
        <v>109</v>
      </c>
      <c r="G54" s="17" t="s">
        <v>5</v>
      </c>
      <c r="H54" s="17" t="s">
        <v>110</v>
      </c>
    </row>
    <row r="55" spans="1:8" hidden="1" outlineLevel="1" collapsed="1" x14ac:dyDescent="0.3">
      <c r="A55" s="12" t="s">
        <v>105</v>
      </c>
      <c r="B55" s="13"/>
      <c r="C55" s="13"/>
      <c r="D55" s="13"/>
      <c r="E55" s="13"/>
      <c r="F55" s="13"/>
      <c r="G55" s="13"/>
      <c r="H55" s="18" t="s">
        <v>106</v>
      </c>
    </row>
    <row r="56" spans="1:8" hidden="1" outlineLevel="2" x14ac:dyDescent="0.3">
      <c r="A56" s="34">
        <v>45219</v>
      </c>
      <c r="B56" s="2" t="s">
        <v>29</v>
      </c>
      <c r="C56" s="35">
        <v>0.52777777777777779</v>
      </c>
      <c r="D56" s="35">
        <v>0.68055555555555547</v>
      </c>
      <c r="E56" s="35">
        <v>0.15277777777777776</v>
      </c>
      <c r="F56" s="2" t="s">
        <v>100</v>
      </c>
      <c r="G56" s="2" t="s">
        <v>6</v>
      </c>
      <c r="H56" s="2" t="s">
        <v>112</v>
      </c>
    </row>
    <row r="57" spans="1:8" hidden="1" outlineLevel="2" x14ac:dyDescent="0.3">
      <c r="A57" s="36">
        <v>45219</v>
      </c>
      <c r="B57" s="17" t="s">
        <v>30</v>
      </c>
      <c r="C57" s="37">
        <v>0.52777777777777779</v>
      </c>
      <c r="D57" s="37">
        <v>0.68055555555555547</v>
      </c>
      <c r="E57" s="37">
        <v>0.15277777777777776</v>
      </c>
      <c r="F57" s="17" t="s">
        <v>111</v>
      </c>
      <c r="G57" s="17" t="s">
        <v>5</v>
      </c>
      <c r="H57" s="17" t="s">
        <v>113</v>
      </c>
    </row>
    <row r="58" spans="1:8" hidden="1" outlineLevel="2" x14ac:dyDescent="0.3">
      <c r="A58" s="34">
        <v>45219</v>
      </c>
      <c r="B58" s="2" t="s">
        <v>31</v>
      </c>
      <c r="C58" s="35">
        <v>0.52777777777777779</v>
      </c>
      <c r="D58" s="35">
        <v>0.68055555555555547</v>
      </c>
      <c r="E58" s="35">
        <v>0.15277777777777776</v>
      </c>
      <c r="F58" s="25" t="s">
        <v>101</v>
      </c>
      <c r="G58" s="2" t="s">
        <v>7</v>
      </c>
      <c r="H58" s="2" t="s">
        <v>114</v>
      </c>
    </row>
    <row r="59" spans="1:8" hidden="1" outlineLevel="1" collapsed="1" x14ac:dyDescent="0.3">
      <c r="A59" s="12" t="s">
        <v>115</v>
      </c>
      <c r="B59" s="38"/>
      <c r="C59" s="38"/>
      <c r="D59" s="38"/>
      <c r="E59" s="38"/>
      <c r="F59" s="38"/>
      <c r="G59" s="38"/>
      <c r="H59" s="18" t="s">
        <v>116</v>
      </c>
    </row>
    <row r="60" spans="1:8" hidden="1" outlineLevel="2" x14ac:dyDescent="0.3">
      <c r="A60" s="34">
        <v>45224</v>
      </c>
      <c r="B60" s="2" t="s">
        <v>29</v>
      </c>
      <c r="C60" s="35">
        <v>0.5625</v>
      </c>
      <c r="D60" s="35">
        <v>0.64583333333333337</v>
      </c>
      <c r="E60" s="35">
        <v>8.3333333333333329E-2</v>
      </c>
      <c r="F60" s="2" t="s">
        <v>100</v>
      </c>
      <c r="G60" s="2" t="s">
        <v>6</v>
      </c>
      <c r="H60" s="2" t="s">
        <v>117</v>
      </c>
    </row>
    <row r="61" spans="1:8" hidden="1" outlineLevel="2" x14ac:dyDescent="0.3">
      <c r="A61" s="36">
        <v>45224</v>
      </c>
      <c r="B61" s="17" t="s">
        <v>31</v>
      </c>
      <c r="C61" s="37">
        <v>0.5625</v>
      </c>
      <c r="D61" s="37">
        <v>0.64583333333333337</v>
      </c>
      <c r="E61" s="37">
        <v>8.3333333333333329E-2</v>
      </c>
      <c r="F61" s="17" t="s">
        <v>100</v>
      </c>
      <c r="G61" s="17" t="s">
        <v>7</v>
      </c>
      <c r="H61" s="17" t="s">
        <v>117</v>
      </c>
    </row>
    <row r="62" spans="1:8" hidden="1" outlineLevel="2" x14ac:dyDescent="0.3">
      <c r="A62" s="34">
        <v>45225</v>
      </c>
      <c r="B62" s="2" t="s">
        <v>29</v>
      </c>
      <c r="C62" s="35">
        <v>0.54166666666666663</v>
      </c>
      <c r="D62" s="35">
        <v>0.66666666666666663</v>
      </c>
      <c r="E62" s="35">
        <v>0.125</v>
      </c>
      <c r="F62" s="2" t="s">
        <v>118</v>
      </c>
      <c r="G62" s="2" t="s">
        <v>6</v>
      </c>
      <c r="H62" s="2" t="s">
        <v>119</v>
      </c>
    </row>
    <row r="63" spans="1:8" hidden="1" outlineLevel="2" x14ac:dyDescent="0.3">
      <c r="A63" s="36">
        <v>45226</v>
      </c>
      <c r="B63" s="17" t="s">
        <v>29</v>
      </c>
      <c r="C63" s="37">
        <v>0.59722222222222221</v>
      </c>
      <c r="D63" s="37">
        <v>0.68055555555555547</v>
      </c>
      <c r="E63" s="37">
        <v>8.3333333333333329E-2</v>
      </c>
      <c r="F63" s="17" t="s">
        <v>100</v>
      </c>
      <c r="G63" s="17" t="s">
        <v>6</v>
      </c>
      <c r="H63" s="17" t="s">
        <v>120</v>
      </c>
    </row>
    <row r="64" spans="1:8" hidden="1" outlineLevel="1" collapsed="1" x14ac:dyDescent="0.3">
      <c r="A64" s="12" t="s">
        <v>121</v>
      </c>
      <c r="B64" s="38"/>
      <c r="C64" s="38"/>
      <c r="D64" s="38"/>
      <c r="E64" s="38"/>
      <c r="F64" s="38"/>
      <c r="G64" s="38"/>
      <c r="H64" s="18" t="s">
        <v>122</v>
      </c>
    </row>
    <row r="65" spans="1:8" hidden="1" outlineLevel="1" x14ac:dyDescent="0.3">
      <c r="A65" s="34">
        <v>45229</v>
      </c>
      <c r="B65" s="2" t="s">
        <v>29</v>
      </c>
      <c r="C65" s="35">
        <v>0.5</v>
      </c>
      <c r="D65" s="35">
        <v>0.60416666666666663</v>
      </c>
      <c r="E65" s="35">
        <v>0.10416666666666667</v>
      </c>
      <c r="F65" s="2" t="s">
        <v>123</v>
      </c>
      <c r="G65" s="2" t="s">
        <v>6</v>
      </c>
      <c r="H65" s="2" t="s">
        <v>124</v>
      </c>
    </row>
    <row r="66" spans="1:8" collapsed="1" x14ac:dyDescent="0.3">
      <c r="A66" s="3" t="s">
        <v>125</v>
      </c>
      <c r="B66" s="41"/>
      <c r="C66" s="41"/>
      <c r="D66" s="41"/>
      <c r="E66" s="41"/>
      <c r="F66" s="41"/>
      <c r="G66" s="41"/>
      <c r="H66" s="42"/>
    </row>
    <row r="67" spans="1:8" hidden="1" outlineLevel="1" x14ac:dyDescent="0.3">
      <c r="A67" s="12" t="s">
        <v>121</v>
      </c>
      <c r="B67" s="38"/>
      <c r="C67" s="38"/>
      <c r="D67" s="38"/>
      <c r="E67" s="38"/>
      <c r="F67" s="38"/>
      <c r="G67" s="38"/>
      <c r="H67" s="18" t="s">
        <v>126</v>
      </c>
    </row>
    <row r="68" spans="1:8" hidden="1" outlineLevel="2" x14ac:dyDescent="0.3">
      <c r="A68" s="43">
        <v>45231</v>
      </c>
      <c r="B68" t="s">
        <v>29</v>
      </c>
      <c r="C68" s="44">
        <v>0.58333333333333337</v>
      </c>
      <c r="D68" s="44">
        <v>0.625</v>
      </c>
      <c r="E68" s="44">
        <v>4.1666666666666664E-2</v>
      </c>
      <c r="F68" t="s">
        <v>127</v>
      </c>
      <c r="G68" t="s">
        <v>6</v>
      </c>
      <c r="H68" t="s">
        <v>128</v>
      </c>
    </row>
    <row r="69" spans="1:8" hidden="1" outlineLevel="1" collapsed="1" x14ac:dyDescent="0.3">
      <c r="A69" s="12" t="s">
        <v>129</v>
      </c>
      <c r="B69" s="38"/>
      <c r="C69" s="38"/>
      <c r="D69" s="38"/>
      <c r="E69" s="38"/>
      <c r="F69" s="38"/>
      <c r="G69" s="38"/>
      <c r="H69" s="18" t="s">
        <v>130</v>
      </c>
    </row>
    <row r="70" spans="1:8" hidden="1" outlineLevel="2" x14ac:dyDescent="0.3">
      <c r="A70" s="34">
        <v>45236</v>
      </c>
      <c r="B70" s="2" t="s">
        <v>29</v>
      </c>
      <c r="C70" s="35">
        <v>0.56944444444444442</v>
      </c>
      <c r="D70" s="35">
        <v>0.68055555555555547</v>
      </c>
      <c r="E70" s="35">
        <v>0.10416666666666667</v>
      </c>
      <c r="F70" s="2" t="s">
        <v>128</v>
      </c>
      <c r="G70" s="2" t="s">
        <v>6</v>
      </c>
      <c r="H70" s="2" t="s">
        <v>131</v>
      </c>
    </row>
    <row r="71" spans="1:8" hidden="1" outlineLevel="2" x14ac:dyDescent="0.3">
      <c r="A71" s="36">
        <v>45236</v>
      </c>
      <c r="B71" s="17" t="s">
        <v>31</v>
      </c>
      <c r="C71" s="37">
        <v>0.56944444444444442</v>
      </c>
      <c r="D71" s="37">
        <v>0.68055555555555547</v>
      </c>
      <c r="E71" s="37">
        <v>0.10416666666666667</v>
      </c>
      <c r="F71" s="17" t="s">
        <v>128</v>
      </c>
      <c r="G71" s="17" t="s">
        <v>7</v>
      </c>
      <c r="H71" s="17" t="s">
        <v>131</v>
      </c>
    </row>
    <row r="72" spans="1:8" hidden="1" outlineLevel="2" x14ac:dyDescent="0.3">
      <c r="A72" s="34">
        <v>45238</v>
      </c>
      <c r="B72" s="2" t="s">
        <v>29</v>
      </c>
      <c r="C72" s="35">
        <v>0.56944444444444442</v>
      </c>
      <c r="D72" s="35">
        <v>0.66666666666666663</v>
      </c>
      <c r="E72" s="35">
        <v>9.7222222222222224E-2</v>
      </c>
      <c r="F72" s="2" t="s">
        <v>132</v>
      </c>
      <c r="G72" s="2" t="s">
        <v>6</v>
      </c>
      <c r="H72" s="2" t="s">
        <v>136</v>
      </c>
    </row>
    <row r="73" spans="1:8" hidden="1" outlineLevel="2" x14ac:dyDescent="0.3">
      <c r="A73" s="36">
        <v>45238</v>
      </c>
      <c r="B73" s="17" t="s">
        <v>31</v>
      </c>
      <c r="C73" s="37">
        <v>0.56944444444444442</v>
      </c>
      <c r="D73" s="37">
        <v>0.66666666666666663</v>
      </c>
      <c r="E73" s="37">
        <v>9.7222222222222224E-2</v>
      </c>
      <c r="F73" s="17" t="s">
        <v>133</v>
      </c>
      <c r="G73" s="17" t="s">
        <v>7</v>
      </c>
      <c r="H73" s="17" t="s">
        <v>79</v>
      </c>
    </row>
    <row r="74" spans="1:8" hidden="1" outlineLevel="2" x14ac:dyDescent="0.3">
      <c r="A74" s="34">
        <v>45238</v>
      </c>
      <c r="B74" s="2" t="s">
        <v>30</v>
      </c>
      <c r="C74" s="35">
        <v>0.56944444444444442</v>
      </c>
      <c r="D74" s="35">
        <v>0.66666666666666663</v>
      </c>
      <c r="E74" s="35">
        <f>D74-C74</f>
        <v>9.722222222222221E-2</v>
      </c>
      <c r="F74" s="2" t="s">
        <v>134</v>
      </c>
      <c r="G74" s="2" t="s">
        <v>5</v>
      </c>
      <c r="H74" s="2" t="s">
        <v>137</v>
      </c>
    </row>
    <row r="75" spans="1:8" hidden="1" outlineLevel="2" x14ac:dyDescent="0.3">
      <c r="A75" s="36">
        <v>45238</v>
      </c>
      <c r="B75" s="17" t="s">
        <v>29</v>
      </c>
      <c r="C75" s="37">
        <v>0.79166666666666663</v>
      </c>
      <c r="D75" s="37">
        <v>0.8125</v>
      </c>
      <c r="E75" s="37">
        <f>D75-C75</f>
        <v>2.083333333333337E-2</v>
      </c>
      <c r="F75" s="17" t="s">
        <v>135</v>
      </c>
      <c r="G75" s="17" t="s">
        <v>6</v>
      </c>
      <c r="H75" s="17" t="s">
        <v>79</v>
      </c>
    </row>
    <row r="76" spans="1:8" hidden="1" outlineLevel="2" x14ac:dyDescent="0.3">
      <c r="A76" s="34">
        <v>45240</v>
      </c>
      <c r="B76" s="2" t="s">
        <v>29</v>
      </c>
      <c r="C76" s="35">
        <v>0.52777777777777779</v>
      </c>
      <c r="D76" s="35">
        <v>0.71527777777777779</v>
      </c>
      <c r="E76" s="35">
        <f>D76-C76</f>
        <v>0.1875</v>
      </c>
      <c r="F76" s="2" t="s">
        <v>138</v>
      </c>
      <c r="G76" s="2" t="s">
        <v>6</v>
      </c>
      <c r="H76" s="2" t="s">
        <v>142</v>
      </c>
    </row>
    <row r="77" spans="1:8" hidden="1" outlineLevel="2" x14ac:dyDescent="0.3">
      <c r="A77" s="36">
        <v>45240</v>
      </c>
      <c r="B77" s="17" t="s">
        <v>30</v>
      </c>
      <c r="C77" s="37">
        <v>0.52777777777777779</v>
      </c>
      <c r="D77" s="37">
        <v>0.68055555555555547</v>
      </c>
      <c r="E77" s="37">
        <f t="shared" ref="E77:E79" si="1">D77-C77</f>
        <v>0.15277777777777768</v>
      </c>
      <c r="F77" s="17" t="s">
        <v>140</v>
      </c>
      <c r="G77" s="17" t="s">
        <v>5</v>
      </c>
      <c r="H77" s="17" t="s">
        <v>143</v>
      </c>
    </row>
    <row r="78" spans="1:8" hidden="1" outlineLevel="2" x14ac:dyDescent="0.3">
      <c r="A78" s="34">
        <v>45240</v>
      </c>
      <c r="B78" s="2" t="s">
        <v>31</v>
      </c>
      <c r="C78" s="35">
        <v>0.52777777777777779</v>
      </c>
      <c r="D78" s="35">
        <v>0.68055555555555547</v>
      </c>
      <c r="E78" s="35">
        <f t="shared" si="1"/>
        <v>0.15277777777777768</v>
      </c>
      <c r="F78" s="2" t="s">
        <v>139</v>
      </c>
      <c r="G78" s="2" t="s">
        <v>7</v>
      </c>
      <c r="H78" s="2" t="s">
        <v>141</v>
      </c>
    </row>
    <row r="79" spans="1:8" hidden="1" outlineLevel="2" x14ac:dyDescent="0.3">
      <c r="A79" s="36">
        <v>45241</v>
      </c>
      <c r="B79" s="17" t="s">
        <v>29</v>
      </c>
      <c r="C79" s="37">
        <v>0.41666666666666669</v>
      </c>
      <c r="D79" s="37">
        <v>0.54166666666666663</v>
      </c>
      <c r="E79" s="37">
        <f t="shared" si="1"/>
        <v>0.12499999999999994</v>
      </c>
      <c r="F79" s="17" t="s">
        <v>144</v>
      </c>
      <c r="G79" s="17" t="s">
        <v>6</v>
      </c>
      <c r="H79" s="17" t="s">
        <v>146</v>
      </c>
    </row>
    <row r="80" spans="1:8" hidden="1" outlineLevel="2" x14ac:dyDescent="0.3">
      <c r="A80" s="34">
        <v>45241</v>
      </c>
      <c r="B80" s="2" t="s">
        <v>31</v>
      </c>
      <c r="C80" s="35">
        <v>0.54166666666666663</v>
      </c>
      <c r="D80" s="35">
        <v>0.60416666666666663</v>
      </c>
      <c r="E80" s="35">
        <f>D80-C80</f>
        <v>6.25E-2</v>
      </c>
      <c r="F80" s="2" t="s">
        <v>145</v>
      </c>
      <c r="G80" s="2" t="s">
        <v>7</v>
      </c>
      <c r="H80" s="2" t="s">
        <v>147</v>
      </c>
    </row>
    <row r="81" spans="1:8" hidden="1" outlineLevel="1" collapsed="1" x14ac:dyDescent="0.3">
      <c r="A81" s="12" t="s">
        <v>148</v>
      </c>
      <c r="B81" s="38"/>
      <c r="C81" s="38"/>
      <c r="D81" s="38"/>
      <c r="E81" s="38"/>
      <c r="F81" s="38"/>
      <c r="G81" s="38"/>
      <c r="H81" s="18" t="s">
        <v>149</v>
      </c>
    </row>
    <row r="82" spans="1:8" hidden="1" outlineLevel="2" x14ac:dyDescent="0.3">
      <c r="A82" s="34">
        <v>45246</v>
      </c>
      <c r="B82" s="2" t="s">
        <v>29</v>
      </c>
      <c r="C82" s="35">
        <v>0.5625</v>
      </c>
      <c r="D82" s="35">
        <v>0.6875</v>
      </c>
      <c r="E82" s="35">
        <f>D82-C82</f>
        <v>0.125</v>
      </c>
      <c r="F82" s="2" t="s">
        <v>150</v>
      </c>
      <c r="G82" s="2" t="s">
        <v>6</v>
      </c>
      <c r="H82" s="2" t="s">
        <v>153</v>
      </c>
    </row>
    <row r="83" spans="1:8" hidden="1" outlineLevel="2" x14ac:dyDescent="0.3">
      <c r="A83" s="36">
        <v>45246</v>
      </c>
      <c r="B83" s="17" t="s">
        <v>30</v>
      </c>
      <c r="C83" s="37">
        <v>0.5625</v>
      </c>
      <c r="D83" s="37">
        <v>0.6875</v>
      </c>
      <c r="E83" s="37">
        <f t="shared" ref="E83:E85" si="2">D83-C83</f>
        <v>0.125</v>
      </c>
      <c r="F83" s="17" t="s">
        <v>151</v>
      </c>
      <c r="G83" s="17" t="s">
        <v>5</v>
      </c>
      <c r="H83" s="17" t="s">
        <v>155</v>
      </c>
    </row>
    <row r="84" spans="1:8" ht="28.8" hidden="1" outlineLevel="2" x14ac:dyDescent="0.3">
      <c r="A84" s="34">
        <v>45246</v>
      </c>
      <c r="B84" s="2" t="s">
        <v>31</v>
      </c>
      <c r="C84" s="35">
        <v>0.5625</v>
      </c>
      <c r="D84" s="35">
        <v>0.6875</v>
      </c>
      <c r="E84" s="35">
        <f t="shared" si="2"/>
        <v>0.125</v>
      </c>
      <c r="F84" s="45" t="s">
        <v>152</v>
      </c>
      <c r="G84" s="2" t="s">
        <v>7</v>
      </c>
      <c r="H84" s="2" t="s">
        <v>154</v>
      </c>
    </row>
    <row r="85" spans="1:8" hidden="1" outlineLevel="2" x14ac:dyDescent="0.3">
      <c r="A85" s="36">
        <v>45248</v>
      </c>
      <c r="B85" s="17" t="s">
        <v>31</v>
      </c>
      <c r="C85" s="37">
        <v>0.625</v>
      </c>
      <c r="D85" s="37">
        <v>0.70833333333333337</v>
      </c>
      <c r="E85" s="37">
        <f t="shared" si="2"/>
        <v>8.333333333333337E-2</v>
      </c>
      <c r="F85" s="17" t="s">
        <v>156</v>
      </c>
      <c r="G85" s="17" t="s">
        <v>7</v>
      </c>
      <c r="H85" s="17" t="s">
        <v>157</v>
      </c>
    </row>
    <row r="86" spans="1:8" hidden="1" outlineLevel="1" collapsed="1" x14ac:dyDescent="0.3">
      <c r="A86" s="12" t="s">
        <v>158</v>
      </c>
      <c r="B86" s="38"/>
      <c r="C86" s="38"/>
      <c r="D86" s="38"/>
      <c r="E86" s="38"/>
      <c r="F86" s="38"/>
      <c r="G86" s="38"/>
      <c r="H86" s="18" t="s">
        <v>159</v>
      </c>
    </row>
    <row r="87" spans="1:8" hidden="1" outlineLevel="2" x14ac:dyDescent="0.3">
      <c r="A87" s="34">
        <v>45251</v>
      </c>
      <c r="B87" s="2" t="s">
        <v>30</v>
      </c>
      <c r="C87" s="35">
        <v>0.70833333333333337</v>
      </c>
      <c r="D87" s="35">
        <v>0.75</v>
      </c>
      <c r="E87" s="35">
        <f>D87-C87</f>
        <v>4.166666666666663E-2</v>
      </c>
      <c r="F87" s="2" t="s">
        <v>160</v>
      </c>
      <c r="G87" s="2" t="s">
        <v>5</v>
      </c>
      <c r="H87" s="2" t="s">
        <v>166</v>
      </c>
    </row>
    <row r="88" spans="1:8" hidden="1" outlineLevel="2" x14ac:dyDescent="0.3">
      <c r="A88" s="36">
        <v>45253</v>
      </c>
      <c r="B88" s="17" t="s">
        <v>29</v>
      </c>
      <c r="C88" s="37">
        <v>0.60416666666666663</v>
      </c>
      <c r="D88" s="37">
        <v>0.64583333333333337</v>
      </c>
      <c r="E88" s="37">
        <f t="shared" ref="E88:E89" si="3">D88-C88</f>
        <v>4.1666666666666741E-2</v>
      </c>
      <c r="F88" s="17" t="s">
        <v>165</v>
      </c>
      <c r="G88" s="17" t="s">
        <v>6</v>
      </c>
      <c r="H88" s="17" t="s">
        <v>167</v>
      </c>
    </row>
    <row r="89" spans="1:8" hidden="1" outlineLevel="2" x14ac:dyDescent="0.3">
      <c r="A89" s="34">
        <v>45253</v>
      </c>
      <c r="B89" s="2" t="s">
        <v>31</v>
      </c>
      <c r="C89" s="35">
        <v>0.60416666666666663</v>
      </c>
      <c r="D89" s="35">
        <v>0.64583333333333337</v>
      </c>
      <c r="E89" s="35">
        <f t="shared" si="3"/>
        <v>4.1666666666666741E-2</v>
      </c>
      <c r="F89" s="2" t="s">
        <v>164</v>
      </c>
      <c r="G89" s="2" t="s">
        <v>7</v>
      </c>
      <c r="H89" s="2" t="s">
        <v>168</v>
      </c>
    </row>
    <row r="90" spans="1:8" hidden="1" outlineLevel="2" x14ac:dyDescent="0.3">
      <c r="A90" s="36">
        <v>45254</v>
      </c>
      <c r="B90" s="17" t="s">
        <v>30</v>
      </c>
      <c r="C90" s="37">
        <v>0.52777777777777779</v>
      </c>
      <c r="D90" s="37">
        <v>0.68055555555555547</v>
      </c>
      <c r="E90" s="37">
        <f t="shared" ref="E90:E92" si="4">D90-C90</f>
        <v>0.15277777777777768</v>
      </c>
      <c r="F90" s="17" t="s">
        <v>161</v>
      </c>
      <c r="G90" s="17" t="s">
        <v>5</v>
      </c>
      <c r="H90" s="17" t="s">
        <v>169</v>
      </c>
    </row>
    <row r="91" spans="1:8" hidden="1" outlineLevel="2" x14ac:dyDescent="0.3">
      <c r="A91" s="34">
        <v>45254</v>
      </c>
      <c r="B91" s="2" t="s">
        <v>29</v>
      </c>
      <c r="C91" s="35">
        <v>0.58333333333333337</v>
      </c>
      <c r="D91" s="35">
        <v>0.68055555555555547</v>
      </c>
      <c r="E91" s="35">
        <f t="shared" si="4"/>
        <v>9.7222222222222099E-2</v>
      </c>
      <c r="F91" s="2" t="s">
        <v>162</v>
      </c>
      <c r="G91" s="2" t="s">
        <v>6</v>
      </c>
      <c r="H91" s="2" t="s">
        <v>170</v>
      </c>
    </row>
    <row r="92" spans="1:8" hidden="1" outlineLevel="2" x14ac:dyDescent="0.3">
      <c r="A92" s="36">
        <v>45254</v>
      </c>
      <c r="B92" s="17" t="s">
        <v>31</v>
      </c>
      <c r="C92" s="37">
        <v>0.52777777777777779</v>
      </c>
      <c r="D92" s="37">
        <v>0.68055555555555547</v>
      </c>
      <c r="E92" s="37">
        <f t="shared" si="4"/>
        <v>0.15277777777777768</v>
      </c>
      <c r="F92" s="17" t="s">
        <v>163</v>
      </c>
      <c r="G92" s="17" t="s">
        <v>7</v>
      </c>
      <c r="H92" s="17" t="s">
        <v>171</v>
      </c>
    </row>
    <row r="93" spans="1:8" hidden="1" outlineLevel="1" collapsed="1" x14ac:dyDescent="0.3">
      <c r="A93" s="47" t="s">
        <v>172</v>
      </c>
      <c r="B93" s="46"/>
      <c r="C93" s="46"/>
      <c r="D93" s="46"/>
      <c r="E93" s="46"/>
      <c r="F93" s="46"/>
      <c r="G93" s="46"/>
      <c r="H93" s="48" t="s">
        <v>173</v>
      </c>
    </row>
    <row r="94" spans="1:8" hidden="1" outlineLevel="1" x14ac:dyDescent="0.3">
      <c r="A94" s="34">
        <v>45258</v>
      </c>
      <c r="B94" s="2" t="s">
        <v>29</v>
      </c>
      <c r="C94" s="35">
        <v>0.60416666666666663</v>
      </c>
      <c r="D94" s="35">
        <v>0.68055555555555547</v>
      </c>
      <c r="E94" s="35">
        <f>D94-C94</f>
        <v>7.638888888888884E-2</v>
      </c>
      <c r="F94" s="2" t="s">
        <v>174</v>
      </c>
      <c r="G94" s="2" t="s">
        <v>7</v>
      </c>
      <c r="H94" s="2" t="s">
        <v>175</v>
      </c>
    </row>
    <row r="95" spans="1:8" hidden="1" outlineLevel="1" x14ac:dyDescent="0.3">
      <c r="A95" s="36">
        <v>45258</v>
      </c>
      <c r="B95" s="17" t="s">
        <v>31</v>
      </c>
      <c r="C95" s="37">
        <v>0.60416666666666663</v>
      </c>
      <c r="D95" s="37">
        <v>0.68055555555555547</v>
      </c>
      <c r="E95" s="37">
        <f>D95-C95</f>
        <v>7.638888888888884E-2</v>
      </c>
      <c r="F95" s="17" t="s">
        <v>174</v>
      </c>
      <c r="G95" s="17" t="s">
        <v>7</v>
      </c>
      <c r="H95" s="17" t="s">
        <v>175</v>
      </c>
    </row>
    <row r="96" spans="1:8" hidden="1" outlineLevel="1" x14ac:dyDescent="0.3">
      <c r="A96" s="39">
        <v>45260</v>
      </c>
      <c r="B96" s="25" t="s">
        <v>30</v>
      </c>
      <c r="C96" s="40">
        <v>0.41666666666666669</v>
      </c>
      <c r="D96" s="40">
        <v>0.4861111111111111</v>
      </c>
      <c r="E96" s="40">
        <f>D96-C96</f>
        <v>6.944444444444442E-2</v>
      </c>
      <c r="F96" s="25" t="s">
        <v>178</v>
      </c>
      <c r="G96" s="25" t="s">
        <v>5</v>
      </c>
      <c r="H96" s="25" t="s">
        <v>179</v>
      </c>
    </row>
    <row r="97" spans="1:8" hidden="1" outlineLevel="1" x14ac:dyDescent="0.3">
      <c r="A97" s="36">
        <v>45260</v>
      </c>
      <c r="B97" s="17" t="s">
        <v>29</v>
      </c>
      <c r="C97" s="37">
        <v>0.41666666666666669</v>
      </c>
      <c r="D97" s="37">
        <v>0.4861111111111111</v>
      </c>
      <c r="E97" s="37">
        <f t="shared" ref="E97:E98" si="5">D97-C97</f>
        <v>6.944444444444442E-2</v>
      </c>
      <c r="F97" s="17" t="s">
        <v>180</v>
      </c>
      <c r="G97" s="17" t="s">
        <v>7</v>
      </c>
      <c r="H97" s="17" t="s">
        <v>181</v>
      </c>
    </row>
    <row r="98" spans="1:8" hidden="1" outlineLevel="1" x14ac:dyDescent="0.3">
      <c r="A98" s="39">
        <v>45260</v>
      </c>
      <c r="B98" s="25" t="s">
        <v>31</v>
      </c>
      <c r="C98" s="40">
        <v>0.41666666666666669</v>
      </c>
      <c r="D98" s="40">
        <v>0.4861111111111111</v>
      </c>
      <c r="E98" s="40">
        <f t="shared" si="5"/>
        <v>6.944444444444442E-2</v>
      </c>
      <c r="F98" s="25" t="s">
        <v>180</v>
      </c>
      <c r="G98" s="25" t="s">
        <v>7</v>
      </c>
      <c r="H98" s="25" t="s">
        <v>181</v>
      </c>
    </row>
    <row r="99" spans="1:8" collapsed="1" x14ac:dyDescent="0.3">
      <c r="A99" s="3" t="s">
        <v>176</v>
      </c>
      <c r="B99" s="49"/>
      <c r="C99" s="49"/>
      <c r="D99" s="49"/>
      <c r="E99" s="49"/>
      <c r="F99" s="49"/>
      <c r="G99" s="49"/>
      <c r="H99" s="5"/>
    </row>
    <row r="100" spans="1:8" hidden="1" outlineLevel="1" x14ac:dyDescent="0.3">
      <c r="A100" s="50" t="s">
        <v>172</v>
      </c>
      <c r="B100" s="51"/>
      <c r="C100" s="51"/>
      <c r="D100" s="51"/>
      <c r="E100" s="51"/>
      <c r="F100" s="51"/>
      <c r="G100" s="51"/>
      <c r="H100" s="52" t="s">
        <v>177</v>
      </c>
    </row>
    <row r="101" spans="1:8" hidden="1" outlineLevel="2" x14ac:dyDescent="0.3">
      <c r="A101" s="34">
        <v>45261</v>
      </c>
      <c r="B101" s="2" t="s">
        <v>29</v>
      </c>
      <c r="C101" s="35">
        <v>0.52777777777777779</v>
      </c>
      <c r="D101" s="35">
        <v>0.68055555555555547</v>
      </c>
      <c r="E101" s="35">
        <f>D101-C101</f>
        <v>0.15277777777777768</v>
      </c>
      <c r="F101" s="2" t="s">
        <v>182</v>
      </c>
      <c r="G101" s="2" t="s">
        <v>6</v>
      </c>
      <c r="H101" s="2" t="s">
        <v>185</v>
      </c>
    </row>
    <row r="102" spans="1:8" hidden="1" outlineLevel="2" x14ac:dyDescent="0.3">
      <c r="A102" s="36">
        <v>45261</v>
      </c>
      <c r="B102" s="17" t="s">
        <v>30</v>
      </c>
      <c r="C102" s="37">
        <v>0.52777777777777779</v>
      </c>
      <c r="D102" s="37">
        <v>0.68055555555555547</v>
      </c>
      <c r="E102" s="37">
        <f t="shared" ref="E102:E103" si="6">D102-C102</f>
        <v>0.15277777777777768</v>
      </c>
      <c r="F102" s="17" t="s">
        <v>183</v>
      </c>
      <c r="G102" s="17" t="s">
        <v>5</v>
      </c>
      <c r="H102" s="17" t="s">
        <v>186</v>
      </c>
    </row>
    <row r="103" spans="1:8" hidden="1" outlineLevel="2" x14ac:dyDescent="0.3">
      <c r="A103" s="34">
        <v>45261</v>
      </c>
      <c r="B103" s="2" t="s">
        <v>31</v>
      </c>
      <c r="C103" s="35">
        <v>0.52777777777777779</v>
      </c>
      <c r="D103" s="35">
        <v>0.68055555555555547</v>
      </c>
      <c r="E103" s="35">
        <f t="shared" si="6"/>
        <v>0.15277777777777768</v>
      </c>
      <c r="F103" s="2" t="s">
        <v>184</v>
      </c>
      <c r="G103" s="2" t="s">
        <v>7</v>
      </c>
      <c r="H103" s="2" t="s">
        <v>187</v>
      </c>
    </row>
    <row r="104" spans="1:8" hidden="1" outlineLevel="1" collapsed="1" x14ac:dyDescent="0.3">
      <c r="A104" s="12" t="s">
        <v>188</v>
      </c>
      <c r="B104" s="38"/>
      <c r="C104" s="38"/>
      <c r="D104" s="38"/>
      <c r="E104" s="38"/>
      <c r="F104" s="38"/>
      <c r="G104" s="38"/>
      <c r="H104" s="18" t="s">
        <v>189</v>
      </c>
    </row>
    <row r="105" spans="1:8" hidden="1" outlineLevel="2" x14ac:dyDescent="0.3">
      <c r="A105" s="34">
        <v>45268</v>
      </c>
      <c r="B105" s="2" t="s">
        <v>29</v>
      </c>
      <c r="C105" s="35">
        <v>0.45833333333333331</v>
      </c>
      <c r="D105" s="35">
        <v>0.52083333333333337</v>
      </c>
      <c r="E105" s="35">
        <f>D105-C105</f>
        <v>6.2500000000000056E-2</v>
      </c>
      <c r="F105" s="2" t="s">
        <v>191</v>
      </c>
      <c r="G105" s="2" t="s">
        <v>6</v>
      </c>
      <c r="H105" s="2" t="s">
        <v>192</v>
      </c>
    </row>
    <row r="106" spans="1:8" hidden="1" outlineLevel="2" x14ac:dyDescent="0.3">
      <c r="A106" s="36">
        <v>45270</v>
      </c>
      <c r="B106" s="17" t="s">
        <v>31</v>
      </c>
      <c r="C106" s="37">
        <v>0.54166666666666663</v>
      </c>
      <c r="D106" s="37">
        <v>0.58333333333333337</v>
      </c>
      <c r="E106" s="37">
        <f>D106-C106</f>
        <v>4.1666666666666741E-2</v>
      </c>
      <c r="F106" s="17" t="s">
        <v>193</v>
      </c>
      <c r="G106" s="17" t="s">
        <v>22</v>
      </c>
      <c r="H106" s="17" t="s">
        <v>14</v>
      </c>
    </row>
    <row r="107" spans="1:8" hidden="1" outlineLevel="1" collapsed="1" x14ac:dyDescent="0.3">
      <c r="A107" s="12" t="s">
        <v>194</v>
      </c>
      <c r="B107" s="38"/>
      <c r="C107" s="38"/>
      <c r="D107" s="38"/>
      <c r="E107" s="38"/>
      <c r="F107" s="38"/>
      <c r="G107" s="38"/>
      <c r="H107" s="18" t="s">
        <v>195</v>
      </c>
    </row>
    <row r="108" spans="1:8" ht="28.8" hidden="1" outlineLevel="2" x14ac:dyDescent="0.3">
      <c r="A108" s="34">
        <v>45274</v>
      </c>
      <c r="B108" s="2" t="s">
        <v>30</v>
      </c>
      <c r="C108" s="35">
        <v>0.5625</v>
      </c>
      <c r="D108" s="35">
        <v>0.70833333333333337</v>
      </c>
      <c r="E108" s="35">
        <f>D108-C108</f>
        <v>0.14583333333333337</v>
      </c>
      <c r="F108" s="45" t="s">
        <v>196</v>
      </c>
      <c r="G108" s="2" t="s">
        <v>5</v>
      </c>
      <c r="H108" s="2" t="s">
        <v>198</v>
      </c>
    </row>
    <row r="109" spans="1:8" hidden="1" outlineLevel="2" x14ac:dyDescent="0.3">
      <c r="A109" s="36">
        <v>45274</v>
      </c>
      <c r="B109" s="17" t="s">
        <v>29</v>
      </c>
      <c r="C109" s="37">
        <v>0.5625</v>
      </c>
      <c r="D109" s="37">
        <v>0.70833333333333337</v>
      </c>
      <c r="E109" s="37">
        <f>D109-C109</f>
        <v>0.14583333333333337</v>
      </c>
      <c r="F109" s="17" t="s">
        <v>61</v>
      </c>
      <c r="G109" s="17" t="s">
        <v>6</v>
      </c>
      <c r="H109" s="17" t="s">
        <v>199</v>
      </c>
    </row>
    <row r="110" spans="1:8" ht="28.8" hidden="1" outlineLevel="2" x14ac:dyDescent="0.3">
      <c r="A110" s="34">
        <v>45274</v>
      </c>
      <c r="B110" s="2" t="s">
        <v>31</v>
      </c>
      <c r="C110" s="35">
        <v>0.5625</v>
      </c>
      <c r="D110" s="35">
        <v>0.70833333333333337</v>
      </c>
      <c r="E110" s="35">
        <f>D110-C110</f>
        <v>0.14583333333333337</v>
      </c>
      <c r="F110" s="53" t="s">
        <v>197</v>
      </c>
      <c r="G110" s="2" t="s">
        <v>7</v>
      </c>
      <c r="H110" s="2" t="s">
        <v>200</v>
      </c>
    </row>
    <row r="111" spans="1:8" hidden="1" outlineLevel="2" x14ac:dyDescent="0.3">
      <c r="A111" s="36">
        <v>45275</v>
      </c>
      <c r="B111" s="17" t="s">
        <v>30</v>
      </c>
      <c r="C111" s="37">
        <v>0.60416666666666663</v>
      </c>
      <c r="D111" s="37">
        <v>0.70833333333333337</v>
      </c>
      <c r="E111" s="37">
        <f>D111-C111</f>
        <v>0.10416666666666674</v>
      </c>
      <c r="F111" s="17" t="s">
        <v>204</v>
      </c>
      <c r="G111" s="17" t="s">
        <v>5</v>
      </c>
      <c r="H111" s="17" t="s">
        <v>198</v>
      </c>
    </row>
    <row r="112" spans="1:8" hidden="1" outlineLevel="2" x14ac:dyDescent="0.3">
      <c r="A112" s="34">
        <v>45275</v>
      </c>
      <c r="B112" s="2" t="s">
        <v>29</v>
      </c>
      <c r="C112" s="35">
        <v>0.60416666666666663</v>
      </c>
      <c r="D112" s="35">
        <v>0.70833333333333337</v>
      </c>
      <c r="E112" s="35">
        <f t="shared" ref="E112:E113" si="7">D112-C112</f>
        <v>0.10416666666666674</v>
      </c>
      <c r="F112" s="2" t="s">
        <v>202</v>
      </c>
      <c r="G112" s="2" t="s">
        <v>203</v>
      </c>
      <c r="H112" s="25" t="s">
        <v>199</v>
      </c>
    </row>
    <row r="113" spans="1:8" hidden="1" outlineLevel="2" x14ac:dyDescent="0.3">
      <c r="A113" s="36">
        <v>45275</v>
      </c>
      <c r="B113" s="17" t="s">
        <v>31</v>
      </c>
      <c r="C113" s="37">
        <v>0.60416666666666663</v>
      </c>
      <c r="D113" s="37">
        <v>0.70833333333333337</v>
      </c>
      <c r="E113" s="37">
        <f t="shared" si="7"/>
        <v>0.10416666666666674</v>
      </c>
      <c r="F113" s="54" t="s">
        <v>201</v>
      </c>
      <c r="G113" s="17" t="s">
        <v>7</v>
      </c>
      <c r="H113" s="54" t="s">
        <v>200</v>
      </c>
    </row>
    <row r="114" spans="1:8" hidden="1" outlineLevel="1" collapsed="1" x14ac:dyDescent="0.3">
      <c r="A114" s="12" t="s">
        <v>205</v>
      </c>
      <c r="B114" s="38"/>
      <c r="C114" s="38"/>
      <c r="D114" s="38"/>
      <c r="E114" s="38"/>
      <c r="F114" s="38"/>
      <c r="G114" s="38"/>
      <c r="H114" s="55" t="s">
        <v>206</v>
      </c>
    </row>
    <row r="115" spans="1:8" hidden="1" outlineLevel="1" x14ac:dyDescent="0.3">
      <c r="A115" s="12" t="s">
        <v>207</v>
      </c>
      <c r="B115" s="38"/>
      <c r="C115" s="38"/>
      <c r="D115" s="38"/>
      <c r="E115" s="38"/>
      <c r="F115" s="38"/>
      <c r="G115" s="38"/>
      <c r="H115" s="18" t="s">
        <v>208</v>
      </c>
    </row>
    <row r="116" spans="1:8" ht="72" hidden="1" outlineLevel="1" x14ac:dyDescent="0.3">
      <c r="A116" s="34">
        <v>45286</v>
      </c>
      <c r="B116" s="2" t="s">
        <v>29</v>
      </c>
      <c r="C116" s="35">
        <v>0.4375</v>
      </c>
      <c r="D116" s="35">
        <v>0.60416666666666663</v>
      </c>
      <c r="E116" s="35">
        <f>D116-C116</f>
        <v>0.16666666666666663</v>
      </c>
      <c r="F116" s="45" t="s">
        <v>210</v>
      </c>
      <c r="G116" s="2" t="s">
        <v>6</v>
      </c>
      <c r="H116" s="45" t="s">
        <v>209</v>
      </c>
    </row>
    <row r="117" spans="1:8" ht="57.6" hidden="1" outlineLevel="1" x14ac:dyDescent="0.3">
      <c r="A117" s="36">
        <v>45286</v>
      </c>
      <c r="B117" s="17" t="s">
        <v>29</v>
      </c>
      <c r="C117" s="37">
        <v>0.75</v>
      </c>
      <c r="D117" s="37">
        <v>0.90972222222222221</v>
      </c>
      <c r="E117" s="37">
        <f>D117-C117</f>
        <v>0.15972222222222221</v>
      </c>
      <c r="F117" s="54" t="s">
        <v>211</v>
      </c>
      <c r="G117" s="17" t="s">
        <v>6</v>
      </c>
      <c r="H117" s="54" t="s">
        <v>212</v>
      </c>
    </row>
    <row r="118" spans="1:8" ht="43.2" hidden="1" outlineLevel="1" x14ac:dyDescent="0.3">
      <c r="A118" s="34">
        <v>45287</v>
      </c>
      <c r="B118" s="2" t="s">
        <v>29</v>
      </c>
      <c r="C118" s="35">
        <v>0.41666666666666669</v>
      </c>
      <c r="D118" s="35">
        <v>0.5</v>
      </c>
      <c r="E118" s="35">
        <f>D118-C118</f>
        <v>8.3333333333333315E-2</v>
      </c>
      <c r="F118" s="45" t="s">
        <v>214</v>
      </c>
      <c r="G118" s="2" t="s">
        <v>6</v>
      </c>
      <c r="H118" s="45" t="s">
        <v>212</v>
      </c>
    </row>
    <row r="119" spans="1:8" hidden="1" outlineLevel="1" x14ac:dyDescent="0.3">
      <c r="A119" s="36">
        <v>45287</v>
      </c>
      <c r="B119" s="17" t="s">
        <v>29</v>
      </c>
      <c r="C119" s="37">
        <v>0.625</v>
      </c>
      <c r="D119" s="37">
        <v>0.70833333333333337</v>
      </c>
      <c r="E119" s="37">
        <f>D119-C119</f>
        <v>8.333333333333337E-2</v>
      </c>
      <c r="F119" s="17" t="s">
        <v>213</v>
      </c>
      <c r="G119" s="17" t="s">
        <v>6</v>
      </c>
      <c r="H119" s="17" t="s">
        <v>56</v>
      </c>
    </row>
    <row r="120" spans="1:8" collapsed="1" x14ac:dyDescent="0.3">
      <c r="A120" s="62">
        <v>2024</v>
      </c>
      <c r="B120" s="56"/>
      <c r="C120" s="57"/>
      <c r="D120" s="57"/>
      <c r="E120" s="57"/>
      <c r="F120" s="56"/>
      <c r="G120" s="56"/>
      <c r="H120" s="58"/>
    </row>
    <row r="121" spans="1:8" x14ac:dyDescent="0.3">
      <c r="A121" s="64" t="s">
        <v>240</v>
      </c>
      <c r="B121" s="65"/>
      <c r="C121" s="66"/>
      <c r="D121" s="66"/>
      <c r="E121" s="66"/>
      <c r="F121" s="65"/>
      <c r="G121" s="65"/>
      <c r="H121" s="67"/>
    </row>
    <row r="122" spans="1:8" hidden="1" outlineLevel="1" x14ac:dyDescent="0.3">
      <c r="A122" s="50" t="s">
        <v>215</v>
      </c>
      <c r="B122" s="51"/>
      <c r="C122" s="51"/>
      <c r="D122" s="51"/>
      <c r="E122" s="51"/>
      <c r="F122" s="51"/>
      <c r="G122" s="51"/>
      <c r="H122" s="52" t="s">
        <v>217</v>
      </c>
    </row>
    <row r="123" spans="1:8" hidden="1" outlineLevel="1" x14ac:dyDescent="0.3">
      <c r="A123" s="50" t="s">
        <v>216</v>
      </c>
      <c r="B123" s="51"/>
      <c r="C123" s="51"/>
      <c r="D123" s="51"/>
      <c r="E123" s="51"/>
      <c r="F123" s="51"/>
      <c r="G123" s="51"/>
      <c r="H123" s="52" t="s">
        <v>218</v>
      </c>
    </row>
    <row r="124" spans="1:8" hidden="1" outlineLevel="2" x14ac:dyDescent="0.3">
      <c r="A124" s="34">
        <v>45300</v>
      </c>
      <c r="B124" s="2" t="s">
        <v>30</v>
      </c>
      <c r="C124" s="35">
        <v>0.52777777777777779</v>
      </c>
      <c r="D124" s="35">
        <v>0.68055555555555547</v>
      </c>
      <c r="E124" s="35">
        <f>D124-C124</f>
        <v>0.15277777777777768</v>
      </c>
      <c r="F124" s="2" t="s">
        <v>108</v>
      </c>
      <c r="G124" s="2" t="s">
        <v>5</v>
      </c>
      <c r="H124" s="2" t="s">
        <v>222</v>
      </c>
    </row>
    <row r="125" spans="1:8" hidden="1" outlineLevel="2" x14ac:dyDescent="0.3">
      <c r="A125" s="36">
        <v>45300</v>
      </c>
      <c r="B125" s="17" t="s">
        <v>29</v>
      </c>
      <c r="C125" s="37">
        <v>0.52777777777777779</v>
      </c>
      <c r="D125" s="37">
        <v>0.68055555555555547</v>
      </c>
      <c r="E125" s="37">
        <f t="shared" ref="E125:E128" si="8">D125-C125</f>
        <v>0.15277777777777768</v>
      </c>
      <c r="F125" s="17" t="s">
        <v>108</v>
      </c>
      <c r="G125" s="17" t="s">
        <v>6</v>
      </c>
      <c r="H125" s="17" t="s">
        <v>62</v>
      </c>
    </row>
    <row r="126" spans="1:8" hidden="1" outlineLevel="2" x14ac:dyDescent="0.3">
      <c r="A126" s="34">
        <v>45300</v>
      </c>
      <c r="B126" s="2" t="s">
        <v>31</v>
      </c>
      <c r="C126" s="35">
        <v>0.52777777777777779</v>
      </c>
      <c r="D126" s="35">
        <v>0.68055555555555547</v>
      </c>
      <c r="E126" s="35">
        <f t="shared" si="8"/>
        <v>0.15277777777777768</v>
      </c>
      <c r="F126" s="2" t="s">
        <v>108</v>
      </c>
      <c r="G126" s="2" t="s">
        <v>7</v>
      </c>
      <c r="H126" s="2" t="s">
        <v>223</v>
      </c>
    </row>
    <row r="127" spans="1:8" ht="43.2" hidden="1" outlineLevel="2" x14ac:dyDescent="0.3">
      <c r="A127" s="36">
        <v>45303</v>
      </c>
      <c r="B127" s="17" t="s">
        <v>29</v>
      </c>
      <c r="C127" s="37">
        <v>0.60416666666666663</v>
      </c>
      <c r="D127" s="37">
        <v>0.68055555555555547</v>
      </c>
      <c r="E127" s="37">
        <f t="shared" si="8"/>
        <v>7.638888888888884E-2</v>
      </c>
      <c r="F127" s="54" t="s">
        <v>219</v>
      </c>
      <c r="G127" s="17" t="s">
        <v>221</v>
      </c>
      <c r="H127" s="17" t="s">
        <v>62</v>
      </c>
    </row>
    <row r="128" spans="1:8" ht="28.8" hidden="1" outlineLevel="2" x14ac:dyDescent="0.3">
      <c r="A128" s="34">
        <v>45304</v>
      </c>
      <c r="B128" s="2" t="s">
        <v>31</v>
      </c>
      <c r="C128" s="35">
        <v>0.41666666666666669</v>
      </c>
      <c r="D128" s="35">
        <v>0.60416666666666663</v>
      </c>
      <c r="E128" s="35">
        <f t="shared" si="8"/>
        <v>0.18749999999999994</v>
      </c>
      <c r="F128" s="45" t="s">
        <v>220</v>
      </c>
      <c r="G128" s="2" t="s">
        <v>7</v>
      </c>
      <c r="H128" s="2" t="s">
        <v>224</v>
      </c>
    </row>
    <row r="129" spans="1:8" hidden="1" outlineLevel="1" collapsed="1" x14ac:dyDescent="0.3">
      <c r="A129" s="12" t="s">
        <v>225</v>
      </c>
      <c r="B129" s="38"/>
      <c r="C129" s="38"/>
      <c r="D129" s="38"/>
      <c r="E129" s="38"/>
      <c r="F129" s="38"/>
      <c r="G129" s="38"/>
      <c r="H129" s="18" t="s">
        <v>231</v>
      </c>
    </row>
    <row r="130" spans="1:8" hidden="1" outlineLevel="2" x14ac:dyDescent="0.3">
      <c r="A130" s="34">
        <v>45310</v>
      </c>
      <c r="B130" s="2" t="s">
        <v>30</v>
      </c>
      <c r="C130" s="35">
        <v>0.52777777777777779</v>
      </c>
      <c r="D130" s="35">
        <v>0.73611111111111116</v>
      </c>
      <c r="E130" s="35">
        <f>D130-C130</f>
        <v>0.20833333333333337</v>
      </c>
      <c r="F130" s="2" t="s">
        <v>61</v>
      </c>
      <c r="G130" s="2" t="s">
        <v>5</v>
      </c>
      <c r="H130" s="2" t="s">
        <v>222</v>
      </c>
    </row>
    <row r="131" spans="1:8" ht="28.8" hidden="1" outlineLevel="2" x14ac:dyDescent="0.3">
      <c r="A131" s="36">
        <v>45310</v>
      </c>
      <c r="B131" s="17" t="s">
        <v>29</v>
      </c>
      <c r="C131" s="37">
        <v>0.52777777777777779</v>
      </c>
      <c r="D131" s="37">
        <v>0.73611111111111116</v>
      </c>
      <c r="E131" s="37">
        <f t="shared" ref="E131:E132" si="9">D131-C131</f>
        <v>0.20833333333333337</v>
      </c>
      <c r="F131" s="54" t="s">
        <v>226</v>
      </c>
      <c r="G131" s="17" t="s">
        <v>6</v>
      </c>
      <c r="H131" s="17" t="s">
        <v>228</v>
      </c>
    </row>
    <row r="132" spans="1:8" ht="28.8" hidden="1" outlineLevel="2" x14ac:dyDescent="0.3">
      <c r="A132" s="34">
        <v>45310</v>
      </c>
      <c r="B132" s="2" t="s">
        <v>31</v>
      </c>
      <c r="C132" s="35">
        <v>0.52777777777777779</v>
      </c>
      <c r="D132" s="35">
        <v>0.73611111111111116</v>
      </c>
      <c r="E132" s="35">
        <f t="shared" si="9"/>
        <v>0.20833333333333337</v>
      </c>
      <c r="F132" s="45" t="s">
        <v>227</v>
      </c>
      <c r="G132" s="2" t="s">
        <v>7</v>
      </c>
      <c r="H132" s="2" t="s">
        <v>229</v>
      </c>
    </row>
    <row r="133" spans="1:8" hidden="1" outlineLevel="1" collapsed="1" x14ac:dyDescent="0.3">
      <c r="A133" s="12" t="s">
        <v>230</v>
      </c>
      <c r="B133" s="13"/>
      <c r="C133" s="13"/>
      <c r="D133" s="13"/>
      <c r="E133" s="13"/>
      <c r="F133" s="13"/>
      <c r="G133" s="13"/>
      <c r="H133" s="63" t="s">
        <v>232</v>
      </c>
    </row>
    <row r="134" spans="1:8" hidden="1" outlineLevel="2" x14ac:dyDescent="0.3">
      <c r="A134" s="34">
        <v>45316</v>
      </c>
      <c r="B134" s="2" t="s">
        <v>29</v>
      </c>
      <c r="C134" s="35">
        <v>0.60416666666666663</v>
      </c>
      <c r="D134" s="35">
        <v>0.71527777777777779</v>
      </c>
      <c r="E134" s="35">
        <f>D134-C134</f>
        <v>0.11111111111111116</v>
      </c>
      <c r="F134" s="2" t="s">
        <v>235</v>
      </c>
      <c r="G134" s="2" t="s">
        <v>6</v>
      </c>
      <c r="H134" s="2" t="s">
        <v>238</v>
      </c>
    </row>
    <row r="135" spans="1:8" hidden="1" outlineLevel="2" x14ac:dyDescent="0.3">
      <c r="A135" s="36">
        <v>45316</v>
      </c>
      <c r="B135" s="17" t="s">
        <v>31</v>
      </c>
      <c r="C135" s="37">
        <v>0.60416666666666663</v>
      </c>
      <c r="D135" s="37">
        <v>0.71527777777777779</v>
      </c>
      <c r="E135" s="37">
        <f t="shared" ref="E135:E139" si="10">D135-C135</f>
        <v>0.11111111111111116</v>
      </c>
      <c r="F135" s="17" t="s">
        <v>229</v>
      </c>
      <c r="G135" s="17" t="s">
        <v>7</v>
      </c>
      <c r="H135" s="17" t="s">
        <v>239</v>
      </c>
    </row>
    <row r="136" spans="1:8" hidden="1" outlineLevel="2" x14ac:dyDescent="0.3">
      <c r="A136" s="34">
        <v>45317</v>
      </c>
      <c r="B136" s="2" t="s">
        <v>30</v>
      </c>
      <c r="C136" s="35">
        <v>0.52777777777777779</v>
      </c>
      <c r="D136" s="35">
        <v>0.68055555555555547</v>
      </c>
      <c r="E136" s="35">
        <f t="shared" si="10"/>
        <v>0.15277777777777768</v>
      </c>
      <c r="F136" s="25" t="s">
        <v>222</v>
      </c>
      <c r="G136" s="2" t="s">
        <v>5</v>
      </c>
      <c r="H136" s="2" t="s">
        <v>222</v>
      </c>
    </row>
    <row r="137" spans="1:8" hidden="1" outlineLevel="2" x14ac:dyDescent="0.3">
      <c r="A137" s="36">
        <v>45317</v>
      </c>
      <c r="B137" s="17" t="s">
        <v>29</v>
      </c>
      <c r="C137" s="37">
        <v>0.52777777777777779</v>
      </c>
      <c r="D137" s="37">
        <v>0.68055555555555547</v>
      </c>
      <c r="E137" s="37">
        <f t="shared" si="10"/>
        <v>0.15277777777777768</v>
      </c>
      <c r="F137" s="17" t="s">
        <v>236</v>
      </c>
      <c r="G137" s="17" t="s">
        <v>6</v>
      </c>
      <c r="H137" s="17" t="s">
        <v>238</v>
      </c>
    </row>
    <row r="138" spans="1:8" ht="28.8" hidden="1" outlineLevel="2" x14ac:dyDescent="0.3">
      <c r="A138" s="34">
        <v>45317</v>
      </c>
      <c r="B138" s="2" t="s">
        <v>31</v>
      </c>
      <c r="C138" s="35">
        <v>0.52777777777777779</v>
      </c>
      <c r="D138" s="35">
        <v>0.68055555555555547</v>
      </c>
      <c r="E138" s="35">
        <f t="shared" si="10"/>
        <v>0.15277777777777768</v>
      </c>
      <c r="F138" s="45" t="s">
        <v>237</v>
      </c>
      <c r="G138" s="2" t="s">
        <v>7</v>
      </c>
      <c r="H138" s="2" t="s">
        <v>239</v>
      </c>
    </row>
    <row r="139" spans="1:8" hidden="1" outlineLevel="2" x14ac:dyDescent="0.3">
      <c r="A139" s="68">
        <v>45318</v>
      </c>
      <c r="B139" s="17" t="s">
        <v>31</v>
      </c>
      <c r="C139" s="69">
        <v>0.58333333333333337</v>
      </c>
      <c r="D139" s="69">
        <v>0.6875</v>
      </c>
      <c r="E139" s="37">
        <f t="shared" si="10"/>
        <v>0.10416666666666663</v>
      </c>
      <c r="F139" s="70" t="s">
        <v>241</v>
      </c>
      <c r="G139" s="17" t="s">
        <v>7</v>
      </c>
      <c r="H139" s="17" t="s">
        <v>242</v>
      </c>
    </row>
    <row r="140" spans="1:8" hidden="1" outlineLevel="1" collapsed="1" x14ac:dyDescent="0.3">
      <c r="A140" s="47" t="s">
        <v>243</v>
      </c>
      <c r="B140" s="46"/>
      <c r="C140" s="46"/>
      <c r="D140" s="46"/>
      <c r="E140" s="46"/>
      <c r="F140" s="46"/>
      <c r="G140" s="46"/>
      <c r="H140" s="48" t="s">
        <v>247</v>
      </c>
    </row>
    <row r="141" spans="1:8" hidden="1" outlineLevel="1" x14ac:dyDescent="0.3">
      <c r="A141" s="39">
        <v>45321</v>
      </c>
      <c r="B141" s="25" t="s">
        <v>30</v>
      </c>
      <c r="C141" s="40">
        <v>0.52777777777777779</v>
      </c>
      <c r="D141" s="40">
        <v>0.68055555555555547</v>
      </c>
      <c r="E141" s="40">
        <f>D141-C141</f>
        <v>0.15277777777777768</v>
      </c>
      <c r="F141" s="25" t="s">
        <v>244</v>
      </c>
      <c r="G141" s="25" t="s">
        <v>5</v>
      </c>
      <c r="H141" s="25" t="s">
        <v>246</v>
      </c>
    </row>
    <row r="142" spans="1:8" hidden="1" outlineLevel="1" x14ac:dyDescent="0.3">
      <c r="A142" s="36">
        <v>45321</v>
      </c>
      <c r="B142" s="17" t="s">
        <v>31</v>
      </c>
      <c r="C142" s="37">
        <v>0.52777777777777779</v>
      </c>
      <c r="D142" s="37">
        <v>0.68055555555555547</v>
      </c>
      <c r="E142" s="37">
        <f>D142-C142</f>
        <v>0.15277777777777768</v>
      </c>
      <c r="F142" s="17" t="s">
        <v>241</v>
      </c>
      <c r="G142" s="17" t="s">
        <v>7</v>
      </c>
      <c r="H142" s="17" t="s">
        <v>245</v>
      </c>
    </row>
    <row r="143" spans="1:8" collapsed="1" x14ac:dyDescent="0.3">
      <c r="A143" s="3" t="s">
        <v>248</v>
      </c>
      <c r="B143" s="41"/>
      <c r="C143" s="41"/>
      <c r="D143" s="41"/>
      <c r="E143" s="41"/>
      <c r="F143" s="41"/>
      <c r="G143" s="41"/>
      <c r="H143" s="42"/>
    </row>
    <row r="144" spans="1:8" hidden="1" outlineLevel="1" x14ac:dyDescent="0.3">
      <c r="A144" s="47" t="s">
        <v>243</v>
      </c>
      <c r="B144" s="46"/>
      <c r="C144" s="46"/>
      <c r="D144" s="46"/>
      <c r="E144" s="46"/>
      <c r="F144" s="46"/>
      <c r="G144" s="46"/>
      <c r="H144" s="48" t="s">
        <v>249</v>
      </c>
    </row>
    <row r="145" spans="1:8" hidden="1" outlineLevel="2" x14ac:dyDescent="0.3">
      <c r="A145" s="34">
        <v>45324</v>
      </c>
      <c r="B145" s="2" t="s">
        <v>30</v>
      </c>
      <c r="C145" s="35">
        <v>0.60416666666666663</v>
      </c>
      <c r="D145" s="35">
        <v>0.68055555555555547</v>
      </c>
      <c r="E145" s="35">
        <f>D145-C145</f>
        <v>7.638888888888884E-2</v>
      </c>
      <c r="F145" s="2" t="s">
        <v>250</v>
      </c>
      <c r="G145" s="2" t="s">
        <v>5</v>
      </c>
      <c r="H145" s="2" t="s">
        <v>251</v>
      </c>
    </row>
    <row r="146" spans="1:8" ht="28.8" hidden="1" outlineLevel="2" x14ac:dyDescent="0.3">
      <c r="A146" s="36">
        <v>45324</v>
      </c>
      <c r="B146" s="17" t="s">
        <v>29</v>
      </c>
      <c r="C146" s="37">
        <v>0.60416666666666663</v>
      </c>
      <c r="D146" s="37">
        <v>0.68055555555555547</v>
      </c>
      <c r="E146" s="37">
        <f t="shared" ref="E146:E147" si="11">D146-C146</f>
        <v>7.638888888888884E-2</v>
      </c>
      <c r="F146" s="17" t="s">
        <v>252</v>
      </c>
      <c r="G146" s="17" t="s">
        <v>6</v>
      </c>
      <c r="H146" s="54" t="s">
        <v>253</v>
      </c>
    </row>
    <row r="147" spans="1:8" ht="28.8" hidden="1" outlineLevel="2" x14ac:dyDescent="0.3">
      <c r="A147" s="34">
        <v>45324</v>
      </c>
      <c r="B147" s="2" t="s">
        <v>31</v>
      </c>
      <c r="C147" s="35">
        <v>0.60416666666666663</v>
      </c>
      <c r="D147" s="35">
        <v>0.68055555555555547</v>
      </c>
      <c r="E147" s="35">
        <f t="shared" si="11"/>
        <v>7.638888888888884E-2</v>
      </c>
      <c r="F147" s="45" t="s">
        <v>197</v>
      </c>
      <c r="G147" s="2" t="s">
        <v>7</v>
      </c>
      <c r="H147" s="2" t="s">
        <v>85</v>
      </c>
    </row>
    <row r="148" spans="1:8" hidden="1" outlineLevel="2" x14ac:dyDescent="0.3">
      <c r="A148" s="36">
        <v>45325</v>
      </c>
      <c r="B148" s="17" t="s">
        <v>29</v>
      </c>
      <c r="C148" s="37">
        <v>0.41666666666666669</v>
      </c>
      <c r="D148" s="37">
        <v>0.45833333333333331</v>
      </c>
      <c r="E148" s="37">
        <f>D148-C148</f>
        <v>4.166666666666663E-2</v>
      </c>
      <c r="F148" s="54" t="s">
        <v>256</v>
      </c>
      <c r="G148" s="17" t="s">
        <v>6</v>
      </c>
      <c r="H148" s="17" t="s">
        <v>14</v>
      </c>
    </row>
    <row r="149" spans="1:8" hidden="1" outlineLevel="2" x14ac:dyDescent="0.3">
      <c r="A149" s="39">
        <v>45325</v>
      </c>
      <c r="B149" s="25" t="s">
        <v>31</v>
      </c>
      <c r="C149" s="40">
        <v>0.5</v>
      </c>
      <c r="D149" s="40">
        <v>0.54166666666666663</v>
      </c>
      <c r="E149" s="72">
        <f>D149-C149</f>
        <v>4.166666666666663E-2</v>
      </c>
      <c r="F149" s="71" t="s">
        <v>257</v>
      </c>
      <c r="G149" s="25" t="s">
        <v>7</v>
      </c>
      <c r="H149" s="25" t="s">
        <v>257</v>
      </c>
    </row>
    <row r="150" spans="1:8" hidden="1" outlineLevel="1" collapsed="1" x14ac:dyDescent="0.3">
      <c r="A150" s="47" t="s">
        <v>254</v>
      </c>
      <c r="B150" s="46"/>
      <c r="C150" s="46"/>
      <c r="D150" s="46"/>
      <c r="E150" s="46"/>
      <c r="F150" s="46"/>
      <c r="G150" s="46"/>
      <c r="H150" s="48" t="s">
        <v>255</v>
      </c>
    </row>
    <row r="151" spans="1:8" hidden="1" outlineLevel="2" x14ac:dyDescent="0.3">
      <c r="A151" s="34">
        <v>45330</v>
      </c>
      <c r="B151" s="2" t="s">
        <v>29</v>
      </c>
      <c r="C151" s="35">
        <v>0.58333333333333337</v>
      </c>
      <c r="D151" s="35">
        <v>0.625</v>
      </c>
      <c r="E151" s="35">
        <f>D151-C151</f>
        <v>4.166666666666663E-2</v>
      </c>
      <c r="F151" s="71" t="s">
        <v>256</v>
      </c>
      <c r="G151" s="2" t="s">
        <v>6</v>
      </c>
      <c r="H151" s="2" t="s">
        <v>14</v>
      </c>
    </row>
    <row r="152" spans="1:8" hidden="1" outlineLevel="2" x14ac:dyDescent="0.3">
      <c r="A152" s="36">
        <v>45332</v>
      </c>
      <c r="B152" s="17" t="s">
        <v>29</v>
      </c>
      <c r="C152" s="37">
        <v>0.54166666666666663</v>
      </c>
      <c r="D152" s="37">
        <v>0.60416666666666663</v>
      </c>
      <c r="E152" s="37">
        <f>D152-C152</f>
        <v>6.25E-2</v>
      </c>
      <c r="F152" s="54" t="s">
        <v>256</v>
      </c>
      <c r="G152" s="17" t="s">
        <v>6</v>
      </c>
      <c r="H152" s="17" t="s">
        <v>14</v>
      </c>
    </row>
    <row r="153" spans="1:8" hidden="1" outlineLevel="1" collapsed="1" x14ac:dyDescent="0.3">
      <c r="A153" s="73" t="s">
        <v>262</v>
      </c>
      <c r="B153" s="46"/>
      <c r="C153" s="74"/>
      <c r="D153" s="74"/>
      <c r="E153" s="74"/>
      <c r="F153" s="75"/>
      <c r="G153" s="46"/>
      <c r="H153" s="48" t="s">
        <v>263</v>
      </c>
    </row>
    <row r="154" spans="1:8" ht="57.6" hidden="1" outlineLevel="2" x14ac:dyDescent="0.3">
      <c r="A154" s="34">
        <v>45335</v>
      </c>
      <c r="B154" s="2" t="s">
        <v>29</v>
      </c>
      <c r="C154" s="35">
        <v>0.41666666666666669</v>
      </c>
      <c r="D154" s="35">
        <v>0.68055555555555547</v>
      </c>
      <c r="E154" s="35">
        <f>D154-C154</f>
        <v>0.26388888888888878</v>
      </c>
      <c r="F154" s="45" t="s">
        <v>258</v>
      </c>
      <c r="G154" s="2" t="s">
        <v>6</v>
      </c>
      <c r="H154" s="45" t="s">
        <v>260</v>
      </c>
    </row>
    <row r="155" spans="1:8" ht="43.2" hidden="1" outlineLevel="2" x14ac:dyDescent="0.3">
      <c r="A155" s="36">
        <v>45335</v>
      </c>
      <c r="B155" s="17" t="s">
        <v>31</v>
      </c>
      <c r="C155" s="37">
        <v>0.41666666666666669</v>
      </c>
      <c r="D155" s="37">
        <v>0.68055555555555547</v>
      </c>
      <c r="E155" s="37">
        <f>D155-C155</f>
        <v>0.26388888888888878</v>
      </c>
      <c r="F155" s="54" t="s">
        <v>259</v>
      </c>
      <c r="G155" s="17" t="s">
        <v>7</v>
      </c>
      <c r="H155" s="54" t="s">
        <v>261</v>
      </c>
    </row>
    <row r="156" spans="1:8" ht="28.8" hidden="1" outlineLevel="2" x14ac:dyDescent="0.3">
      <c r="A156" s="39">
        <v>45338</v>
      </c>
      <c r="B156" s="25" t="s">
        <v>29</v>
      </c>
      <c r="C156" s="40">
        <v>0.52777777777777779</v>
      </c>
      <c r="D156" s="40">
        <v>0.68055555555555547</v>
      </c>
      <c r="E156" s="40">
        <f t="shared" ref="E156:E157" si="12">D156-C156</f>
        <v>0.15277777777777768</v>
      </c>
      <c r="F156" s="71" t="s">
        <v>264</v>
      </c>
      <c r="G156" s="25" t="s">
        <v>6</v>
      </c>
      <c r="H156" s="25" t="s">
        <v>265</v>
      </c>
    </row>
    <row r="157" spans="1:8" ht="28.8" hidden="1" outlineLevel="2" x14ac:dyDescent="0.3">
      <c r="A157" s="36">
        <v>45338</v>
      </c>
      <c r="B157" s="17" t="s">
        <v>31</v>
      </c>
      <c r="C157" s="37">
        <v>0.52777777777777779</v>
      </c>
      <c r="D157" s="37">
        <v>0.68055555555555547</v>
      </c>
      <c r="E157" s="37">
        <f t="shared" si="12"/>
        <v>0.15277777777777768</v>
      </c>
      <c r="F157" s="54" t="s">
        <v>197</v>
      </c>
      <c r="G157" s="17" t="s">
        <v>7</v>
      </c>
      <c r="H157" s="54" t="s">
        <v>266</v>
      </c>
    </row>
    <row r="158" spans="1:8" hidden="1" outlineLevel="1" collapsed="1" x14ac:dyDescent="0.3">
      <c r="A158" s="47" t="s">
        <v>267</v>
      </c>
      <c r="B158" s="46"/>
      <c r="C158" s="46"/>
      <c r="D158" s="46"/>
      <c r="E158" s="46"/>
      <c r="F158" s="46"/>
      <c r="G158" s="46"/>
      <c r="H158" s="48" t="s">
        <v>268</v>
      </c>
    </row>
    <row r="159" spans="1:8" hidden="1" outlineLevel="2" x14ac:dyDescent="0.3">
      <c r="A159" s="34">
        <v>45341</v>
      </c>
      <c r="B159" s="2" t="s">
        <v>29</v>
      </c>
      <c r="C159" s="35">
        <v>0.33333333333333331</v>
      </c>
      <c r="D159" s="35">
        <v>0.68055555555555547</v>
      </c>
      <c r="E159" s="35">
        <f>D159-C159</f>
        <v>0.34722222222222215</v>
      </c>
      <c r="F159" s="2" t="s">
        <v>270</v>
      </c>
      <c r="G159" s="2" t="s">
        <v>6</v>
      </c>
      <c r="H159" s="2" t="s">
        <v>269</v>
      </c>
    </row>
    <row r="160" spans="1:8" hidden="1" outlineLevel="2" x14ac:dyDescent="0.3">
      <c r="A160" s="36">
        <v>45341</v>
      </c>
      <c r="B160" s="17" t="s">
        <v>30</v>
      </c>
      <c r="C160" s="37">
        <v>0.33333333333333331</v>
      </c>
      <c r="D160" s="37">
        <v>0.68055555555555547</v>
      </c>
      <c r="E160" s="37">
        <f>D160-C160</f>
        <v>0.34722222222222215</v>
      </c>
      <c r="F160" s="54" t="s">
        <v>134</v>
      </c>
      <c r="G160" s="17" t="s">
        <v>5</v>
      </c>
      <c r="H160" s="17" t="s">
        <v>273</v>
      </c>
    </row>
    <row r="161" spans="1:8" ht="28.8" hidden="1" outlineLevel="2" x14ac:dyDescent="0.3">
      <c r="A161" s="34">
        <v>45341</v>
      </c>
      <c r="B161" s="2" t="s">
        <v>31</v>
      </c>
      <c r="C161" s="35">
        <v>0.33333333333333331</v>
      </c>
      <c r="D161" s="35">
        <v>0.68055555555555547</v>
      </c>
      <c r="E161" s="35">
        <f>D161-C161</f>
        <v>0.34722222222222215</v>
      </c>
      <c r="F161" s="45" t="s">
        <v>271</v>
      </c>
      <c r="G161" s="2" t="s">
        <v>7</v>
      </c>
      <c r="H161" s="45" t="s">
        <v>272</v>
      </c>
    </row>
    <row r="162" spans="1:8" ht="43.2" hidden="1" outlineLevel="2" x14ac:dyDescent="0.3">
      <c r="A162" s="36">
        <v>45342</v>
      </c>
      <c r="B162" s="17" t="s">
        <v>29</v>
      </c>
      <c r="C162" s="37">
        <v>0.33333333333333331</v>
      </c>
      <c r="D162" s="37">
        <v>0.68055555555555547</v>
      </c>
      <c r="E162" s="37">
        <f t="shared" ref="E162:E171" si="13">D162-C162</f>
        <v>0.34722222222222215</v>
      </c>
      <c r="F162" s="54" t="s">
        <v>278</v>
      </c>
      <c r="G162" s="17" t="s">
        <v>6</v>
      </c>
      <c r="H162" s="54" t="s">
        <v>275</v>
      </c>
    </row>
    <row r="163" spans="1:8" hidden="1" outlineLevel="2" x14ac:dyDescent="0.3">
      <c r="A163" s="34">
        <v>45342</v>
      </c>
      <c r="B163" s="2" t="s">
        <v>30</v>
      </c>
      <c r="C163" s="35">
        <v>0.33333333333333331</v>
      </c>
      <c r="D163" s="35">
        <v>0.68055555555555547</v>
      </c>
      <c r="E163" s="35">
        <f t="shared" si="13"/>
        <v>0.34722222222222215</v>
      </c>
      <c r="F163" s="45" t="s">
        <v>134</v>
      </c>
      <c r="G163" s="2" t="s">
        <v>5</v>
      </c>
      <c r="H163" s="45" t="s">
        <v>276</v>
      </c>
    </row>
    <row r="164" spans="1:8" ht="28.8" hidden="1" outlineLevel="2" x14ac:dyDescent="0.3">
      <c r="A164" s="36">
        <v>45342</v>
      </c>
      <c r="B164" s="17" t="s">
        <v>31</v>
      </c>
      <c r="C164" s="37">
        <v>0.33333333333333331</v>
      </c>
      <c r="D164" s="37">
        <v>0.68055555555555547</v>
      </c>
      <c r="E164" s="37">
        <f t="shared" si="13"/>
        <v>0.34722222222222215</v>
      </c>
      <c r="F164" s="54" t="s">
        <v>274</v>
      </c>
      <c r="G164" s="17" t="s">
        <v>7</v>
      </c>
      <c r="H164" s="54" t="s">
        <v>277</v>
      </c>
    </row>
    <row r="165" spans="1:8" hidden="1" outlineLevel="2" x14ac:dyDescent="0.3">
      <c r="A165" s="34">
        <v>45344</v>
      </c>
      <c r="B165" s="2" t="s">
        <v>29</v>
      </c>
      <c r="C165" s="35">
        <v>0.33333333333333331</v>
      </c>
      <c r="D165" s="35">
        <v>0.41666666666666669</v>
      </c>
      <c r="E165" s="35">
        <f t="shared" si="13"/>
        <v>8.333333333333337E-2</v>
      </c>
      <c r="F165" s="2" t="s">
        <v>61</v>
      </c>
      <c r="G165" s="2" t="s">
        <v>14</v>
      </c>
      <c r="H165" s="2" t="s">
        <v>14</v>
      </c>
    </row>
    <row r="166" spans="1:8" hidden="1" outlineLevel="2" x14ac:dyDescent="0.3">
      <c r="A166" s="36">
        <v>45344</v>
      </c>
      <c r="B166" s="17" t="s">
        <v>30</v>
      </c>
      <c r="C166" s="37">
        <v>0.33333333333333331</v>
      </c>
      <c r="D166" s="37">
        <v>0.41666666666666669</v>
      </c>
      <c r="E166" s="37">
        <f t="shared" si="13"/>
        <v>8.333333333333337E-2</v>
      </c>
      <c r="F166" s="17" t="s">
        <v>61</v>
      </c>
      <c r="G166" s="17" t="s">
        <v>14</v>
      </c>
      <c r="H166" s="17" t="s">
        <v>14</v>
      </c>
    </row>
    <row r="167" spans="1:8" hidden="1" outlineLevel="2" x14ac:dyDescent="0.3">
      <c r="A167" s="34">
        <v>45344</v>
      </c>
      <c r="B167" s="2" t="s">
        <v>31</v>
      </c>
      <c r="C167" s="35">
        <v>0.33333333333333331</v>
      </c>
      <c r="D167" s="35">
        <v>0.41666666666666669</v>
      </c>
      <c r="E167" s="35">
        <f t="shared" si="13"/>
        <v>8.333333333333337E-2</v>
      </c>
      <c r="F167" s="2" t="s">
        <v>61</v>
      </c>
      <c r="G167" s="2" t="s">
        <v>14</v>
      </c>
      <c r="H167" s="2" t="s">
        <v>14</v>
      </c>
    </row>
    <row r="168" spans="1:8" ht="28.8" hidden="1" outlineLevel="2" x14ac:dyDescent="0.3">
      <c r="A168" s="36">
        <v>45345</v>
      </c>
      <c r="B168" s="17" t="s">
        <v>29</v>
      </c>
      <c r="C168" s="37">
        <v>0.52777777777777779</v>
      </c>
      <c r="D168" s="37">
        <v>0.68055555555555547</v>
      </c>
      <c r="E168" s="37">
        <f t="shared" si="13"/>
        <v>0.15277777777777768</v>
      </c>
      <c r="F168" s="54" t="s">
        <v>279</v>
      </c>
      <c r="G168" s="17" t="s">
        <v>6</v>
      </c>
      <c r="H168" s="54" t="s">
        <v>282</v>
      </c>
    </row>
    <row r="169" spans="1:8" ht="28.8" hidden="1" outlineLevel="2" x14ac:dyDescent="0.3">
      <c r="A169" s="34">
        <v>45345</v>
      </c>
      <c r="B169" s="25" t="s">
        <v>30</v>
      </c>
      <c r="C169" s="40">
        <v>0.52777777777777779</v>
      </c>
      <c r="D169" s="40">
        <v>0.68055555555555547</v>
      </c>
      <c r="E169" s="40">
        <f t="shared" si="13"/>
        <v>0.15277777777777768</v>
      </c>
      <c r="F169" s="71" t="s">
        <v>280</v>
      </c>
      <c r="G169" s="25" t="s">
        <v>5</v>
      </c>
      <c r="H169" s="25" t="s">
        <v>283</v>
      </c>
    </row>
    <row r="170" spans="1:8" hidden="1" outlineLevel="2" x14ac:dyDescent="0.3">
      <c r="A170" s="36">
        <v>45345</v>
      </c>
      <c r="B170" s="17" t="s">
        <v>31</v>
      </c>
      <c r="C170" s="37">
        <v>0.52777777777777779</v>
      </c>
      <c r="D170" s="37">
        <v>0.68055555555555547</v>
      </c>
      <c r="E170" s="37">
        <f t="shared" si="13"/>
        <v>0.15277777777777768</v>
      </c>
      <c r="F170" s="54" t="s">
        <v>281</v>
      </c>
      <c r="G170" s="17" t="s">
        <v>7</v>
      </c>
      <c r="H170" s="17" t="s">
        <v>257</v>
      </c>
    </row>
    <row r="171" spans="1:8" hidden="1" outlineLevel="2" x14ac:dyDescent="0.3">
      <c r="A171" s="39">
        <v>45346</v>
      </c>
      <c r="B171" s="25" t="s">
        <v>31</v>
      </c>
      <c r="C171" s="40">
        <v>0.375</v>
      </c>
      <c r="D171" s="40">
        <v>0.66666666666666663</v>
      </c>
      <c r="E171" s="40">
        <f t="shared" si="13"/>
        <v>0.29166666666666663</v>
      </c>
      <c r="F171" s="71" t="s">
        <v>291</v>
      </c>
      <c r="G171" s="25" t="s">
        <v>7</v>
      </c>
      <c r="H171" s="25" t="s">
        <v>292</v>
      </c>
    </row>
    <row r="172" spans="1:8" hidden="1" outlineLevel="1" collapsed="1" x14ac:dyDescent="0.3">
      <c r="A172" s="47" t="s">
        <v>293</v>
      </c>
      <c r="B172" s="46"/>
      <c r="C172" s="46"/>
      <c r="D172" s="46"/>
      <c r="E172" s="46"/>
      <c r="F172" s="46"/>
      <c r="G172" s="46"/>
      <c r="H172" s="48" t="s">
        <v>297</v>
      </c>
    </row>
    <row r="173" spans="1:8" ht="43.2" hidden="1" outlineLevel="1" x14ac:dyDescent="0.3">
      <c r="A173" s="34">
        <v>45350</v>
      </c>
      <c r="B173" s="2" t="s">
        <v>29</v>
      </c>
      <c r="C173" s="35">
        <v>0.52777777777777779</v>
      </c>
      <c r="D173" s="35">
        <v>0.63888888888888895</v>
      </c>
      <c r="E173" s="35">
        <f>D173-C173</f>
        <v>0.11111111111111116</v>
      </c>
      <c r="F173" s="45" t="s">
        <v>298</v>
      </c>
      <c r="G173" s="2" t="s">
        <v>6</v>
      </c>
      <c r="H173" s="45" t="s">
        <v>300</v>
      </c>
    </row>
    <row r="174" spans="1:8" ht="28.8" hidden="1" outlineLevel="1" x14ac:dyDescent="0.3">
      <c r="A174" s="36">
        <v>45350</v>
      </c>
      <c r="B174" s="17" t="s">
        <v>31</v>
      </c>
      <c r="C174" s="37">
        <v>0.52777777777777779</v>
      </c>
      <c r="D174" s="37">
        <v>0.63888888888888895</v>
      </c>
      <c r="E174" s="37">
        <f>D174-C174</f>
        <v>0.11111111111111116</v>
      </c>
      <c r="F174" s="54" t="s">
        <v>299</v>
      </c>
      <c r="G174" s="17" t="s">
        <v>7</v>
      </c>
      <c r="H174" s="17" t="s">
        <v>301</v>
      </c>
    </row>
    <row r="175" spans="1:8" ht="28.8" hidden="1" outlineLevel="1" x14ac:dyDescent="0.3">
      <c r="A175" s="34">
        <v>45351</v>
      </c>
      <c r="B175" s="2" t="s">
        <v>29</v>
      </c>
      <c r="C175" s="35">
        <v>0.52777777777777779</v>
      </c>
      <c r="D175" s="35">
        <v>0.68055555555555547</v>
      </c>
      <c r="E175" s="35">
        <f>D175-C175</f>
        <v>0.15277777777777768</v>
      </c>
      <c r="F175" s="45" t="s">
        <v>302</v>
      </c>
      <c r="G175" s="2" t="s">
        <v>6</v>
      </c>
      <c r="H175" s="2" t="s">
        <v>304</v>
      </c>
    </row>
    <row r="176" spans="1:8" hidden="1" outlineLevel="1" x14ac:dyDescent="0.3">
      <c r="A176" s="36">
        <v>45351</v>
      </c>
      <c r="B176" s="17" t="s">
        <v>31</v>
      </c>
      <c r="C176" s="37">
        <v>0.52777777777777779</v>
      </c>
      <c r="D176" s="37">
        <v>0.68055555555555547</v>
      </c>
      <c r="E176" s="37">
        <f>D176-C176</f>
        <v>0.15277777777777768</v>
      </c>
      <c r="F176" s="54" t="s">
        <v>303</v>
      </c>
      <c r="G176" s="17" t="s">
        <v>6</v>
      </c>
      <c r="H176" s="17" t="s">
        <v>304</v>
      </c>
    </row>
    <row r="177" spans="1:8" collapsed="1" x14ac:dyDescent="0.3">
      <c r="A177" s="80" t="s">
        <v>305</v>
      </c>
      <c r="B177" s="65"/>
      <c r="C177" s="65"/>
      <c r="D177" s="65"/>
      <c r="E177" s="65"/>
      <c r="F177" s="65"/>
      <c r="G177" s="65"/>
      <c r="H177" s="67"/>
    </row>
    <row r="178" spans="1:8" x14ac:dyDescent="0.3">
      <c r="A178" s="47" t="s">
        <v>293</v>
      </c>
      <c r="B178" s="46"/>
      <c r="C178" s="46"/>
      <c r="D178" s="46"/>
      <c r="E178" s="46"/>
      <c r="F178" s="46"/>
      <c r="G178" s="46"/>
      <c r="H178" s="48" t="s">
        <v>307</v>
      </c>
    </row>
    <row r="179" spans="1:8" ht="28.8" hidden="1" outlineLevel="1" x14ac:dyDescent="0.3">
      <c r="A179" s="34">
        <v>45352</v>
      </c>
      <c r="B179" s="2" t="s">
        <v>29</v>
      </c>
      <c r="C179" s="35">
        <v>0.52777777777777779</v>
      </c>
      <c r="D179" s="35">
        <v>0.68055555555555547</v>
      </c>
      <c r="E179" s="35">
        <f>D179-C179</f>
        <v>0.15277777777777768</v>
      </c>
      <c r="F179" s="45" t="s">
        <v>308</v>
      </c>
      <c r="G179" s="2" t="s">
        <v>6</v>
      </c>
      <c r="H179" s="45" t="s">
        <v>311</v>
      </c>
    </row>
    <row r="180" spans="1:8" hidden="1" outlineLevel="1" x14ac:dyDescent="0.3">
      <c r="A180" s="36">
        <v>45352</v>
      </c>
      <c r="B180" s="17" t="s">
        <v>30</v>
      </c>
      <c r="C180" s="37">
        <v>0.52777777777777779</v>
      </c>
      <c r="D180" s="37">
        <v>0.68055555555555547</v>
      </c>
      <c r="E180" s="37">
        <f t="shared" ref="E180:E182" si="14">D180-C180</f>
        <v>0.15277777777777768</v>
      </c>
      <c r="F180" s="54" t="s">
        <v>309</v>
      </c>
      <c r="G180" s="17" t="s">
        <v>5</v>
      </c>
      <c r="H180" s="54" t="s">
        <v>312</v>
      </c>
    </row>
    <row r="181" spans="1:8" ht="31.2" hidden="1" customHeight="1" outlineLevel="1" x14ac:dyDescent="0.3">
      <c r="A181" s="34">
        <v>45352</v>
      </c>
      <c r="B181" s="2" t="s">
        <v>31</v>
      </c>
      <c r="C181" s="35">
        <v>0.52777777777777779</v>
      </c>
      <c r="D181" s="35">
        <v>0.68055555555555547</v>
      </c>
      <c r="E181" s="35">
        <f t="shared" si="14"/>
        <v>0.15277777777777768</v>
      </c>
      <c r="F181" s="45" t="s">
        <v>310</v>
      </c>
      <c r="G181" s="2" t="s">
        <v>7</v>
      </c>
      <c r="H181" s="45" t="s">
        <v>313</v>
      </c>
    </row>
    <row r="182" spans="1:8" ht="28.8" hidden="1" outlineLevel="1" x14ac:dyDescent="0.3">
      <c r="A182" s="36">
        <v>45353</v>
      </c>
      <c r="B182" s="17" t="s">
        <v>31</v>
      </c>
      <c r="C182" s="37">
        <v>0.5</v>
      </c>
      <c r="D182" s="37">
        <v>0.75</v>
      </c>
      <c r="E182" s="37">
        <f t="shared" si="14"/>
        <v>0.25</v>
      </c>
      <c r="F182" s="54" t="s">
        <v>314</v>
      </c>
      <c r="G182" s="17" t="s">
        <v>7</v>
      </c>
      <c r="H182" s="54" t="s">
        <v>315</v>
      </c>
    </row>
    <row r="183" spans="1:8" collapsed="1" x14ac:dyDescent="0.3">
      <c r="A183" s="47" t="s">
        <v>306</v>
      </c>
      <c r="B183" s="81"/>
      <c r="C183" s="81"/>
      <c r="D183" s="81"/>
      <c r="E183" s="81"/>
      <c r="F183" s="81"/>
      <c r="G183" s="81"/>
      <c r="H183" s="48" t="s">
        <v>316</v>
      </c>
    </row>
    <row r="184" spans="1:8" ht="28.8" hidden="1" outlineLevel="1" x14ac:dyDescent="0.3">
      <c r="A184" s="34">
        <v>45355</v>
      </c>
      <c r="B184" s="2" t="s">
        <v>29</v>
      </c>
      <c r="C184" s="35">
        <v>0.41666666666666669</v>
      </c>
      <c r="D184" s="35">
        <v>0.52777777777777779</v>
      </c>
      <c r="E184" s="35">
        <f t="shared" ref="E184:E188" si="15">D184-C184</f>
        <v>0.1111111111111111</v>
      </c>
      <c r="F184" s="45" t="s">
        <v>156</v>
      </c>
      <c r="G184" s="2" t="s">
        <v>6</v>
      </c>
      <c r="H184" s="45" t="s">
        <v>317</v>
      </c>
    </row>
    <row r="185" spans="1:8" hidden="1" outlineLevel="1" x14ac:dyDescent="0.3">
      <c r="A185" s="36">
        <v>45355</v>
      </c>
      <c r="B185" s="17" t="s">
        <v>31</v>
      </c>
      <c r="C185" s="37">
        <v>0.41666666666666669</v>
      </c>
      <c r="D185" s="37">
        <v>0.52777777777777779</v>
      </c>
      <c r="E185" s="37">
        <f t="shared" si="15"/>
        <v>0.1111111111111111</v>
      </c>
      <c r="F185" s="54" t="s">
        <v>319</v>
      </c>
      <c r="G185" s="17" t="s">
        <v>7</v>
      </c>
      <c r="H185" s="54" t="s">
        <v>318</v>
      </c>
    </row>
    <row r="186" spans="1:8" ht="28.8" hidden="1" outlineLevel="1" x14ac:dyDescent="0.3">
      <c r="A186" s="34">
        <v>45357</v>
      </c>
      <c r="B186" s="2" t="s">
        <v>29</v>
      </c>
      <c r="C186" s="35">
        <v>0.52777777777777779</v>
      </c>
      <c r="D186" s="35">
        <v>0.72916666666666663</v>
      </c>
      <c r="E186" s="35">
        <f t="shared" si="15"/>
        <v>0.20138888888888884</v>
      </c>
      <c r="F186" s="45" t="s">
        <v>320</v>
      </c>
      <c r="G186" s="2" t="s">
        <v>6</v>
      </c>
      <c r="H186" s="45" t="s">
        <v>321</v>
      </c>
    </row>
    <row r="187" spans="1:8" hidden="1" outlineLevel="1" x14ac:dyDescent="0.3">
      <c r="A187" s="36">
        <v>45357</v>
      </c>
      <c r="B187" s="17" t="s">
        <v>31</v>
      </c>
      <c r="C187" s="37">
        <v>0.52777777777777779</v>
      </c>
      <c r="D187" s="37">
        <v>0.72916666666666663</v>
      </c>
      <c r="E187" s="37">
        <f t="shared" si="15"/>
        <v>0.20138888888888884</v>
      </c>
      <c r="F187" s="54" t="s">
        <v>322</v>
      </c>
      <c r="G187" s="17" t="s">
        <v>7</v>
      </c>
      <c r="H187" s="17" t="s">
        <v>323</v>
      </c>
    </row>
    <row r="188" spans="1:8" ht="28.8" hidden="1" outlineLevel="1" x14ac:dyDescent="0.3">
      <c r="A188" s="34">
        <v>45358</v>
      </c>
      <c r="B188" s="2" t="s">
        <v>29</v>
      </c>
      <c r="C188" s="35">
        <v>0.60416666666666663</v>
      </c>
      <c r="D188" s="35">
        <v>0.72916666666666663</v>
      </c>
      <c r="E188" s="35">
        <f t="shared" si="15"/>
        <v>0.125</v>
      </c>
      <c r="F188" s="45" t="s">
        <v>324</v>
      </c>
      <c r="G188" s="2" t="s">
        <v>6</v>
      </c>
      <c r="H188" s="45" t="s">
        <v>327</v>
      </c>
    </row>
    <row r="189" spans="1:8" ht="28.8" hidden="1" outlineLevel="1" x14ac:dyDescent="0.3">
      <c r="A189" s="36">
        <v>45358</v>
      </c>
      <c r="B189" s="17" t="s">
        <v>31</v>
      </c>
      <c r="C189" s="37">
        <v>0.60416666666666663</v>
      </c>
      <c r="D189" s="37">
        <v>0.72916666666666663</v>
      </c>
      <c r="E189" s="37">
        <f>D189-C189</f>
        <v>0.125</v>
      </c>
      <c r="F189" s="54" t="s">
        <v>326</v>
      </c>
      <c r="G189" s="17" t="s">
        <v>7</v>
      </c>
      <c r="H189" s="54" t="s">
        <v>325</v>
      </c>
    </row>
    <row r="190" spans="1:8" hidden="1" outlineLevel="1" x14ac:dyDescent="0.3">
      <c r="A190" s="34">
        <v>45359</v>
      </c>
      <c r="B190" s="2" t="s">
        <v>29</v>
      </c>
      <c r="C190" s="35">
        <v>0.52777777777777779</v>
      </c>
      <c r="D190" s="35">
        <v>0.68055555555555558</v>
      </c>
      <c r="E190" s="35">
        <f t="shared" ref="E190:E192" si="16">D190-C190</f>
        <v>0.15277777777777779</v>
      </c>
      <c r="F190" s="45" t="s">
        <v>333</v>
      </c>
      <c r="G190" s="2" t="s">
        <v>6</v>
      </c>
      <c r="H190" s="2" t="s">
        <v>330</v>
      </c>
    </row>
    <row r="191" spans="1:8" hidden="1" outlineLevel="1" x14ac:dyDescent="0.3">
      <c r="A191" s="36">
        <v>45359</v>
      </c>
      <c r="B191" s="17" t="s">
        <v>30</v>
      </c>
      <c r="C191" s="37">
        <v>0.52777777777777779</v>
      </c>
      <c r="D191" s="37">
        <v>0.68055555555555558</v>
      </c>
      <c r="E191" s="37">
        <f t="shared" si="16"/>
        <v>0.15277777777777779</v>
      </c>
      <c r="F191" s="17" t="s">
        <v>328</v>
      </c>
      <c r="G191" s="17" t="s">
        <v>5</v>
      </c>
      <c r="H191" s="17" t="s">
        <v>331</v>
      </c>
    </row>
    <row r="192" spans="1:8" hidden="1" outlineLevel="1" x14ac:dyDescent="0.3">
      <c r="A192" s="34">
        <v>45359</v>
      </c>
      <c r="B192" s="2" t="s">
        <v>31</v>
      </c>
      <c r="C192" s="35">
        <v>0.52777777777777779</v>
      </c>
      <c r="D192" s="35">
        <v>0.68055555555555558</v>
      </c>
      <c r="E192" s="35">
        <f t="shared" si="16"/>
        <v>0.15277777777777779</v>
      </c>
      <c r="F192" s="2" t="s">
        <v>332</v>
      </c>
      <c r="G192" s="2" t="s">
        <v>7</v>
      </c>
      <c r="H192" s="2" t="s">
        <v>329</v>
      </c>
    </row>
    <row r="193" spans="1:8" collapsed="1" x14ac:dyDescent="0.3">
      <c r="A193" s="47" t="s">
        <v>334</v>
      </c>
      <c r="B193" s="81"/>
      <c r="C193" s="81"/>
      <c r="D193" s="81"/>
      <c r="E193" s="81"/>
      <c r="F193" s="81"/>
      <c r="G193" s="81"/>
      <c r="H193" s="48" t="s">
        <v>335</v>
      </c>
    </row>
    <row r="194" spans="1:8" x14ac:dyDescent="0.3">
      <c r="A194" s="34">
        <v>45363</v>
      </c>
      <c r="B194" s="2" t="s">
        <v>29</v>
      </c>
      <c r="C194" s="35">
        <v>0.63888888888888884</v>
      </c>
      <c r="D194" s="35">
        <v>0.68055555555555558</v>
      </c>
      <c r="E194" s="35">
        <f>D194-C194</f>
        <v>4.1666666666666741E-2</v>
      </c>
      <c r="F194" s="2" t="s">
        <v>61</v>
      </c>
      <c r="G194" s="2" t="s">
        <v>14</v>
      </c>
      <c r="H194" s="2" t="s">
        <v>14</v>
      </c>
    </row>
    <row r="195" spans="1:8" x14ac:dyDescent="0.3">
      <c r="A195" s="36">
        <v>45363</v>
      </c>
      <c r="B195" s="17" t="s">
        <v>30</v>
      </c>
      <c r="C195" s="37">
        <v>0.63888888888888884</v>
      </c>
      <c r="D195" s="37">
        <v>0.68055555555555558</v>
      </c>
      <c r="E195" s="37">
        <f t="shared" ref="E195:E198" si="17">D195-C195</f>
        <v>4.1666666666666741E-2</v>
      </c>
      <c r="F195" s="17" t="s">
        <v>328</v>
      </c>
      <c r="G195" s="17" t="s">
        <v>5</v>
      </c>
      <c r="H195" s="17" t="s">
        <v>14</v>
      </c>
    </row>
    <row r="196" spans="1:8" x14ac:dyDescent="0.3">
      <c r="A196" s="34">
        <v>45363</v>
      </c>
      <c r="B196" s="2" t="s">
        <v>31</v>
      </c>
      <c r="C196" s="35">
        <v>0.63888888888888884</v>
      </c>
      <c r="D196" s="35">
        <v>0.68055555555555558</v>
      </c>
      <c r="E196" s="35">
        <f t="shared" si="17"/>
        <v>4.1666666666666741E-2</v>
      </c>
      <c r="F196" s="2" t="s">
        <v>319</v>
      </c>
      <c r="G196" s="2" t="s">
        <v>7</v>
      </c>
      <c r="H196" s="2" t="s">
        <v>336</v>
      </c>
    </row>
    <row r="197" spans="1:8" x14ac:dyDescent="0.3">
      <c r="A197" s="36">
        <v>45365</v>
      </c>
      <c r="B197" s="17" t="s">
        <v>29</v>
      </c>
      <c r="C197" s="37">
        <v>0.63888888888888884</v>
      </c>
      <c r="D197" s="37">
        <v>0.70833333333333337</v>
      </c>
      <c r="E197" s="82">
        <f t="shared" si="17"/>
        <v>6.9444444444444531E-2</v>
      </c>
      <c r="F197" s="17" t="s">
        <v>61</v>
      </c>
      <c r="G197" s="17" t="s">
        <v>14</v>
      </c>
      <c r="H197" s="17" t="s">
        <v>14</v>
      </c>
    </row>
    <row r="198" spans="1:8" x14ac:dyDescent="0.3">
      <c r="A198" s="34">
        <v>45365</v>
      </c>
      <c r="B198" s="2" t="s">
        <v>31</v>
      </c>
      <c r="C198" s="35">
        <v>0.63888888888888884</v>
      </c>
      <c r="D198" s="35">
        <v>0.70833333333333337</v>
      </c>
      <c r="E198" s="82">
        <f t="shared" si="17"/>
        <v>6.9444444444444531E-2</v>
      </c>
      <c r="F198" s="2" t="s">
        <v>337</v>
      </c>
      <c r="G198" s="2" t="s">
        <v>7</v>
      </c>
      <c r="H198" s="2" t="s">
        <v>338</v>
      </c>
    </row>
  </sheetData>
  <phoneticPr fontId="2" type="noConversion"/>
  <pageMargins left="0.7" right="0.7" top="0.78740157499999996" bottom="0.78740157499999996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6AA2-3878-4898-AC57-A6DAEC3EF2CC}">
  <dimension ref="A1:F16"/>
  <sheetViews>
    <sheetView zoomScale="85" zoomScaleNormal="85" workbookViewId="0">
      <selection activeCell="E6" sqref="E6:E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116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0+2+3+2</f>
        <v>7</v>
      </c>
      <c r="C6" s="2">
        <f>B6-'Week 7'!B6</f>
        <v>3.2</v>
      </c>
      <c r="D6" s="2">
        <f>'Week 7'!D6 - B6</f>
        <v>126.29999999999998</v>
      </c>
      <c r="E6" s="2">
        <f>B6+'Week 7'!E6</f>
        <v>53.699999999999989</v>
      </c>
    </row>
    <row r="7" spans="1:6" x14ac:dyDescent="0.3">
      <c r="A7" s="6" t="s">
        <v>30</v>
      </c>
      <c r="B7" s="6">
        <f>0</f>
        <v>0</v>
      </c>
      <c r="C7" s="6">
        <f>B7-'Week 7'!B7</f>
        <v>-3.8</v>
      </c>
      <c r="D7" s="6">
        <f>'Week 7'!D7 - B7</f>
        <v>144.19999999999996</v>
      </c>
      <c r="E7" s="6">
        <f>B7+'Week 7'!E7</f>
        <v>35.799999999999997</v>
      </c>
    </row>
    <row r="8" spans="1:6" x14ac:dyDescent="0.3">
      <c r="A8" s="2" t="s">
        <v>31</v>
      </c>
      <c r="B8" s="2">
        <f>0+2</f>
        <v>2</v>
      </c>
      <c r="C8" s="2">
        <f>B8-'Week 7'!B8</f>
        <v>-1.7999999999999998</v>
      </c>
      <c r="D8" s="2">
        <f>'Week 7'!D8 - B8</f>
        <v>137.99999999999997</v>
      </c>
      <c r="E8" s="2">
        <f>B8+'Week 7'!E8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3.8</f>
        <v>3.8</v>
      </c>
      <c r="D12" s="2">
        <f xml:space="preserve"> B12-C12</f>
        <v>-3.8</v>
      </c>
      <c r="E12" s="25">
        <f>B12+ 'Week 7'!E12</f>
        <v>35.899999999999991</v>
      </c>
      <c r="F12" s="2">
        <v>25</v>
      </c>
    </row>
    <row r="13" spans="1:6" x14ac:dyDescent="0.3">
      <c r="A13" s="6" t="s">
        <v>6</v>
      </c>
      <c r="B13" s="6">
        <f>0+2+3+2</f>
        <v>7</v>
      </c>
      <c r="C13" s="6">
        <f>3.8</f>
        <v>3.8</v>
      </c>
      <c r="D13" s="6">
        <f xml:space="preserve"> B13-C13</f>
        <v>3.2</v>
      </c>
      <c r="E13" s="6">
        <f>B13+ 'Week 7'!E13</f>
        <v>44.099999999999994</v>
      </c>
      <c r="F13" s="6">
        <v>40</v>
      </c>
    </row>
    <row r="14" spans="1:6" x14ac:dyDescent="0.3">
      <c r="A14" s="2" t="s">
        <v>7</v>
      </c>
      <c r="B14" s="2">
        <f>0+2</f>
        <v>2</v>
      </c>
      <c r="C14" s="2">
        <f>3.8</f>
        <v>3.8</v>
      </c>
      <c r="D14" s="2">
        <f xml:space="preserve"> B14-C14</f>
        <v>-1.7999999999999998</v>
      </c>
      <c r="E14" s="25">
        <f>B14+ 'Week 7'!E14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7'!E15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C085D-D1D2-4201-B9D5-9F5FAA39FDDD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126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0+2.5+1</f>
        <v>3.5</v>
      </c>
      <c r="C6" s="2">
        <f>B6-'Week 8'!B6</f>
        <v>-3.5</v>
      </c>
      <c r="D6" s="2">
        <f>'Week 8'!D6 - B6</f>
        <v>122.79999999999998</v>
      </c>
      <c r="E6" s="2">
        <f>B6+'Week 8'!E6</f>
        <v>57.199999999999989</v>
      </c>
    </row>
    <row r="7" spans="1:6" x14ac:dyDescent="0.3">
      <c r="A7" s="6" t="s">
        <v>30</v>
      </c>
      <c r="B7" s="6">
        <f>0</f>
        <v>0</v>
      </c>
      <c r="C7" s="6">
        <f>B7-'Week 8'!B7</f>
        <v>0</v>
      </c>
      <c r="D7" s="6">
        <f>'Week 8'!D7 - B7</f>
        <v>144.19999999999996</v>
      </c>
      <c r="E7" s="6">
        <f>B7+'Week 8'!E7</f>
        <v>35.799999999999997</v>
      </c>
    </row>
    <row r="8" spans="1:6" x14ac:dyDescent="0.3">
      <c r="A8" s="2" t="s">
        <v>31</v>
      </c>
      <c r="B8" s="2">
        <f>0</f>
        <v>0</v>
      </c>
      <c r="C8" s="25">
        <f>B8-'Week 8'!B8</f>
        <v>-2</v>
      </c>
      <c r="D8" s="2">
        <f>'Week 8'!D8 - B8</f>
        <v>137.99999999999997</v>
      </c>
      <c r="E8" s="2">
        <f>B8+'Week 8'!E8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0</v>
      </c>
      <c r="D12" s="2">
        <f xml:space="preserve"> B12-C12</f>
        <v>0</v>
      </c>
      <c r="E12" s="25">
        <f>B12+ 'Week 8'!E12</f>
        <v>35.899999999999991</v>
      </c>
      <c r="F12" s="2">
        <v>25</v>
      </c>
    </row>
    <row r="13" spans="1:6" x14ac:dyDescent="0.3">
      <c r="A13" s="6" t="s">
        <v>6</v>
      </c>
      <c r="B13" s="6">
        <f>0+2.5+1</f>
        <v>3.5</v>
      </c>
      <c r="C13" s="6">
        <f>0+2+3+2</f>
        <v>7</v>
      </c>
      <c r="D13" s="6">
        <f xml:space="preserve"> B13-C13</f>
        <v>-3.5</v>
      </c>
      <c r="E13" s="6">
        <f>B13+ 'Week 8'!E13</f>
        <v>47.599999999999994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0+2</f>
        <v>2</v>
      </c>
      <c r="D14" s="2">
        <f xml:space="preserve"> B14-C14</f>
        <v>-2</v>
      </c>
      <c r="E14" s="25">
        <f>B14+ 'Week 8'!E14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8'!E15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C0B7-3658-4FC5-894B-11BED472322D}">
  <dimension ref="A1:F16"/>
  <sheetViews>
    <sheetView zoomScale="85" zoomScaleNormal="85" workbookViewId="0">
      <selection activeCell="D8" sqref="D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130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0+2.5+3+7.5</f>
        <v>13</v>
      </c>
      <c r="C6" s="2">
        <f>B6-'Week 9'!B6</f>
        <v>9.5</v>
      </c>
      <c r="D6" s="2">
        <f>'Week 9'!D6 - B6</f>
        <v>109.79999999999998</v>
      </c>
      <c r="E6" s="2">
        <f>B6+'Week 9'!E6</f>
        <v>70.199999999999989</v>
      </c>
    </row>
    <row r="7" spans="1:6" x14ac:dyDescent="0.3">
      <c r="A7" s="6" t="s">
        <v>30</v>
      </c>
      <c r="B7" s="6">
        <f>0+2.5+3.8</f>
        <v>6.3</v>
      </c>
      <c r="C7" s="6">
        <f>B7-'Week 9'!B7</f>
        <v>6.3</v>
      </c>
      <c r="D7" s="6">
        <f>'Week 9'!D7 - B7</f>
        <v>137.89999999999995</v>
      </c>
      <c r="E7" s="6">
        <f>B7+'Week 9'!E7</f>
        <v>42.099999999999994</v>
      </c>
    </row>
    <row r="8" spans="1:6" x14ac:dyDescent="0.3">
      <c r="A8" s="2" t="s">
        <v>31</v>
      </c>
      <c r="B8" s="2">
        <f>0+2.5+3+3.8+1.5</f>
        <v>10.8</v>
      </c>
      <c r="C8" s="2">
        <f>B8-'Week 9'!B8</f>
        <v>10.8</v>
      </c>
      <c r="D8" s="2">
        <f>'Week 9'!D8 - B8</f>
        <v>127.19999999999997</v>
      </c>
      <c r="E8" s="2">
        <f>B8+'Week 9'!E8</f>
        <v>52.8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0+2.5+3+7.5</f>
        <v>13</v>
      </c>
      <c r="C12" s="2">
        <v>0</v>
      </c>
      <c r="D12" s="2">
        <f xml:space="preserve"> B12-C12</f>
        <v>13</v>
      </c>
      <c r="E12" s="25">
        <f>B12+ 'Week 9'!E12</f>
        <v>48.899999999999991</v>
      </c>
      <c r="F12" s="2">
        <v>25</v>
      </c>
    </row>
    <row r="13" spans="1:6" x14ac:dyDescent="0.3">
      <c r="A13" s="6" t="s">
        <v>6</v>
      </c>
      <c r="B13" s="6">
        <f>0+2.5+3+3.8</f>
        <v>9.3000000000000007</v>
      </c>
      <c r="C13" s="6">
        <f>0+2.5+1</f>
        <v>3.5</v>
      </c>
      <c r="D13" s="6">
        <f xml:space="preserve"> B13-C13</f>
        <v>5.8000000000000007</v>
      </c>
      <c r="E13" s="6">
        <f>B13+ 'Week 9'!E13</f>
        <v>56.899999999999991</v>
      </c>
      <c r="F13" s="6">
        <v>40</v>
      </c>
    </row>
    <row r="14" spans="1:6" x14ac:dyDescent="0.3">
      <c r="A14" s="2" t="s">
        <v>7</v>
      </c>
      <c r="B14" s="2">
        <f>0+2.5+3.8+1.5</f>
        <v>7.8</v>
      </c>
      <c r="C14" s="2">
        <f>0</f>
        <v>0</v>
      </c>
      <c r="D14" s="2">
        <f xml:space="preserve"> B14-C14</f>
        <v>7.8</v>
      </c>
      <c r="E14" s="25">
        <f>B14+ 'Week 9'!E14</f>
        <v>37.299999999999997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4FE0-7623-4A77-986E-EFCBB1C7A4D3}">
  <dimension ref="A1:F16"/>
  <sheetViews>
    <sheetView zoomScale="85" zoomScaleNormal="85" workbookViewId="0">
      <selection activeCell="E12" sqref="E1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149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</f>
        <v>3</v>
      </c>
      <c r="C6" s="2">
        <f>B6-'Week 10'!B6</f>
        <v>-10</v>
      </c>
      <c r="D6" s="2">
        <f>'Week 10'!D6 - B6</f>
        <v>106.79999999999998</v>
      </c>
      <c r="E6" s="2">
        <f>B6+'Week 10'!E6</f>
        <v>73.199999999999989</v>
      </c>
    </row>
    <row r="7" spans="1:6" x14ac:dyDescent="0.3">
      <c r="A7" s="6" t="s">
        <v>30</v>
      </c>
      <c r="B7" s="6">
        <f>0+3</f>
        <v>3</v>
      </c>
      <c r="C7" s="6">
        <f>B7-'Week 10'!B7</f>
        <v>-3.3</v>
      </c>
      <c r="D7" s="6">
        <f>'Week 10'!D7 - B7</f>
        <v>134.89999999999995</v>
      </c>
      <c r="E7" s="6">
        <f>B7+'Week 10'!E7</f>
        <v>45.099999999999994</v>
      </c>
    </row>
    <row r="8" spans="1:6" x14ac:dyDescent="0.3">
      <c r="A8" s="2" t="s">
        <v>31</v>
      </c>
      <c r="B8" s="2">
        <f>0+3+2</f>
        <v>5</v>
      </c>
      <c r="C8" s="2">
        <f>B8-'Week 10'!B8</f>
        <v>-5.8000000000000007</v>
      </c>
      <c r="D8" s="2">
        <f>'Week 10'!D8 - B8</f>
        <v>122.19999999999997</v>
      </c>
      <c r="E8" s="2">
        <f>B8+'Week 10'!E8</f>
        <v>57.8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</f>
        <v>3</v>
      </c>
      <c r="C12" s="2">
        <f>0+2.5+3+7.5</f>
        <v>13</v>
      </c>
      <c r="D12" s="2">
        <f xml:space="preserve"> B12-C12</f>
        <v>-10</v>
      </c>
      <c r="E12" s="25">
        <f>B12+ 'Week 10'!E12</f>
        <v>51.899999999999991</v>
      </c>
      <c r="F12" s="2">
        <v>25</v>
      </c>
    </row>
    <row r="13" spans="1:6" x14ac:dyDescent="0.3">
      <c r="A13" s="6" t="s">
        <v>6</v>
      </c>
      <c r="B13" s="6">
        <f>0+3</f>
        <v>3</v>
      </c>
      <c r="C13" s="6">
        <f>0+2.5+3+3.8</f>
        <v>9.3000000000000007</v>
      </c>
      <c r="D13" s="6">
        <f xml:space="preserve"> B13-C13</f>
        <v>-6.3000000000000007</v>
      </c>
      <c r="E13" s="6">
        <f>B13+ 'Week 10'!E13</f>
        <v>59.899999999999991</v>
      </c>
      <c r="F13" s="6">
        <v>40</v>
      </c>
    </row>
    <row r="14" spans="1:6" x14ac:dyDescent="0.3">
      <c r="A14" s="2" t="s">
        <v>7</v>
      </c>
      <c r="B14" s="2">
        <f>0+3+2</f>
        <v>5</v>
      </c>
      <c r="C14" s="2">
        <f>0+2.5+3.8+1.5</f>
        <v>7.8</v>
      </c>
      <c r="D14" s="2">
        <f xml:space="preserve"> B14-C14</f>
        <v>-2.8</v>
      </c>
      <c r="E14" s="25">
        <f>B14+ 'Week 10'!E14</f>
        <v>42.3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21B8-D849-4814-BA9A-DA309A2B029B}">
  <dimension ref="A1:F16"/>
  <sheetViews>
    <sheetView zoomScale="85" zoomScaleNormal="85" workbookViewId="0">
      <selection activeCell="E16" sqref="E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159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0+3.3</f>
        <v>3.3</v>
      </c>
      <c r="C6" s="2">
        <f>B6-'Week 11'!B6</f>
        <v>0.29999999999999982</v>
      </c>
      <c r="D6" s="2">
        <f>'Week 11'!D6 - B6</f>
        <v>103.49999999999999</v>
      </c>
      <c r="E6" s="2">
        <f>B6+'Week 11'!E6</f>
        <v>76.499999999999986</v>
      </c>
    </row>
    <row r="7" spans="1:6" x14ac:dyDescent="0.3">
      <c r="A7" s="6" t="s">
        <v>30</v>
      </c>
      <c r="B7" s="6">
        <f>4.8</f>
        <v>4.8</v>
      </c>
      <c r="C7" s="6">
        <f>B7-'Week 11'!B7</f>
        <v>1.7999999999999998</v>
      </c>
      <c r="D7" s="6">
        <f>'Week 11'!D7 - B7</f>
        <v>130.09999999999994</v>
      </c>
      <c r="E7" s="6">
        <f>B7+'Week 11'!E7</f>
        <v>49.899999999999991</v>
      </c>
    </row>
    <row r="8" spans="1:6" x14ac:dyDescent="0.3">
      <c r="A8" s="2" t="s">
        <v>31</v>
      </c>
      <c r="B8" s="2">
        <f>4.8</f>
        <v>4.8</v>
      </c>
      <c r="C8" s="2">
        <f>B8-'Week 11'!B8</f>
        <v>-0.20000000000000018</v>
      </c>
      <c r="D8" s="2">
        <f>'Week 11'!D8 - B8</f>
        <v>117.39999999999998</v>
      </c>
      <c r="E8" s="2">
        <f>B8+'Week 11'!E8</f>
        <v>62.599999999999994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0+4.8</f>
        <v>4.8</v>
      </c>
      <c r="C12" s="2">
        <f>0+3</f>
        <v>3</v>
      </c>
      <c r="D12" s="2">
        <f xml:space="preserve"> B12-C12</f>
        <v>1.7999999999999998</v>
      </c>
      <c r="E12" s="25">
        <f>B12+ 'Week 11'!E12</f>
        <v>56.699999999999989</v>
      </c>
      <c r="F12" s="2">
        <v>25</v>
      </c>
    </row>
    <row r="13" spans="1:6" x14ac:dyDescent="0.3">
      <c r="A13" s="6" t="s">
        <v>6</v>
      </c>
      <c r="B13" s="6">
        <f>0+3.3</f>
        <v>3.3</v>
      </c>
      <c r="C13" s="6">
        <f>0+3</f>
        <v>3</v>
      </c>
      <c r="D13" s="6">
        <f xml:space="preserve"> B13-C13</f>
        <v>0.29999999999999982</v>
      </c>
      <c r="E13" s="6">
        <f>B13+ 'Week 11'!E13</f>
        <v>63.199999999999989</v>
      </c>
      <c r="F13" s="6">
        <v>40</v>
      </c>
    </row>
    <row r="14" spans="1:6" x14ac:dyDescent="0.3">
      <c r="A14" s="2" t="s">
        <v>7</v>
      </c>
      <c r="B14" s="2">
        <f>0+4.8</f>
        <v>4.8</v>
      </c>
      <c r="C14" s="2">
        <f>0+3+2</f>
        <v>5</v>
      </c>
      <c r="D14" s="2">
        <f xml:space="preserve"> B14-C14</f>
        <v>-0.20000000000000018</v>
      </c>
      <c r="E14" s="25">
        <f>B14+ 'Week 11'!E14</f>
        <v>47.099999999999994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11'!E15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D13B-BC9D-45A7-92E9-F9DA03B326A2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5.1</f>
        <v>5.0999999999999996</v>
      </c>
      <c r="C6" s="2">
        <f>B6-'Week 12'!B6</f>
        <v>1.7999999999999998</v>
      </c>
      <c r="D6" s="2">
        <f>'Week 12'!D6 - B6</f>
        <v>98.399999999999991</v>
      </c>
      <c r="E6" s="2">
        <f>B6+'Week 12'!E6</f>
        <v>81.59999999999998</v>
      </c>
    </row>
    <row r="7" spans="1:6" x14ac:dyDescent="0.3">
      <c r="A7" s="6" t="s">
        <v>30</v>
      </c>
      <c r="B7" s="6">
        <f>5.1</f>
        <v>5.0999999999999996</v>
      </c>
      <c r="C7" s="6">
        <f>B7-'Week 12'!B7</f>
        <v>0.29999999999999982</v>
      </c>
      <c r="D7" s="6">
        <f>'Week 12'!D7 - B7</f>
        <v>124.99999999999994</v>
      </c>
      <c r="E7" s="6">
        <f>B7+'Week 12'!E7</f>
        <v>54.999999999999993</v>
      </c>
    </row>
    <row r="8" spans="1:6" x14ac:dyDescent="0.3">
      <c r="A8" s="2" t="s">
        <v>31</v>
      </c>
      <c r="B8" s="2">
        <f>7.3</f>
        <v>7.3</v>
      </c>
      <c r="C8" s="2">
        <f>B8-'Week 12'!B8</f>
        <v>2.5</v>
      </c>
      <c r="D8" s="2">
        <f>'Week 12'!D8 - B8</f>
        <v>110.09999999999998</v>
      </c>
      <c r="E8" s="2">
        <f>B8+'Week 12'!E8</f>
        <v>69.899999999999991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5.1</f>
        <v>5.0999999999999996</v>
      </c>
      <c r="C12" s="2">
        <f>0+4.8</f>
        <v>4.8</v>
      </c>
      <c r="D12" s="2">
        <f xml:space="preserve"> B12-C12</f>
        <v>0.29999999999999982</v>
      </c>
      <c r="E12" s="25">
        <f>B12+ 'Week 12'!E12</f>
        <v>61.79999999999999</v>
      </c>
      <c r="F12" s="2">
        <v>40</v>
      </c>
    </row>
    <row r="13" spans="1:6" x14ac:dyDescent="0.3">
      <c r="A13" s="6" t="s">
        <v>6</v>
      </c>
      <c r="B13" s="6">
        <f>3</f>
        <v>3</v>
      </c>
      <c r="C13" s="6">
        <f>0+3.3</f>
        <v>3.3</v>
      </c>
      <c r="D13" s="6">
        <f xml:space="preserve"> B13-C13</f>
        <v>-0.29999999999999982</v>
      </c>
      <c r="E13" s="6">
        <f>B13+ 'Week 12'!E13</f>
        <v>66.199999999999989</v>
      </c>
      <c r="F13" s="6">
        <v>40</v>
      </c>
    </row>
    <row r="14" spans="1:6" x14ac:dyDescent="0.3">
      <c r="A14" s="2" t="s">
        <v>7</v>
      </c>
      <c r="B14" s="2">
        <f>10.3</f>
        <v>10.3</v>
      </c>
      <c r="C14" s="2">
        <f>0+4.8</f>
        <v>4.8</v>
      </c>
      <c r="D14" s="2">
        <f xml:space="preserve"> B14-C14</f>
        <v>5.5000000000000009</v>
      </c>
      <c r="E14" s="25">
        <f>B14+ 'Week 12'!E14</f>
        <v>57.399999999999991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12'!E15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8AE0-7389-404B-BE81-5D8FA437D3BE}">
  <dimension ref="A1:F16"/>
  <sheetViews>
    <sheetView zoomScale="85" zoomScaleNormal="85" workbookViewId="0">
      <selection activeCell="H11" sqref="H1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189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0+1.5</f>
        <v>1.5</v>
      </c>
      <c r="C6" s="2">
        <f>B6-'Week 13'!B6</f>
        <v>-3.5999999999999996</v>
      </c>
      <c r="D6" s="2">
        <f>'Week 13'!D6 - B6</f>
        <v>96.899999999999991</v>
      </c>
      <c r="E6" s="2">
        <f>B6+'Week 13'!E6</f>
        <v>83.09999999999998</v>
      </c>
    </row>
    <row r="7" spans="1:6" x14ac:dyDescent="0.3">
      <c r="A7" s="6" t="s">
        <v>30</v>
      </c>
      <c r="B7" s="6">
        <f>0</f>
        <v>0</v>
      </c>
      <c r="C7" s="6">
        <f>B7-'Week 13'!B7</f>
        <v>-5.0999999999999996</v>
      </c>
      <c r="D7" s="6">
        <f>'Week 13'!D7 - B7</f>
        <v>124.99999999999994</v>
      </c>
      <c r="E7" s="6">
        <f>B7+'Week 13'!E7</f>
        <v>54.999999999999993</v>
      </c>
    </row>
    <row r="8" spans="1:6" x14ac:dyDescent="0.3">
      <c r="A8" s="2" t="s">
        <v>31</v>
      </c>
      <c r="B8" s="2">
        <f>0+1</f>
        <v>1</v>
      </c>
      <c r="C8" s="2">
        <f>B8-'Week 13'!B8</f>
        <v>-6.3</v>
      </c>
      <c r="D8" s="2">
        <f>'Week 13'!D8 - B8</f>
        <v>109.09999999999998</v>
      </c>
      <c r="E8" s="2">
        <f>B8+'Week 13'!E8</f>
        <v>70.899999999999991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0+4.8</f>
        <v>4.8</v>
      </c>
      <c r="D12" s="2">
        <f xml:space="preserve"> B12-C12</f>
        <v>-4.8</v>
      </c>
      <c r="E12" s="25">
        <f>B12+ 'Week 13'!E12</f>
        <v>61.79999999999999</v>
      </c>
      <c r="F12" s="2">
        <v>40</v>
      </c>
    </row>
    <row r="13" spans="1:6" x14ac:dyDescent="0.3">
      <c r="A13" s="6" t="s">
        <v>6</v>
      </c>
      <c r="B13" s="6">
        <f>0+1.5</f>
        <v>1.5</v>
      </c>
      <c r="C13" s="6">
        <f>0+3.3</f>
        <v>3.3</v>
      </c>
      <c r="D13" s="6">
        <f xml:space="preserve"> B13-C13</f>
        <v>-1.7999999999999998</v>
      </c>
      <c r="E13" s="6">
        <f>B13+ 'Week 13'!E13</f>
        <v>67.699999999999989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0+4.8</f>
        <v>4.8</v>
      </c>
      <c r="D14" s="2">
        <f xml:space="preserve"> B14-C14</f>
        <v>-4.8</v>
      </c>
      <c r="E14" s="25">
        <f>B14+ 'Week 13'!E14</f>
        <v>57.399999999999991</v>
      </c>
      <c r="F14" s="2">
        <v>45</v>
      </c>
    </row>
    <row r="15" spans="1:6" x14ac:dyDescent="0.3">
      <c r="A15" s="6" t="s">
        <v>22</v>
      </c>
      <c r="B15" s="6">
        <f>0+1</f>
        <v>1</v>
      </c>
      <c r="C15" s="6">
        <f>0</f>
        <v>0</v>
      </c>
      <c r="D15" s="6">
        <f t="shared" ref="D15:D16" si="0" xml:space="preserve"> B15-C15</f>
        <v>1</v>
      </c>
      <c r="E15" s="6">
        <f>B15+ 'Week 13'!E15</f>
        <v>14.06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5E35-4F1C-4290-81CA-CC4C1C790D64}">
  <dimension ref="A1:F16"/>
  <sheetViews>
    <sheetView zoomScale="85" zoomScaleNormal="85" workbookViewId="0">
      <selection activeCell="J35" sqref="J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0+3.5+2.5</f>
        <v>6</v>
      </c>
      <c r="C6" s="2">
        <f>B6-'Week 14'!B6</f>
        <v>4.5</v>
      </c>
      <c r="D6" s="2">
        <f>'Week 14'!D6 - B6</f>
        <v>90.899999999999991</v>
      </c>
      <c r="E6" s="2">
        <f>B6+'Week 14'!E6</f>
        <v>89.09999999999998</v>
      </c>
    </row>
    <row r="7" spans="1:6" x14ac:dyDescent="0.3">
      <c r="A7" s="6" t="s">
        <v>30</v>
      </c>
      <c r="B7" s="6">
        <f>0+3.5+2.5</f>
        <v>6</v>
      </c>
      <c r="C7" s="6">
        <f>B7-'Week 14'!B7</f>
        <v>6</v>
      </c>
      <c r="D7" s="6">
        <f>'Week 14'!D7 - B7</f>
        <v>118.99999999999994</v>
      </c>
      <c r="E7" s="6">
        <f>B7+'Week 14'!E7</f>
        <v>60.999999999999993</v>
      </c>
    </row>
    <row r="8" spans="1:6" x14ac:dyDescent="0.3">
      <c r="A8" s="2" t="s">
        <v>31</v>
      </c>
      <c r="B8" s="2">
        <f>0+3.5+2.5</f>
        <v>6</v>
      </c>
      <c r="C8" s="2">
        <f>B8-'Week 14'!B8</f>
        <v>5</v>
      </c>
      <c r="D8" s="2">
        <f>'Week 14'!D8 - B8</f>
        <v>103.09999999999998</v>
      </c>
      <c r="E8" s="2">
        <f>B8+'Week 14'!E8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0+3.5+2.5</f>
        <v>6</v>
      </c>
      <c r="C12" s="2">
        <f>0</f>
        <v>0</v>
      </c>
      <c r="D12" s="2">
        <f xml:space="preserve"> B12-C12</f>
        <v>6</v>
      </c>
      <c r="E12" s="25">
        <f>B12+ 'Week 14'!E12</f>
        <v>67.799999999999983</v>
      </c>
      <c r="F12" s="2">
        <v>40</v>
      </c>
    </row>
    <row r="13" spans="1:6" x14ac:dyDescent="0.3">
      <c r="A13" s="6" t="s">
        <v>6</v>
      </c>
      <c r="B13" s="6">
        <f>0+3.5+1</f>
        <v>4.5</v>
      </c>
      <c r="C13" s="6">
        <f>0+1.5</f>
        <v>1.5</v>
      </c>
      <c r="D13" s="6">
        <f xml:space="preserve"> B13-C13</f>
        <v>3</v>
      </c>
      <c r="E13" s="6">
        <f>B13+ 'Week 14'!E13</f>
        <v>72.199999999999989</v>
      </c>
      <c r="F13" s="6">
        <v>40</v>
      </c>
    </row>
    <row r="14" spans="1:6" x14ac:dyDescent="0.3">
      <c r="A14" s="2" t="s">
        <v>7</v>
      </c>
      <c r="B14" s="2">
        <f>0+3.5+2.5</f>
        <v>6</v>
      </c>
      <c r="C14" s="2">
        <f>0</f>
        <v>0</v>
      </c>
      <c r="D14" s="2">
        <f xml:space="preserve"> B14-C14</f>
        <v>6</v>
      </c>
      <c r="E14" s="25">
        <f>B14+ 'Week 14'!E14</f>
        <v>63.399999999999991</v>
      </c>
      <c r="F14" s="2">
        <v>60</v>
      </c>
    </row>
    <row r="15" spans="1:6" x14ac:dyDescent="0.3">
      <c r="A15" s="6" t="s">
        <v>22</v>
      </c>
      <c r="B15" s="6">
        <f>0+1.5</f>
        <v>1.5</v>
      </c>
      <c r="C15" s="6">
        <f>0+1</f>
        <v>1</v>
      </c>
      <c r="D15" s="6">
        <f t="shared" ref="D15:D16" si="0" xml:space="preserve"> B15-C15</f>
        <v>0.5</v>
      </c>
      <c r="E15" s="6">
        <f>B15+ 'Week 14'!E15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48CE-4A13-42E3-9AC8-6E1C84D7316F}">
  <dimension ref="A1:F16"/>
  <sheetViews>
    <sheetView zoomScale="85" zoomScaleNormal="85" workbookViewId="0">
      <selection activeCell="H3" sqref="H3:H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0</v>
      </c>
      <c r="C6" s="2">
        <f>B6-'Week 15'!B6</f>
        <v>-6</v>
      </c>
      <c r="D6" s="2">
        <f>'Week 15'!D6 - B6</f>
        <v>90.899999999999991</v>
      </c>
      <c r="E6" s="2">
        <f>B6+'Week 15'!E6</f>
        <v>89.09999999999998</v>
      </c>
    </row>
    <row r="7" spans="1:6" x14ac:dyDescent="0.3">
      <c r="A7" s="6" t="s">
        <v>30</v>
      </c>
      <c r="B7" s="6">
        <v>0</v>
      </c>
      <c r="C7" s="6">
        <f>B7-'Week 15'!B7</f>
        <v>-6</v>
      </c>
      <c r="D7" s="6">
        <f>'Week 15'!D7 - B7</f>
        <v>118.99999999999994</v>
      </c>
      <c r="E7" s="6">
        <f>B7+'Week 15'!E7</f>
        <v>60.999999999999993</v>
      </c>
    </row>
    <row r="8" spans="1:6" x14ac:dyDescent="0.3">
      <c r="A8" s="2" t="s">
        <v>31</v>
      </c>
      <c r="B8" s="2">
        <v>0</v>
      </c>
      <c r="C8" s="2">
        <f>B8-'Week 15'!B8</f>
        <v>-6</v>
      </c>
      <c r="D8" s="2">
        <f>'Week 15'!D8 - B8</f>
        <v>103.09999999999998</v>
      </c>
      <c r="E8" s="2">
        <f>B8+'Week 15'!E8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0+3.5+2.5</f>
        <v>6</v>
      </c>
      <c r="D12" s="2">
        <f xml:space="preserve"> B12-C12</f>
        <v>-6</v>
      </c>
      <c r="E12" s="25">
        <f>B12+ 'Week 15'!E12</f>
        <v>67.799999999999983</v>
      </c>
      <c r="F12" s="2">
        <v>40</v>
      </c>
    </row>
    <row r="13" spans="1:6" x14ac:dyDescent="0.3">
      <c r="A13" s="6" t="s">
        <v>6</v>
      </c>
      <c r="B13" s="6">
        <v>0</v>
      </c>
      <c r="C13" s="6">
        <f>0+3.5+1</f>
        <v>4.5</v>
      </c>
      <c r="D13" s="6">
        <f xml:space="preserve"> B13-C13</f>
        <v>-4.5</v>
      </c>
      <c r="E13" s="6">
        <f>B13+ 'Week 15'!E13</f>
        <v>72.199999999999989</v>
      </c>
      <c r="F13" s="6">
        <v>40</v>
      </c>
    </row>
    <row r="14" spans="1:6" x14ac:dyDescent="0.3">
      <c r="A14" s="2" t="s">
        <v>7</v>
      </c>
      <c r="B14" s="2">
        <v>0</v>
      </c>
      <c r="C14" s="2">
        <f>0+3.5+2.5</f>
        <v>6</v>
      </c>
      <c r="D14" s="2">
        <f xml:space="preserve"> B14-C14</f>
        <v>-6</v>
      </c>
      <c r="E14" s="25">
        <f>B14+ 'Week 15'!E14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f>0+1.5</f>
        <v>1.5</v>
      </c>
      <c r="D15" s="6">
        <f t="shared" ref="D15:D16" si="0" xml:space="preserve"> B15-C15</f>
        <v>-1.5</v>
      </c>
      <c r="E15" s="6">
        <f>B15+ 'Week 15'!E15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28D7-011E-4B1C-B663-A596F4715764}">
  <dimension ref="A1:F16"/>
  <sheetViews>
    <sheetView zoomScale="85" zoomScaleNormal="85" workbookViewId="0">
      <selection activeCell="D1" sqref="D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0+4+3.9+4</f>
        <v>11.9</v>
      </c>
      <c r="C6" s="2">
        <f>B6-'Week 16'!B6</f>
        <v>11.9</v>
      </c>
      <c r="D6" s="2">
        <f>'Week 16'!D6 - B6</f>
        <v>78.999999999999986</v>
      </c>
      <c r="E6" s="2">
        <f>B6+'Week 16'!E6</f>
        <v>100.99999999999999</v>
      </c>
    </row>
    <row r="7" spans="1:6" x14ac:dyDescent="0.3">
      <c r="A7" s="6" t="s">
        <v>30</v>
      </c>
      <c r="B7" s="6">
        <v>0</v>
      </c>
      <c r="C7" s="6">
        <f>B7-'Week 16'!B7</f>
        <v>0</v>
      </c>
      <c r="D7" s="6">
        <f>'Week 16'!D7 - B7</f>
        <v>118.99999999999994</v>
      </c>
      <c r="E7" s="6">
        <f>B7+'Week 16'!E7</f>
        <v>60.999999999999993</v>
      </c>
    </row>
    <row r="8" spans="1:6" x14ac:dyDescent="0.3">
      <c r="A8" s="2" t="s">
        <v>31</v>
      </c>
      <c r="B8" s="2">
        <v>0</v>
      </c>
      <c r="C8" s="2">
        <f>B8-'Week 16'!B8</f>
        <v>0</v>
      </c>
      <c r="D8" s="2">
        <f>'Week 16'!D8 - B8</f>
        <v>103.09999999999998</v>
      </c>
      <c r="E8" s="2">
        <f>B8+'Week 16'!E8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v>0</v>
      </c>
      <c r="D12" s="2">
        <f xml:space="preserve"> B12-C12</f>
        <v>0</v>
      </c>
      <c r="E12" s="25">
        <f>B12+ 'Week 16'!E12</f>
        <v>67.799999999999983</v>
      </c>
      <c r="F12" s="2">
        <v>40</v>
      </c>
    </row>
    <row r="13" spans="1:6" x14ac:dyDescent="0.3">
      <c r="A13" s="6" t="s">
        <v>6</v>
      </c>
      <c r="B13" s="6">
        <f>0+3.9+4+4</f>
        <v>11.9</v>
      </c>
      <c r="C13" s="6">
        <v>0</v>
      </c>
      <c r="D13" s="6">
        <f xml:space="preserve"> B13-C13</f>
        <v>11.9</v>
      </c>
      <c r="E13" s="6">
        <f>B13+ 'Week 16'!E13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16'!E14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16'!E15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AB7D8-596A-4D45-8F66-34D0842CE076}">
  <dimension ref="A1:J26"/>
  <sheetViews>
    <sheetView zoomScaleNormal="100" workbookViewId="0">
      <selection activeCell="A11" sqref="A11"/>
    </sheetView>
  </sheetViews>
  <sheetFormatPr baseColWidth="10" defaultRowHeight="14.4" x14ac:dyDescent="0.3"/>
  <cols>
    <col min="1" max="1" width="12.6640625" customWidth="1"/>
    <col min="2" max="2" width="13.5546875" customWidth="1"/>
    <col min="3" max="3" width="13.6640625" customWidth="1"/>
    <col min="4" max="4" width="13.33203125" customWidth="1"/>
    <col min="5" max="5" width="15.88671875" customWidth="1"/>
    <col min="10" max="10" width="15.6640625" customWidth="1"/>
  </cols>
  <sheetData>
    <row r="1" spans="1:10" x14ac:dyDescent="0.3">
      <c r="A1" s="76" t="s">
        <v>287</v>
      </c>
      <c r="B1" s="76" t="s">
        <v>284</v>
      </c>
      <c r="C1" s="76" t="s">
        <v>285</v>
      </c>
      <c r="D1" s="76" t="s">
        <v>286</v>
      </c>
      <c r="E1" s="76" t="s">
        <v>73</v>
      </c>
      <c r="G1" s="76" t="s">
        <v>290</v>
      </c>
      <c r="H1" s="76" t="s">
        <v>288</v>
      </c>
      <c r="I1" s="76" t="s">
        <v>289</v>
      </c>
      <c r="J1" s="1"/>
    </row>
    <row r="2" spans="1:10" x14ac:dyDescent="0.3">
      <c r="A2" s="78">
        <v>1</v>
      </c>
      <c r="B2" s="2">
        <v>5</v>
      </c>
      <c r="C2" s="2">
        <v>3.8</v>
      </c>
      <c r="D2" s="2">
        <v>3.8</v>
      </c>
      <c r="E2" s="2">
        <f>SUM(B2:D2)</f>
        <v>12.600000000000001</v>
      </c>
      <c r="G2" s="2">
        <f>B2</f>
        <v>5</v>
      </c>
      <c r="H2" s="2">
        <v>3.8</v>
      </c>
      <c r="I2" s="2">
        <v>3.8</v>
      </c>
    </row>
    <row r="3" spans="1:10" x14ac:dyDescent="0.3">
      <c r="A3" s="79">
        <v>2</v>
      </c>
      <c r="B3" s="77">
        <v>5.7</v>
      </c>
      <c r="C3" s="77">
        <v>4.8</v>
      </c>
      <c r="D3" s="77">
        <v>4.8</v>
      </c>
      <c r="E3" s="77">
        <f t="shared" ref="E3:E26" si="0">SUM(B3:D3)</f>
        <v>15.3</v>
      </c>
      <c r="G3" s="2">
        <f>SUM($B$2:B3)</f>
        <v>10.7</v>
      </c>
      <c r="H3" s="2">
        <f>SUM($C$2:C3)</f>
        <v>8.6</v>
      </c>
      <c r="I3" s="2">
        <f>SUM($D$2:D3)</f>
        <v>8.6</v>
      </c>
    </row>
    <row r="4" spans="1:10" x14ac:dyDescent="0.3">
      <c r="A4" s="78">
        <v>3</v>
      </c>
      <c r="B4" s="2">
        <v>9.6</v>
      </c>
      <c r="C4" s="2">
        <v>10</v>
      </c>
      <c r="D4" s="2">
        <v>7.7</v>
      </c>
      <c r="E4" s="2">
        <f t="shared" si="0"/>
        <v>27.3</v>
      </c>
      <c r="G4" s="2">
        <f>SUM($B$2:B4)</f>
        <v>20.299999999999997</v>
      </c>
      <c r="H4" s="2">
        <f>SUM($C$2:C4)</f>
        <v>18.600000000000001</v>
      </c>
      <c r="I4" s="2">
        <f>SUM($D$2:D4)</f>
        <v>16.3</v>
      </c>
    </row>
    <row r="5" spans="1:10" x14ac:dyDescent="0.3">
      <c r="A5" s="79">
        <v>4</v>
      </c>
      <c r="B5" s="77">
        <v>7.8</v>
      </c>
      <c r="C5" s="77">
        <v>7.6</v>
      </c>
      <c r="D5" s="77">
        <v>7.6</v>
      </c>
      <c r="E5" s="77">
        <f t="shared" si="0"/>
        <v>23</v>
      </c>
      <c r="G5" s="2">
        <f>SUM($B$2:B5)</f>
        <v>28.099999999999998</v>
      </c>
      <c r="H5" s="2">
        <f>SUM($C$2:C5)</f>
        <v>26.200000000000003</v>
      </c>
      <c r="I5" s="2">
        <f>SUM($D$2:D5)</f>
        <v>23.9</v>
      </c>
    </row>
    <row r="6" spans="1:10" x14ac:dyDescent="0.3">
      <c r="A6" s="78">
        <v>5</v>
      </c>
      <c r="B6" s="2">
        <v>9.5</v>
      </c>
      <c r="C6" s="2">
        <v>0</v>
      </c>
      <c r="D6" s="2">
        <v>8.5</v>
      </c>
      <c r="E6" s="2">
        <f t="shared" si="0"/>
        <v>18</v>
      </c>
      <c r="G6" s="2">
        <f>SUM($B$2:B6)</f>
        <v>37.599999999999994</v>
      </c>
      <c r="H6" s="2">
        <f>SUM($C$2:C6)</f>
        <v>26.200000000000003</v>
      </c>
      <c r="I6" s="2">
        <f>SUM($D$2:D6)</f>
        <v>32.4</v>
      </c>
    </row>
    <row r="7" spans="1:10" x14ac:dyDescent="0.3">
      <c r="A7" s="79">
        <v>6</v>
      </c>
      <c r="B7" s="77">
        <v>5.3</v>
      </c>
      <c r="C7" s="77">
        <v>5.8</v>
      </c>
      <c r="D7" s="77">
        <v>3.8</v>
      </c>
      <c r="E7" s="77">
        <f t="shared" si="0"/>
        <v>14.899999999999999</v>
      </c>
      <c r="G7" s="2">
        <f>SUM($B$2:B7)</f>
        <v>42.899999999999991</v>
      </c>
      <c r="H7" s="2">
        <f>SUM($C$2:C7)</f>
        <v>32</v>
      </c>
      <c r="I7" s="2">
        <f>SUM($D$2:D7)</f>
        <v>36.199999999999996</v>
      </c>
    </row>
    <row r="8" spans="1:10" x14ac:dyDescent="0.3">
      <c r="A8" s="78">
        <v>7</v>
      </c>
      <c r="B8" s="2">
        <v>3.8</v>
      </c>
      <c r="C8" s="2">
        <v>3.8</v>
      </c>
      <c r="D8" s="2">
        <v>3.8</v>
      </c>
      <c r="E8" s="2">
        <f t="shared" si="0"/>
        <v>11.399999999999999</v>
      </c>
      <c r="G8" s="2">
        <f>SUM($B$2:B8)</f>
        <v>46.699999999999989</v>
      </c>
      <c r="H8" s="2">
        <f>SUM($C$2:C8)</f>
        <v>35.799999999999997</v>
      </c>
      <c r="I8" s="2">
        <f>SUM($D$2:D8)</f>
        <v>39.999999999999993</v>
      </c>
    </row>
    <row r="9" spans="1:10" x14ac:dyDescent="0.3">
      <c r="A9" s="79">
        <v>8</v>
      </c>
      <c r="B9" s="77">
        <v>7</v>
      </c>
      <c r="C9" s="77">
        <v>0</v>
      </c>
      <c r="D9" s="77">
        <v>2</v>
      </c>
      <c r="E9" s="77">
        <f t="shared" si="0"/>
        <v>9</v>
      </c>
      <c r="G9" s="2">
        <f>SUM($B$2:B9)</f>
        <v>53.699999999999989</v>
      </c>
      <c r="H9" s="2">
        <f>SUM($C$2:C9)</f>
        <v>35.799999999999997</v>
      </c>
      <c r="I9" s="2">
        <f>SUM($D$2:D9)</f>
        <v>41.999999999999993</v>
      </c>
    </row>
    <row r="10" spans="1:10" x14ac:dyDescent="0.3">
      <c r="A10" s="78">
        <v>9</v>
      </c>
      <c r="B10" s="2">
        <v>3.5</v>
      </c>
      <c r="C10" s="2">
        <v>0</v>
      </c>
      <c r="D10" s="2">
        <v>0</v>
      </c>
      <c r="E10" s="2">
        <f t="shared" si="0"/>
        <v>3.5</v>
      </c>
      <c r="G10" s="2">
        <f>SUM($B$2:B10)</f>
        <v>57.199999999999989</v>
      </c>
      <c r="H10" s="2">
        <f>SUM($C$2:C10)</f>
        <v>35.799999999999997</v>
      </c>
      <c r="I10" s="2">
        <f>SUM($D$2:D10)</f>
        <v>41.999999999999993</v>
      </c>
    </row>
    <row r="11" spans="1:10" x14ac:dyDescent="0.3">
      <c r="A11" s="79">
        <v>10</v>
      </c>
      <c r="B11" s="77">
        <v>13</v>
      </c>
      <c r="C11" s="77">
        <v>6.3</v>
      </c>
      <c r="D11" s="77">
        <v>10.8</v>
      </c>
      <c r="E11" s="77">
        <f t="shared" si="0"/>
        <v>30.1</v>
      </c>
      <c r="G11" s="2">
        <f>SUM($B$2:B11)</f>
        <v>70.199999999999989</v>
      </c>
      <c r="H11" s="2">
        <f>SUM($C$2:C11)</f>
        <v>42.099999999999994</v>
      </c>
      <c r="I11" s="2">
        <f>SUM($D$2:D11)</f>
        <v>52.8</v>
      </c>
    </row>
    <row r="12" spans="1:10" x14ac:dyDescent="0.3">
      <c r="A12" s="78">
        <v>11</v>
      </c>
      <c r="B12" s="2">
        <v>3</v>
      </c>
      <c r="C12" s="2">
        <v>3</v>
      </c>
      <c r="D12" s="2">
        <v>5</v>
      </c>
      <c r="E12" s="2">
        <f t="shared" si="0"/>
        <v>11</v>
      </c>
      <c r="G12" s="2">
        <f>SUM($B$2:B12)</f>
        <v>73.199999999999989</v>
      </c>
      <c r="H12" s="2">
        <f>SUM($C$2:C12)</f>
        <v>45.099999999999994</v>
      </c>
      <c r="I12" s="2">
        <f>SUM($D$2:D12)</f>
        <v>57.8</v>
      </c>
    </row>
    <row r="13" spans="1:10" x14ac:dyDescent="0.3">
      <c r="A13" s="79">
        <v>12</v>
      </c>
      <c r="B13" s="77">
        <v>3.3</v>
      </c>
      <c r="C13" s="77">
        <v>4.8</v>
      </c>
      <c r="D13" s="77">
        <v>4.8</v>
      </c>
      <c r="E13" s="77">
        <f t="shared" si="0"/>
        <v>12.899999999999999</v>
      </c>
      <c r="G13" s="2">
        <f>SUM($B$2:B13)</f>
        <v>76.499999999999986</v>
      </c>
      <c r="H13" s="2">
        <f>SUM($C$2:C13)</f>
        <v>49.899999999999991</v>
      </c>
      <c r="I13" s="2">
        <f>SUM($D$2:D13)</f>
        <v>62.599999999999994</v>
      </c>
    </row>
    <row r="14" spans="1:10" x14ac:dyDescent="0.3">
      <c r="A14" s="78">
        <v>13</v>
      </c>
      <c r="B14" s="2">
        <v>5.0999999999999996</v>
      </c>
      <c r="C14" s="2">
        <v>5.0999999999999996</v>
      </c>
      <c r="D14" s="2">
        <v>7.3</v>
      </c>
      <c r="E14" s="2">
        <f t="shared" si="0"/>
        <v>17.5</v>
      </c>
      <c r="G14" s="2">
        <f>SUM($B$2:B14)</f>
        <v>81.59999999999998</v>
      </c>
      <c r="H14" s="2">
        <f>SUM($C$2:C14)</f>
        <v>54.999999999999993</v>
      </c>
      <c r="I14" s="2">
        <f>SUM($D$2:D14)</f>
        <v>69.899999999999991</v>
      </c>
    </row>
    <row r="15" spans="1:10" x14ac:dyDescent="0.3">
      <c r="A15" s="79">
        <v>14</v>
      </c>
      <c r="B15" s="77">
        <v>1.5</v>
      </c>
      <c r="C15" s="77">
        <v>0</v>
      </c>
      <c r="D15" s="77">
        <v>1</v>
      </c>
      <c r="E15" s="77">
        <f t="shared" si="0"/>
        <v>2.5</v>
      </c>
      <c r="G15" s="2">
        <f>SUM($B$2:B15)</f>
        <v>83.09999999999998</v>
      </c>
      <c r="H15" s="2">
        <f>SUM($C$2:C15)</f>
        <v>54.999999999999993</v>
      </c>
      <c r="I15" s="2">
        <f>SUM($D$2:D15)</f>
        <v>70.899999999999991</v>
      </c>
    </row>
    <row r="16" spans="1:10" x14ac:dyDescent="0.3">
      <c r="A16" s="78">
        <v>15</v>
      </c>
      <c r="B16" s="2">
        <v>6</v>
      </c>
      <c r="C16" s="2">
        <v>6</v>
      </c>
      <c r="D16" s="2">
        <v>6</v>
      </c>
      <c r="E16" s="2">
        <f t="shared" si="0"/>
        <v>18</v>
      </c>
      <c r="G16" s="2">
        <f>SUM($B$2:B16)</f>
        <v>89.09999999999998</v>
      </c>
      <c r="H16" s="2">
        <f>SUM($C$2:C16)</f>
        <v>60.999999999999993</v>
      </c>
      <c r="I16" s="2">
        <f>SUM($D$2:D16)</f>
        <v>76.899999999999991</v>
      </c>
    </row>
    <row r="17" spans="1:9" x14ac:dyDescent="0.3">
      <c r="A17" s="79">
        <v>16</v>
      </c>
      <c r="B17" s="77">
        <v>0</v>
      </c>
      <c r="C17" s="77">
        <v>0</v>
      </c>
      <c r="D17" s="77">
        <v>0</v>
      </c>
      <c r="E17" s="77">
        <f t="shared" si="0"/>
        <v>0</v>
      </c>
      <c r="G17" s="2">
        <f>SUM($B$2:B17)</f>
        <v>89.09999999999998</v>
      </c>
      <c r="H17" s="2">
        <f>SUM($C$2:C17)</f>
        <v>60.999999999999993</v>
      </c>
      <c r="I17" s="2">
        <f>SUM($D$2:D17)</f>
        <v>76.899999999999991</v>
      </c>
    </row>
    <row r="18" spans="1:9" x14ac:dyDescent="0.3">
      <c r="A18" s="78">
        <v>17</v>
      </c>
      <c r="B18" s="2">
        <v>11.9</v>
      </c>
      <c r="C18" s="2">
        <v>0</v>
      </c>
      <c r="D18" s="2">
        <v>0</v>
      </c>
      <c r="E18" s="2">
        <f t="shared" si="0"/>
        <v>11.9</v>
      </c>
      <c r="G18" s="2">
        <f>SUM($B$2:B18)</f>
        <v>100.99999999999999</v>
      </c>
      <c r="H18" s="2">
        <f>SUM($C$2:C18)</f>
        <v>60.999999999999993</v>
      </c>
      <c r="I18" s="2">
        <f>SUM($D$2:D18)</f>
        <v>76.899999999999991</v>
      </c>
    </row>
    <row r="19" spans="1:9" x14ac:dyDescent="0.3">
      <c r="A19" s="79">
        <v>18</v>
      </c>
      <c r="B19" s="77">
        <v>0</v>
      </c>
      <c r="C19" s="77">
        <v>0</v>
      </c>
      <c r="D19" s="77">
        <v>0</v>
      </c>
      <c r="E19" s="77">
        <f t="shared" si="0"/>
        <v>0</v>
      </c>
      <c r="G19" s="2">
        <f>SUM($B$2:B19)</f>
        <v>100.99999999999999</v>
      </c>
      <c r="H19" s="2">
        <f>SUM($C$2:C19)</f>
        <v>60.999999999999993</v>
      </c>
      <c r="I19" s="2">
        <f>SUM($D$2:D19)</f>
        <v>76.899999999999991</v>
      </c>
    </row>
    <row r="20" spans="1:9" x14ac:dyDescent="0.3">
      <c r="A20" s="78">
        <v>19</v>
      </c>
      <c r="B20" s="2">
        <v>4.9000000000000004</v>
      </c>
      <c r="C20" s="2">
        <v>3.8</v>
      </c>
      <c r="D20" s="2">
        <v>8.1</v>
      </c>
      <c r="E20" s="2">
        <f t="shared" si="0"/>
        <v>16.799999999999997</v>
      </c>
      <c r="G20" s="2">
        <f>SUM($B$2:B20)</f>
        <v>105.89999999999999</v>
      </c>
      <c r="H20" s="2">
        <f>SUM($C$2:C20)</f>
        <v>64.8</v>
      </c>
      <c r="I20" s="2">
        <f>SUM($D$2:D20)</f>
        <v>84.999999999999986</v>
      </c>
    </row>
    <row r="21" spans="1:9" x14ac:dyDescent="0.3">
      <c r="A21" s="79">
        <v>20</v>
      </c>
      <c r="B21" s="77">
        <v>5</v>
      </c>
      <c r="C21" s="77">
        <v>5</v>
      </c>
      <c r="D21" s="77">
        <v>5</v>
      </c>
      <c r="E21" s="77">
        <f t="shared" si="0"/>
        <v>15</v>
      </c>
      <c r="G21" s="2">
        <f>SUM($B$2:B21)</f>
        <v>110.89999999999999</v>
      </c>
      <c r="H21" s="2">
        <f>SUM($C$2:C21)</f>
        <v>69.8</v>
      </c>
      <c r="I21" s="2">
        <f>SUM($D$2:D21)</f>
        <v>89.999999999999986</v>
      </c>
    </row>
    <row r="22" spans="1:9" x14ac:dyDescent="0.3">
      <c r="A22" s="78">
        <v>21</v>
      </c>
      <c r="B22" s="2">
        <v>6.6</v>
      </c>
      <c r="C22" s="2">
        <v>3.8</v>
      </c>
      <c r="D22" s="2">
        <v>9.1</v>
      </c>
      <c r="E22" s="2">
        <f t="shared" si="0"/>
        <v>19.5</v>
      </c>
      <c r="G22" s="2">
        <f>SUM($B$2:B22)</f>
        <v>117.49999999999999</v>
      </c>
      <c r="H22" s="2">
        <f>SUM($C$2:C22)</f>
        <v>73.599999999999994</v>
      </c>
      <c r="I22" s="2">
        <f>SUM($D$2:D22)</f>
        <v>99.09999999999998</v>
      </c>
    </row>
    <row r="23" spans="1:9" x14ac:dyDescent="0.3">
      <c r="A23" s="79">
        <v>22</v>
      </c>
      <c r="B23" s="77">
        <v>2.9</v>
      </c>
      <c r="C23" s="77">
        <v>5.6</v>
      </c>
      <c r="D23" s="77">
        <v>6.7</v>
      </c>
      <c r="E23" s="77">
        <f t="shared" si="0"/>
        <v>15.2</v>
      </c>
      <c r="F23" t="s">
        <v>295</v>
      </c>
      <c r="G23" s="2">
        <f>SUM($B$2:B23)</f>
        <v>120.39999999999999</v>
      </c>
      <c r="H23" s="2">
        <f>SUM($C$2:C23)</f>
        <v>79.199999999999989</v>
      </c>
      <c r="I23" s="2">
        <f>SUM($D$2:D23)</f>
        <v>105.79999999999998</v>
      </c>
    </row>
    <row r="24" spans="1:9" x14ac:dyDescent="0.3">
      <c r="A24" s="78">
        <v>23</v>
      </c>
      <c r="B24" s="2">
        <v>2.5</v>
      </c>
      <c r="C24" s="2">
        <v>0</v>
      </c>
      <c r="D24" s="2">
        <v>0</v>
      </c>
      <c r="E24" s="2">
        <f t="shared" si="0"/>
        <v>2.5</v>
      </c>
      <c r="F24" t="s">
        <v>296</v>
      </c>
      <c r="G24" s="2">
        <f>SUM($B$2:B24)</f>
        <v>122.89999999999999</v>
      </c>
      <c r="H24" s="2">
        <f>SUM($C$2:C24)</f>
        <v>79.199999999999989</v>
      </c>
      <c r="I24" s="2">
        <f>SUM($D$2:D24)</f>
        <v>105.79999999999998</v>
      </c>
    </row>
    <row r="25" spans="1:9" x14ac:dyDescent="0.3">
      <c r="A25" s="79">
        <v>24</v>
      </c>
      <c r="B25" s="77">
        <v>10</v>
      </c>
      <c r="C25" s="77">
        <v>0</v>
      </c>
      <c r="D25" s="77">
        <v>10</v>
      </c>
      <c r="E25" s="77">
        <f t="shared" si="0"/>
        <v>20</v>
      </c>
      <c r="G25" s="2">
        <f>SUM($B$2:B25)</f>
        <v>132.89999999999998</v>
      </c>
      <c r="H25" s="2">
        <f>SUM($C$2:C25)</f>
        <v>79.199999999999989</v>
      </c>
      <c r="I25" s="2">
        <f>SUM($D$2:D25)</f>
        <v>115.79999999999998</v>
      </c>
    </row>
    <row r="26" spans="1:9" x14ac:dyDescent="0.3">
      <c r="A26" s="78">
        <v>25</v>
      </c>
      <c r="B26" s="2">
        <v>22.4</v>
      </c>
      <c r="C26" s="2">
        <v>22.4</v>
      </c>
      <c r="D26" s="2">
        <v>29.4</v>
      </c>
      <c r="E26" s="2">
        <f t="shared" si="0"/>
        <v>74.199999999999989</v>
      </c>
      <c r="G26" s="2">
        <f>SUM($B$2:B26)</f>
        <v>155.29999999999998</v>
      </c>
      <c r="H26" s="2">
        <f>SUM($C$2:C26)</f>
        <v>101.6</v>
      </c>
      <c r="I26" s="2">
        <f>SUM($D$2:D26)</f>
        <v>145.19999999999999</v>
      </c>
    </row>
  </sheetData>
  <pageMargins left="0.7" right="0.7" top="0.78740157499999996" bottom="0.78740157499999996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2CB6-EF61-41B0-AA65-8E7CA48A1767}">
  <dimension ref="A1:F16"/>
  <sheetViews>
    <sheetView zoomScale="85" zoomScaleNormal="85" workbookViewId="0">
      <selection activeCell="N35" sqref="N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</f>
        <v>0</v>
      </c>
      <c r="C6" s="2">
        <f>B6-'Week 17'!B6</f>
        <v>-11.9</v>
      </c>
      <c r="D6" s="2">
        <f>'Week 17'!D6 - B6</f>
        <v>78.999999999999986</v>
      </c>
      <c r="E6" s="2">
        <f>B6+'Week 17'!E6</f>
        <v>100.99999999999999</v>
      </c>
    </row>
    <row r="7" spans="1:6" x14ac:dyDescent="0.3">
      <c r="A7" s="6" t="s">
        <v>30</v>
      </c>
      <c r="B7" s="6">
        <v>0</v>
      </c>
      <c r="C7" s="6">
        <f>B7-'Week 17'!B7</f>
        <v>0</v>
      </c>
      <c r="D7" s="6">
        <f>'Week 17'!D7 - B7</f>
        <v>118.99999999999994</v>
      </c>
      <c r="E7" s="6">
        <f>B7+'Week 17'!E7</f>
        <v>60.999999999999993</v>
      </c>
    </row>
    <row r="8" spans="1:6" x14ac:dyDescent="0.3">
      <c r="A8" s="2" t="s">
        <v>31</v>
      </c>
      <c r="B8" s="2">
        <v>0</v>
      </c>
      <c r="C8" s="2">
        <f>B8-'Week 17'!B8</f>
        <v>0</v>
      </c>
      <c r="D8" s="2">
        <f>'Week 17'!D8 - B8</f>
        <v>103.09999999999998</v>
      </c>
      <c r="E8" s="2">
        <f>B8+'Week 17'!E8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17'!E12</f>
        <v>67.799999999999983</v>
      </c>
      <c r="F12" s="2">
        <v>40</v>
      </c>
    </row>
    <row r="13" spans="1:6" x14ac:dyDescent="0.3">
      <c r="A13" s="6" t="s">
        <v>6</v>
      </c>
      <c r="B13" s="6">
        <f>0</f>
        <v>0</v>
      </c>
      <c r="C13" s="6">
        <f>0+3.9+4+4</f>
        <v>11.9</v>
      </c>
      <c r="D13" s="6">
        <f xml:space="preserve"> B13-C13</f>
        <v>-11.9</v>
      </c>
      <c r="E13" s="6">
        <f>B13+ 'Week 17'!E13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17'!E14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17'!E15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F6F2-0D43-409B-993F-FC9FF2AAFE64}">
  <dimension ref="A1:F16"/>
  <sheetViews>
    <sheetView zoomScale="85" zoomScaleNormal="85" workbookViewId="0">
      <selection activeCell="H3" sqref="H3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0+4.9</f>
        <v>4.9000000000000004</v>
      </c>
      <c r="C6" s="2">
        <f>B6-'Week 18'!B6</f>
        <v>4.9000000000000004</v>
      </c>
      <c r="D6" s="2">
        <f>'Week 18'!D6 - B6</f>
        <v>74.09999999999998</v>
      </c>
      <c r="E6" s="2">
        <f>B6+'Week 18'!E6</f>
        <v>105.89999999999999</v>
      </c>
    </row>
    <row r="7" spans="1:6" x14ac:dyDescent="0.3">
      <c r="A7" s="6" t="s">
        <v>30</v>
      </c>
      <c r="B7" s="6">
        <f>0+3.8</f>
        <v>3.8</v>
      </c>
      <c r="C7" s="6">
        <f>B7-'Week 18'!B7</f>
        <v>3.8</v>
      </c>
      <c r="D7" s="6">
        <f>'Week 18'!D7 - B7</f>
        <v>115.19999999999995</v>
      </c>
      <c r="E7" s="6">
        <f>B7+'Week 18'!E7</f>
        <v>64.8</v>
      </c>
    </row>
    <row r="8" spans="1:6" x14ac:dyDescent="0.3">
      <c r="A8" s="2" t="s">
        <v>31</v>
      </c>
      <c r="B8" s="2">
        <f>0+8.1</f>
        <v>8.1</v>
      </c>
      <c r="C8" s="2">
        <f>B8-'Week 18'!B8</f>
        <v>8.1</v>
      </c>
      <c r="D8" s="2">
        <f>'Week 18'!D8 - B8</f>
        <v>94.999999999999986</v>
      </c>
      <c r="E8" s="2">
        <f>B8+'Week 18'!E8</f>
        <v>84.999999999999986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</f>
        <v>0</v>
      </c>
      <c r="D12" s="2">
        <f xml:space="preserve"> B12-C12</f>
        <v>3.8</v>
      </c>
      <c r="E12" s="25">
        <f>B12+ 'Week 18'!E12</f>
        <v>71.59999999999998</v>
      </c>
      <c r="F12" s="2">
        <v>40</v>
      </c>
    </row>
    <row r="13" spans="1:6" x14ac:dyDescent="0.3">
      <c r="A13" s="6" t="s">
        <v>6</v>
      </c>
      <c r="B13" s="6">
        <f>0+3.8</f>
        <v>3.8</v>
      </c>
      <c r="C13" s="6">
        <f>0</f>
        <v>0</v>
      </c>
      <c r="D13" s="6">
        <f xml:space="preserve"> B13-C13</f>
        <v>3.8</v>
      </c>
      <c r="E13" s="6">
        <f>B13+ 'Week 18'!E13</f>
        <v>87.899999999999991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18'!E14</f>
        <v>63.399999999999991</v>
      </c>
      <c r="F14" s="2">
        <v>60</v>
      </c>
    </row>
    <row r="15" spans="1:6" x14ac:dyDescent="0.3">
      <c r="A15" s="6" t="s">
        <v>22</v>
      </c>
      <c r="B15" s="6">
        <f>0+2.1</f>
        <v>2.1</v>
      </c>
      <c r="C15" s="6">
        <v>0</v>
      </c>
      <c r="D15" s="6">
        <f t="shared" ref="D15:D16" si="0" xml:space="preserve"> B15-C15</f>
        <v>2.1</v>
      </c>
      <c r="E15" s="6">
        <f>B15+ 'Week 18'!E15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4D60-EA23-4995-A5DD-F7D20ACF1AFD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0+5</f>
        <v>5</v>
      </c>
      <c r="C6" s="2">
        <f>B6-'Week 19'!B6</f>
        <v>9.9999999999999645E-2</v>
      </c>
      <c r="D6" s="2">
        <f>'Week 19'!D6 - B6</f>
        <v>69.09999999999998</v>
      </c>
      <c r="E6" s="2">
        <f>B6+'Week 19'!E6</f>
        <v>110.89999999999999</v>
      </c>
    </row>
    <row r="7" spans="1:6" x14ac:dyDescent="0.3">
      <c r="A7" s="6" t="s">
        <v>30</v>
      </c>
      <c r="B7" s="6">
        <f>0+5</f>
        <v>5</v>
      </c>
      <c r="C7" s="6">
        <f>B7-'Week 19'!B7</f>
        <v>1.2000000000000002</v>
      </c>
      <c r="D7" s="6">
        <f>'Week 19'!D7 - B7</f>
        <v>110.19999999999995</v>
      </c>
      <c r="E7" s="6">
        <f>B7+'Week 19'!E7</f>
        <v>69.8</v>
      </c>
    </row>
    <row r="8" spans="1:6" x14ac:dyDescent="0.3">
      <c r="A8" s="2" t="s">
        <v>31</v>
      </c>
      <c r="B8" s="2">
        <f>0+5</f>
        <v>5</v>
      </c>
      <c r="C8" s="2">
        <f>B8-'Week 19'!B8</f>
        <v>-3.0999999999999996</v>
      </c>
      <c r="D8" s="2">
        <f>'Week 19'!D8 - B8</f>
        <v>89.999999999999986</v>
      </c>
      <c r="E8" s="2">
        <f>B8+'Week 19'!E8</f>
        <v>89.999999999999986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0+5</f>
        <v>5</v>
      </c>
      <c r="C12" s="2">
        <f>0</f>
        <v>0</v>
      </c>
      <c r="D12" s="2">
        <f xml:space="preserve"> B12-C12</f>
        <v>5</v>
      </c>
      <c r="E12" s="25">
        <f>B12+ 'Week 19'!E12</f>
        <v>76.59999999999998</v>
      </c>
      <c r="F12" s="2">
        <v>40</v>
      </c>
    </row>
    <row r="13" spans="1:6" x14ac:dyDescent="0.3">
      <c r="A13" s="6" t="s">
        <v>6</v>
      </c>
      <c r="B13" s="6">
        <f>0+5</f>
        <v>5</v>
      </c>
      <c r="C13" s="6">
        <f>0</f>
        <v>0</v>
      </c>
      <c r="D13" s="6">
        <f xml:space="preserve"> B13-C13</f>
        <v>5</v>
      </c>
      <c r="E13" s="6">
        <f>B13+ 'Week 19'!E13</f>
        <v>92.899999999999991</v>
      </c>
      <c r="F13" s="6">
        <v>60</v>
      </c>
    </row>
    <row r="14" spans="1:6" x14ac:dyDescent="0.3">
      <c r="A14" s="2" t="s">
        <v>7</v>
      </c>
      <c r="B14" s="2">
        <f>0+5</f>
        <v>5</v>
      </c>
      <c r="C14" s="2">
        <v>0</v>
      </c>
      <c r="D14" s="2">
        <f xml:space="preserve"> B14-C14</f>
        <v>5</v>
      </c>
      <c r="E14" s="25">
        <f>B14+ 'Week 19'!E14</f>
        <v>68.399999999999991</v>
      </c>
      <c r="F14" s="2">
        <v>60</v>
      </c>
    </row>
    <row r="15" spans="1:6" x14ac:dyDescent="0.3">
      <c r="A15" s="6" t="s">
        <v>22</v>
      </c>
      <c r="B15" s="6">
        <f>0</f>
        <v>0</v>
      </c>
      <c r="C15" s="6">
        <v>0</v>
      </c>
      <c r="D15" s="6">
        <f t="shared" ref="D15:D16" si="0" xml:space="preserve"> B15-C15</f>
        <v>0</v>
      </c>
      <c r="E15" s="6">
        <f>B15+ 'Week 19'!E15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F75F-E3A7-4440-A0C9-47438D798048}">
  <dimension ref="A1:F16"/>
  <sheetViews>
    <sheetView zoomScale="85" zoomScaleNormal="85" workbookViewId="0">
      <selection activeCell="I35" sqref="I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233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0+6.6</f>
        <v>6.6</v>
      </c>
      <c r="C6" s="2">
        <f>B6-'Week 20'!B6</f>
        <v>1.5999999999999996</v>
      </c>
      <c r="D6" s="2">
        <f>'Week 20'!D6 - B6</f>
        <v>62.499999999999979</v>
      </c>
      <c r="E6" s="2">
        <f>B6+'Week 20'!E6</f>
        <v>117.49999999999999</v>
      </c>
    </row>
    <row r="7" spans="1:6" x14ac:dyDescent="0.3">
      <c r="A7" s="6" t="s">
        <v>30</v>
      </c>
      <c r="B7" s="6">
        <f>0+3.8</f>
        <v>3.8</v>
      </c>
      <c r="C7" s="6">
        <f>B7-'Week 20'!B7</f>
        <v>-1.2000000000000002</v>
      </c>
      <c r="D7" s="6">
        <f>'Week 20'!D7 - B7</f>
        <v>106.39999999999995</v>
      </c>
      <c r="E7" s="6">
        <f>B7+'Week 20'!E7</f>
        <v>73.599999999999994</v>
      </c>
    </row>
    <row r="8" spans="1:6" x14ac:dyDescent="0.3">
      <c r="A8" s="2" t="s">
        <v>31</v>
      </c>
      <c r="B8" s="2">
        <f>0+6.6+2.5</f>
        <v>9.1</v>
      </c>
      <c r="C8" s="2">
        <f>B8-'Week 20'!B8</f>
        <v>4.0999999999999996</v>
      </c>
      <c r="D8" s="2">
        <f>'Week 20'!D8 - B8</f>
        <v>80.899999999999991</v>
      </c>
      <c r="E8" s="2">
        <f>B8+'Week 20'!E8</f>
        <v>99.09999999999998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0+5</f>
        <v>5</v>
      </c>
      <c r="D12" s="2">
        <f xml:space="preserve"> B12-C12</f>
        <v>-1.2000000000000002</v>
      </c>
      <c r="E12" s="25">
        <f>B12+ 'Week 20'!E12</f>
        <v>80.399999999999977</v>
      </c>
      <c r="F12" s="2">
        <v>40</v>
      </c>
    </row>
    <row r="13" spans="1:6" x14ac:dyDescent="0.3">
      <c r="A13" s="6" t="s">
        <v>6</v>
      </c>
      <c r="B13" s="6">
        <f>0+6.6</f>
        <v>6.6</v>
      </c>
      <c r="C13" s="6">
        <f>0+5</f>
        <v>5</v>
      </c>
      <c r="D13" s="6">
        <f xml:space="preserve"> B13-C13</f>
        <v>1.5999999999999996</v>
      </c>
      <c r="E13" s="6">
        <f>B13+ 'Week 20'!E13</f>
        <v>99.499999999999986</v>
      </c>
      <c r="F13" s="6">
        <v>70</v>
      </c>
    </row>
    <row r="14" spans="1:6" x14ac:dyDescent="0.3">
      <c r="A14" s="2" t="s">
        <v>7</v>
      </c>
      <c r="B14" s="2">
        <f>0+6.6+2.5</f>
        <v>9.1</v>
      </c>
      <c r="C14" s="2">
        <f>0+5</f>
        <v>5</v>
      </c>
      <c r="D14" s="2">
        <f xml:space="preserve"> B14-C14</f>
        <v>4.0999999999999996</v>
      </c>
      <c r="E14" s="25">
        <f>B14+ 'Week 20'!E14</f>
        <v>77.499999999999986</v>
      </c>
      <c r="F14" s="2">
        <v>70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20'!E15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BF5E5-1D16-4A3D-9503-6E5DDDDB9E94}">
  <dimension ref="A1:F16"/>
  <sheetViews>
    <sheetView zoomScale="85" zoomScaleNormal="85" workbookViewId="0">
      <selection activeCell="F13" sqref="F13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0+1.9+1</f>
        <v>2.9</v>
      </c>
      <c r="C6" s="2">
        <f>B6-'Week 21'!B6</f>
        <v>-3.6999999999999997</v>
      </c>
      <c r="D6" s="2">
        <f>'Week 21'!D6 - B6</f>
        <v>59.59999999999998</v>
      </c>
      <c r="E6" s="2">
        <f>B6+'Week 21'!E6</f>
        <v>120.39999999999999</v>
      </c>
    </row>
    <row r="7" spans="1:6" x14ac:dyDescent="0.3">
      <c r="A7" s="6" t="s">
        <v>30</v>
      </c>
      <c r="B7" s="6">
        <f>0+3.8+1.9</f>
        <v>5.6999999999999993</v>
      </c>
      <c r="C7" s="6">
        <f>B7-'Week 21'!B7</f>
        <v>1.8999999999999995</v>
      </c>
      <c r="D7" s="6">
        <f>'Week 21'!D7 - B7</f>
        <v>100.69999999999995</v>
      </c>
      <c r="E7" s="6">
        <f>B7+'Week 21'!E7</f>
        <v>79.3</v>
      </c>
    </row>
    <row r="8" spans="1:6" x14ac:dyDescent="0.3">
      <c r="A8" s="2" t="s">
        <v>31</v>
      </c>
      <c r="B8" s="2">
        <f>0+3.8+1.9+1</f>
        <v>6.6999999999999993</v>
      </c>
      <c r="C8" s="2">
        <f>B8-'Week 21'!B8</f>
        <v>-2.4000000000000004</v>
      </c>
      <c r="D8" s="2">
        <f>'Week 21'!D8 - B8</f>
        <v>74.199999999999989</v>
      </c>
      <c r="E8" s="2">
        <f>B8+'Week 21'!E8</f>
        <v>105.79999999999998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2+2+1.9</f>
        <v>5.9</v>
      </c>
      <c r="C12" s="2">
        <f>0+3.8</f>
        <v>3.8</v>
      </c>
      <c r="D12" s="2">
        <f xml:space="preserve"> B12-C12</f>
        <v>2.1000000000000005</v>
      </c>
      <c r="E12" s="25">
        <f>B12+ 'Week 21'!E12</f>
        <v>86.299999999999983</v>
      </c>
      <c r="F12" s="2">
        <v>40</v>
      </c>
    </row>
    <row r="13" spans="1:6" x14ac:dyDescent="0.3">
      <c r="A13" s="6" t="s">
        <v>6</v>
      </c>
      <c r="B13" s="6">
        <f>0+1.9</f>
        <v>1.9</v>
      </c>
      <c r="C13" s="6">
        <f>0+6.6</f>
        <v>6.6</v>
      </c>
      <c r="D13" s="6">
        <f xml:space="preserve"> B13-C13</f>
        <v>-4.6999999999999993</v>
      </c>
      <c r="E13" s="6">
        <f>B13+ 'Week 21'!E13</f>
        <v>101.39999999999999</v>
      </c>
      <c r="F13" s="6">
        <v>70</v>
      </c>
    </row>
    <row r="14" spans="1:6" x14ac:dyDescent="0.3">
      <c r="A14" s="2" t="s">
        <v>7</v>
      </c>
      <c r="B14" s="2">
        <f>0+3.8+1.9+1</f>
        <v>6.6999999999999993</v>
      </c>
      <c r="C14" s="2">
        <f>0+6.6</f>
        <v>6.6</v>
      </c>
      <c r="D14" s="2">
        <f xml:space="preserve"> B14-C14</f>
        <v>9.9999999999999645E-2</v>
      </c>
      <c r="E14" s="25">
        <f>B14+ 'Week 21'!E14</f>
        <v>84.199999999999989</v>
      </c>
      <c r="F14" s="2">
        <v>75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21'!E15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C00B4-DE33-4FEF-9F81-7346378EFBCB}">
  <dimension ref="A1:F16"/>
  <sheetViews>
    <sheetView zoomScale="85" zoomScaleNormal="85" workbookViewId="0">
      <selection activeCell="L18" sqref="L1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255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0+1+1.5</f>
        <v>2.5</v>
      </c>
      <c r="C6" s="2">
        <f>B6-'Week 22'!B6</f>
        <v>-0.39999999999999991</v>
      </c>
      <c r="D6" s="2">
        <f>'Week 22'!D6 - B6</f>
        <v>57.09999999999998</v>
      </c>
      <c r="E6" s="2">
        <f>B6+'Week 22'!E6</f>
        <v>122.89999999999999</v>
      </c>
    </row>
    <row r="7" spans="1:6" x14ac:dyDescent="0.3">
      <c r="A7" s="6" t="s">
        <v>30</v>
      </c>
      <c r="B7" s="6">
        <f>0</f>
        <v>0</v>
      </c>
      <c r="C7" s="6">
        <f>B7-'Week 22'!B7</f>
        <v>-5.6999999999999993</v>
      </c>
      <c r="D7" s="6">
        <f>'Week 22'!D7 - B7</f>
        <v>100.69999999999995</v>
      </c>
      <c r="E7" s="6">
        <f>B7+'Week 22'!E7</f>
        <v>79.3</v>
      </c>
    </row>
    <row r="8" spans="1:6" x14ac:dyDescent="0.3">
      <c r="A8" s="2" t="s">
        <v>31</v>
      </c>
      <c r="B8" s="2">
        <f>0</f>
        <v>0</v>
      </c>
      <c r="C8" s="2">
        <f>B8-'Week 22'!B8</f>
        <v>-6.6999999999999993</v>
      </c>
      <c r="D8" s="2">
        <f>'Week 22'!D8 - B8</f>
        <v>74.199999999999989</v>
      </c>
      <c r="E8" s="2">
        <f>B8+'Week 22'!E8</f>
        <v>105.79999999999998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2+2+1.9</f>
        <v>5.9</v>
      </c>
      <c r="D12" s="2">
        <f xml:space="preserve"> B12-C12</f>
        <v>-5.9</v>
      </c>
      <c r="E12" s="25">
        <f>B12+ 'Week 22'!E12</f>
        <v>86.299999999999983</v>
      </c>
      <c r="F12" s="2">
        <v>40</v>
      </c>
    </row>
    <row r="13" spans="1:6" x14ac:dyDescent="0.3">
      <c r="A13" s="6" t="s">
        <v>6</v>
      </c>
      <c r="B13" s="6">
        <f>0+2.5</f>
        <v>2.5</v>
      </c>
      <c r="C13" s="6">
        <f>0+1.9</f>
        <v>1.9</v>
      </c>
      <c r="D13" s="6">
        <f xml:space="preserve"> B13-C13</f>
        <v>0.60000000000000009</v>
      </c>
      <c r="E13" s="6">
        <f>B13+ 'Week 22'!E13</f>
        <v>103.89999999999999</v>
      </c>
      <c r="F13" s="6">
        <v>80</v>
      </c>
    </row>
    <row r="14" spans="1:6" x14ac:dyDescent="0.3">
      <c r="A14" s="2" t="s">
        <v>7</v>
      </c>
      <c r="B14" s="2">
        <f>0</f>
        <v>0</v>
      </c>
      <c r="C14" s="2">
        <f>0+3.8+1.9+1</f>
        <v>6.6999999999999993</v>
      </c>
      <c r="D14" s="2">
        <f xml:space="preserve"> B14-C14</f>
        <v>-6.6999999999999993</v>
      </c>
      <c r="E14" s="25">
        <f>B14+ 'Week 22'!E14</f>
        <v>84.199999999999989</v>
      </c>
      <c r="F14" s="2">
        <v>75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22'!E15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82E8D-4466-4668-8872-566972AE8F29}">
  <dimension ref="A1:F16"/>
  <sheetViews>
    <sheetView zoomScale="85" zoomScaleNormal="85" workbookViewId="0">
      <selection activeCell="K10" sqref="K10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263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0+6.2+3.8</f>
        <v>10</v>
      </c>
      <c r="C6" s="2">
        <f>B6-'Week 23'!B6</f>
        <v>7.5</v>
      </c>
      <c r="D6" s="2">
        <f>'Week 23'!D6 - B6</f>
        <v>47.09999999999998</v>
      </c>
      <c r="E6" s="2">
        <f>B6+'Week 23'!E6</f>
        <v>132.89999999999998</v>
      </c>
    </row>
    <row r="7" spans="1:6" x14ac:dyDescent="0.3">
      <c r="A7" s="6" t="s">
        <v>30</v>
      </c>
      <c r="B7" s="6">
        <f>0</f>
        <v>0</v>
      </c>
      <c r="C7" s="6">
        <f>B7-'Week 23'!B7</f>
        <v>0</v>
      </c>
      <c r="D7" s="6">
        <f>'Week 23'!D7 - B7</f>
        <v>100.69999999999995</v>
      </c>
      <c r="E7" s="6">
        <f>B7+'Week 23'!E7</f>
        <v>79.3</v>
      </c>
    </row>
    <row r="8" spans="1:6" x14ac:dyDescent="0.3">
      <c r="A8" s="2" t="s">
        <v>31</v>
      </c>
      <c r="B8" s="2">
        <f>0+6.2+3.8</f>
        <v>10</v>
      </c>
      <c r="C8" s="2">
        <f>B8-'Week 23'!B8</f>
        <v>10</v>
      </c>
      <c r="D8" s="2">
        <f>'Week 23'!D8 - B8</f>
        <v>64.199999999999989</v>
      </c>
      <c r="E8" s="2">
        <f>B8+'Week 23'!E8</f>
        <v>115.79999999999998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23'!E12</f>
        <v>86.299999999999983</v>
      </c>
      <c r="F12" s="2">
        <v>40</v>
      </c>
    </row>
    <row r="13" spans="1:6" x14ac:dyDescent="0.3">
      <c r="A13" s="6" t="s">
        <v>6</v>
      </c>
      <c r="B13" s="6">
        <f>0+6.2+3.8</f>
        <v>10</v>
      </c>
      <c r="C13" s="6">
        <f>0+2.5</f>
        <v>2.5</v>
      </c>
      <c r="D13" s="6">
        <f xml:space="preserve"> B13-C13</f>
        <v>7.5</v>
      </c>
      <c r="E13" s="6">
        <f>B13+ 'Week 23'!E13</f>
        <v>113.89999999999999</v>
      </c>
      <c r="F13" s="6">
        <v>80</v>
      </c>
    </row>
    <row r="14" spans="1:6" x14ac:dyDescent="0.3">
      <c r="A14" s="2" t="s">
        <v>7</v>
      </c>
      <c r="B14" s="2">
        <f>0+6.2+3.8</f>
        <v>10</v>
      </c>
      <c r="C14" s="2">
        <f>0</f>
        <v>0</v>
      </c>
      <c r="D14" s="2">
        <f xml:space="preserve"> B14-C14</f>
        <v>10</v>
      </c>
      <c r="E14" s="25">
        <f>B14+ 'Week 23'!E14</f>
        <v>94.199999999999989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23'!E15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23'!E16</f>
        <v>0</v>
      </c>
      <c r="F16" s="2">
        <v>0</v>
      </c>
    </row>
  </sheetData>
  <pageMargins left="0.7" right="0.7" top="0.78740157499999996" bottom="0.78740157499999996" header="0.3" footer="0.3"/>
  <ignoredErrors>
    <ignoredError sqref="C13" formula="1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0E30-CA5A-477F-92D7-909078E38035}">
  <dimension ref="A1:F16"/>
  <sheetViews>
    <sheetView zoomScale="85" zoomScaleNormal="85" workbookViewId="0">
      <selection activeCell="E6" sqref="E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268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0+8.3+8.3+2+3.8</f>
        <v>22.400000000000002</v>
      </c>
      <c r="C6" s="2">
        <f>B6-'Week 24'!B6</f>
        <v>12.400000000000002</v>
      </c>
      <c r="D6" s="2">
        <f>'Week 24'!D6 - B6</f>
        <v>24.699999999999978</v>
      </c>
      <c r="E6" s="2">
        <f>B6+'Week 24'!E6</f>
        <v>155.29999999999998</v>
      </c>
    </row>
    <row r="7" spans="1:6" x14ac:dyDescent="0.3">
      <c r="A7" s="6" t="s">
        <v>30</v>
      </c>
      <c r="B7" s="6">
        <f>0+8.3+8.3+2+3.8</f>
        <v>22.400000000000002</v>
      </c>
      <c r="C7" s="6">
        <f>B7-'Week 24'!B7</f>
        <v>22.400000000000002</v>
      </c>
      <c r="D7" s="6">
        <f>'Week 24'!D7 - B7</f>
        <v>78.29999999999994</v>
      </c>
      <c r="E7" s="6">
        <f>B7+'Week 24'!E7</f>
        <v>101.7</v>
      </c>
    </row>
    <row r="8" spans="1:6" x14ac:dyDescent="0.3">
      <c r="A8" s="2" t="s">
        <v>31</v>
      </c>
      <c r="B8" s="2">
        <f>0+8.3+8.3+2+3.8+7</f>
        <v>29.400000000000002</v>
      </c>
      <c r="C8" s="2">
        <f>B8-'Week 24'!B8</f>
        <v>19.400000000000002</v>
      </c>
      <c r="D8" s="2">
        <f>'Week 24'!D8 - B8</f>
        <v>34.799999999999983</v>
      </c>
      <c r="E8" s="2">
        <f>B8+'Week 24'!E8</f>
        <v>145.19999999999999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0+8.3+8.3+2+3.8</f>
        <v>22.400000000000002</v>
      </c>
      <c r="C12" s="2">
        <f>0</f>
        <v>0</v>
      </c>
      <c r="D12" s="2">
        <f xml:space="preserve"> B12-C12</f>
        <v>22.400000000000002</v>
      </c>
      <c r="E12" s="25">
        <f>B12+ 'Week 24'!E12</f>
        <v>108.69999999999999</v>
      </c>
      <c r="F12" s="2">
        <v>55</v>
      </c>
    </row>
    <row r="13" spans="1:6" x14ac:dyDescent="0.3">
      <c r="A13" s="6" t="s">
        <v>6</v>
      </c>
      <c r="B13" s="6">
        <f>0+8.3+8.3+2+3.8</f>
        <v>22.400000000000002</v>
      </c>
      <c r="C13" s="6">
        <f>0+6.2+3.8</f>
        <v>10</v>
      </c>
      <c r="D13" s="6">
        <f xml:space="preserve"> B13-C13</f>
        <v>12.400000000000002</v>
      </c>
      <c r="E13" s="6">
        <f>B13+ 'Week 24'!E13</f>
        <v>136.29999999999998</v>
      </c>
      <c r="F13" s="6">
        <v>80</v>
      </c>
    </row>
    <row r="14" spans="1:6" x14ac:dyDescent="0.3">
      <c r="A14" s="2" t="s">
        <v>7</v>
      </c>
      <c r="B14" s="2">
        <f>0+8.3+8.3+2+3.8+7</f>
        <v>29.400000000000002</v>
      </c>
      <c r="C14" s="2">
        <f>0+6.2+3.8</f>
        <v>10</v>
      </c>
      <c r="D14" s="2">
        <f xml:space="preserve"> B14-C14</f>
        <v>19.400000000000002</v>
      </c>
      <c r="E14" s="25">
        <f>B14+ 'Week 24'!E14</f>
        <v>123.6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24'!E15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v>0</v>
      </c>
      <c r="D16" s="2">
        <f t="shared" si="0"/>
        <v>0</v>
      </c>
      <c r="E16" s="25">
        <f>B16+ 'Week 24'!E16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92F0C-E85A-4338-8633-AEDACF4ADE19}">
  <dimension ref="A1:F16"/>
  <sheetViews>
    <sheetView zoomScale="85" zoomScaleNormal="85" workbookViewId="0">
      <selection activeCell="J14" sqref="J1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294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0+2.8+3.8+3.8</f>
        <v>10.399999999999999</v>
      </c>
      <c r="C6" s="2">
        <f>B6-'Week 25'!B6</f>
        <v>-12.000000000000004</v>
      </c>
      <c r="D6" s="2">
        <f>'Week 25'!D6 - B6</f>
        <v>14.299999999999979</v>
      </c>
      <c r="E6" s="2">
        <f>B6+'Week 25'!E6</f>
        <v>165.7</v>
      </c>
    </row>
    <row r="7" spans="1:6" x14ac:dyDescent="0.3">
      <c r="A7" s="6" t="s">
        <v>30</v>
      </c>
      <c r="B7" s="6">
        <f>0+3.8</f>
        <v>3.8</v>
      </c>
      <c r="C7" s="6">
        <f>B7-'Week 25'!B7</f>
        <v>-18.600000000000001</v>
      </c>
      <c r="D7" s="6">
        <f>'Week 25'!D7 - B7</f>
        <v>74.499999999999943</v>
      </c>
      <c r="E7" s="6">
        <f>B7+'Week 25'!E7</f>
        <v>105.5</v>
      </c>
    </row>
    <row r="8" spans="1:6" x14ac:dyDescent="0.3">
      <c r="A8" s="2" t="s">
        <v>31</v>
      </c>
      <c r="B8" s="2">
        <f>0+2.8+3.8+3.8+6</f>
        <v>16.399999999999999</v>
      </c>
      <c r="C8" s="2">
        <f>B8-'Week 25'!B8</f>
        <v>-13.000000000000004</v>
      </c>
      <c r="D8" s="2">
        <f>'Week 25'!D8 - B8</f>
        <v>18.399999999999984</v>
      </c>
      <c r="E8" s="2">
        <f>B8+'Week 25'!E8</f>
        <v>161.6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0+8.3+8.3+2+3.8</f>
        <v>22.400000000000002</v>
      </c>
      <c r="D12" s="2">
        <f xml:space="preserve"> B12-C12</f>
        <v>-18.600000000000001</v>
      </c>
      <c r="E12" s="25">
        <f>B12+ 'Week 25'!E12</f>
        <v>112.49999999999999</v>
      </c>
      <c r="F12" s="2">
        <v>55</v>
      </c>
    </row>
    <row r="13" spans="1:6" x14ac:dyDescent="0.3">
      <c r="A13" s="6" t="s">
        <v>6</v>
      </c>
      <c r="B13" s="6">
        <f>6.6+3.8+3.8</f>
        <v>14.2</v>
      </c>
      <c r="C13" s="6">
        <f>0+8.3+8.3+2+3.8</f>
        <v>22.400000000000002</v>
      </c>
      <c r="D13" s="6">
        <f xml:space="preserve"> B13-C13</f>
        <v>-8.2000000000000028</v>
      </c>
      <c r="E13" s="6">
        <f>B13+ 'Week 25'!E13</f>
        <v>150.49999999999997</v>
      </c>
      <c r="F13" s="6">
        <v>80</v>
      </c>
    </row>
    <row r="14" spans="1:6" x14ac:dyDescent="0.3">
      <c r="A14" s="2" t="s">
        <v>7</v>
      </c>
      <c r="B14" s="2">
        <f>6.6-3.8+3.8+6</f>
        <v>12.6</v>
      </c>
      <c r="C14" s="2">
        <f>0+8.3+8.3+2+3.8+7</f>
        <v>29.400000000000002</v>
      </c>
      <c r="D14" s="2">
        <f xml:space="preserve"> B14-C14</f>
        <v>-16.800000000000004</v>
      </c>
      <c r="E14" s="25">
        <f>B14+ 'Week 25'!E14</f>
        <v>136.19999999999999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25'!E15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v>0</v>
      </c>
      <c r="D16" s="2">
        <f t="shared" si="0"/>
        <v>0</v>
      </c>
      <c r="E16" s="25">
        <f>B16+ 'Week 25'!E16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5BB2F-C8BA-49A9-A20F-D59362B306A2}">
  <dimension ref="A1:F16"/>
  <sheetViews>
    <sheetView zoomScale="85" zoomScaleNormal="85" workbookViewId="0">
      <selection activeCell="I14" sqref="I1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316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0+2.8+4.9+3+3.8</f>
        <v>14.5</v>
      </c>
      <c r="C6" s="2">
        <f>B6-'Week 26'!B6</f>
        <v>4.1000000000000014</v>
      </c>
      <c r="D6" s="2">
        <f>'Week 26'!D6 - B6</f>
        <v>-0.20000000000002061</v>
      </c>
      <c r="E6" s="2">
        <f>B6+'Week 26'!E6</f>
        <v>180.2</v>
      </c>
    </row>
    <row r="7" spans="1:6" x14ac:dyDescent="0.3">
      <c r="A7" s="6" t="s">
        <v>30</v>
      </c>
      <c r="B7" s="6">
        <f>0+3.8</f>
        <v>3.8</v>
      </c>
      <c r="C7" s="6">
        <f>B7-'Week 26'!B7</f>
        <v>0</v>
      </c>
      <c r="D7" s="6">
        <f>'Week 26'!D7 - B7</f>
        <v>70.699999999999946</v>
      </c>
      <c r="E7" s="6">
        <f>B7+'Week 26'!E7</f>
        <v>109.3</v>
      </c>
    </row>
    <row r="8" spans="1:6" x14ac:dyDescent="0.3">
      <c r="A8" s="2" t="s">
        <v>31</v>
      </c>
      <c r="B8" s="2">
        <f>0+2.8+4.9+3+3.8</f>
        <v>14.5</v>
      </c>
      <c r="C8" s="2">
        <f>B8-'Week 26'!B8</f>
        <v>-1.8999999999999986</v>
      </c>
      <c r="D8" s="2">
        <f>'Week 26'!D8 - B8</f>
        <v>3.8999999999999844</v>
      </c>
      <c r="E8" s="2">
        <f>B8+'Week 26'!E8</f>
        <v>176.1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0+3.8</f>
        <v>3.8</v>
      </c>
      <c r="D12" s="2">
        <f xml:space="preserve"> B12-C12</f>
        <v>0</v>
      </c>
      <c r="E12" s="25">
        <f>B12+ 'Week 26'!E12</f>
        <v>116.29999999999998</v>
      </c>
      <c r="F12" s="2">
        <v>55</v>
      </c>
    </row>
    <row r="13" spans="1:6" x14ac:dyDescent="0.3">
      <c r="A13" s="6" t="s">
        <v>6</v>
      </c>
      <c r="B13" s="6">
        <f>0+2.8+4.9+3+3.8</f>
        <v>14.5</v>
      </c>
      <c r="C13" s="6">
        <f>6.6+3.8+3.8</f>
        <v>14.2</v>
      </c>
      <c r="D13" s="6">
        <f xml:space="preserve"> B13-C13</f>
        <v>0.30000000000000071</v>
      </c>
      <c r="E13" s="6">
        <f>B13+ 'Week 26'!E13</f>
        <v>164.99999999999997</v>
      </c>
      <c r="F13" s="6">
        <v>80</v>
      </c>
    </row>
    <row r="14" spans="1:6" x14ac:dyDescent="0.3">
      <c r="A14" s="2" t="s">
        <v>7</v>
      </c>
      <c r="B14" s="2">
        <f>0+2.8+4.9+3+3.8</f>
        <v>14.5</v>
      </c>
      <c r="C14" s="2">
        <f>6.6-3.8+3.8+6</f>
        <v>12.6</v>
      </c>
      <c r="D14" s="2">
        <f xml:space="preserve"> B14-C14</f>
        <v>1.9000000000000004</v>
      </c>
      <c r="E14" s="25">
        <f>B14+ 'Week 26'!E14</f>
        <v>150.69999999999999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26'!E15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f>0</f>
        <v>0</v>
      </c>
      <c r="D16" s="2">
        <f t="shared" si="0"/>
        <v>0</v>
      </c>
      <c r="E16" s="25">
        <f>B16+ 'Week 26'!E16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D3D4-2336-4726-8B1B-62D38CE01E0E}">
  <dimension ref="A1:F16"/>
  <sheetViews>
    <sheetView zoomScale="85" zoomScaleNormal="85" workbookViewId="0">
      <selection activeCell="B6" sqref="B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7.88671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9</v>
      </c>
      <c r="D5" s="4" t="s">
        <v>73</v>
      </c>
    </row>
    <row r="6" spans="1:6" x14ac:dyDescent="0.3">
      <c r="A6" s="2" t="s">
        <v>29</v>
      </c>
      <c r="B6" s="2">
        <v>5</v>
      </c>
      <c r="C6" s="2">
        <f xml:space="preserve"> 180 -B6</f>
        <v>175</v>
      </c>
      <c r="D6" s="2">
        <v>5</v>
      </c>
    </row>
    <row r="7" spans="1:6" x14ac:dyDescent="0.3">
      <c r="A7" s="6" t="s">
        <v>30</v>
      </c>
      <c r="B7" s="6">
        <v>3.8</v>
      </c>
      <c r="C7" s="6">
        <f t="shared" ref="C7:C8" si="0" xml:space="preserve"> 180 -B7</f>
        <v>176.2</v>
      </c>
      <c r="D7" s="6">
        <v>3.8</v>
      </c>
    </row>
    <row r="8" spans="1:6" x14ac:dyDescent="0.3">
      <c r="A8" s="2" t="s">
        <v>31</v>
      </c>
      <c r="B8" s="2">
        <v>3.8</v>
      </c>
      <c r="C8" s="2">
        <f t="shared" si="0"/>
        <v>176.2</v>
      </c>
      <c r="D8" s="2">
        <v>3.8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0</v>
      </c>
      <c r="D12" s="2">
        <f>'Week 1'!B12-'Week 1'!C12</f>
        <v>3.8</v>
      </c>
      <c r="E12" s="2">
        <f>B12</f>
        <v>3.8</v>
      </c>
      <c r="F12" s="2">
        <v>5</v>
      </c>
    </row>
    <row r="13" spans="1:6" x14ac:dyDescent="0.3">
      <c r="A13" s="6" t="s">
        <v>6</v>
      </c>
      <c r="B13" s="6">
        <v>3.8</v>
      </c>
      <c r="C13" s="6">
        <v>0</v>
      </c>
      <c r="D13" s="6">
        <f>'Week 1'!B13-'Week 1'!C13</f>
        <v>3.8</v>
      </c>
      <c r="E13" s="6">
        <f t="shared" ref="E13:E16" si="1">B13</f>
        <v>3.8</v>
      </c>
      <c r="F13" s="6">
        <v>5</v>
      </c>
    </row>
    <row r="14" spans="1:6" x14ac:dyDescent="0.3">
      <c r="A14" s="2" t="s">
        <v>7</v>
      </c>
      <c r="B14" s="2">
        <v>3.8</v>
      </c>
      <c r="C14" s="2">
        <v>0</v>
      </c>
      <c r="D14" s="2">
        <f>'Week 1'!B14-'Week 1'!C14</f>
        <v>3.8</v>
      </c>
      <c r="E14" s="2">
        <f t="shared" si="1"/>
        <v>3.8</v>
      </c>
      <c r="F14" s="2">
        <v>5</v>
      </c>
    </row>
    <row r="15" spans="1:6" x14ac:dyDescent="0.3">
      <c r="A15" s="6" t="s">
        <v>22</v>
      </c>
      <c r="B15" s="6">
        <v>3</v>
      </c>
      <c r="C15" s="6">
        <v>1.1599999999999999</v>
      </c>
      <c r="D15" s="6">
        <f>'Week 1'!B15-'Week 1'!C15</f>
        <v>1.84</v>
      </c>
      <c r="E15" s="6">
        <f t="shared" si="1"/>
        <v>3</v>
      </c>
      <c r="F15" s="6">
        <v>20</v>
      </c>
    </row>
    <row r="16" spans="1:6" x14ac:dyDescent="0.3">
      <c r="A16" s="2" t="s">
        <v>23</v>
      </c>
      <c r="B16" s="2">
        <v>0</v>
      </c>
      <c r="C16" s="2">
        <v>0</v>
      </c>
      <c r="D16" s="2">
        <f>'Week 1'!B16-'Week 1'!C16</f>
        <v>0</v>
      </c>
      <c r="E16" s="2">
        <f t="shared" si="1"/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D1EE1-52CF-4246-9014-B87F8656BA15}">
  <dimension ref="A1:F16"/>
  <sheetViews>
    <sheetView zoomScale="85" zoomScaleNormal="85" workbookViewId="0">
      <selection activeCell="B9" sqref="B9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335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0+1+1.8</f>
        <v>2.8</v>
      </c>
      <c r="C6" s="2">
        <f>B6-'Week 27'!B6</f>
        <v>-11.7</v>
      </c>
      <c r="D6" s="2">
        <f>'Week 27'!D6 - B6</f>
        <v>-3.0000000000000204</v>
      </c>
      <c r="E6" s="2">
        <f>B6+'Week 27'!E6</f>
        <v>183</v>
      </c>
    </row>
    <row r="7" spans="1:6" x14ac:dyDescent="0.3">
      <c r="A7" s="6" t="s">
        <v>30</v>
      </c>
      <c r="B7" s="6">
        <f>0+1</f>
        <v>1</v>
      </c>
      <c r="C7" s="6">
        <f>B7-'Week 27'!B7</f>
        <v>-2.8</v>
      </c>
      <c r="D7" s="6">
        <f>'Week 27'!D7 - B7</f>
        <v>69.699999999999946</v>
      </c>
      <c r="E7" s="6">
        <f>B7+'Week 27'!E7</f>
        <v>110.3</v>
      </c>
    </row>
    <row r="8" spans="1:6" x14ac:dyDescent="0.3">
      <c r="A8" s="2" t="s">
        <v>31</v>
      </c>
      <c r="B8" s="2">
        <f>0+1+1.8</f>
        <v>2.8</v>
      </c>
      <c r="C8" s="2">
        <f>B8-'Week 27'!B8</f>
        <v>-11.7</v>
      </c>
      <c r="D8" s="2">
        <f>'Week 27'!D8 - B8</f>
        <v>1.0999999999999845</v>
      </c>
      <c r="E8" s="2">
        <f>B8+'Week 27'!E8</f>
        <v>178.9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0+1</f>
        <v>1</v>
      </c>
      <c r="C12" s="2">
        <f>0+3.8</f>
        <v>3.8</v>
      </c>
      <c r="D12" s="2">
        <f xml:space="preserve"> B12-C12</f>
        <v>-2.8</v>
      </c>
      <c r="E12" s="25">
        <f>B12+ 'Week 27'!E12</f>
        <v>117.29999999999998</v>
      </c>
      <c r="F12" s="2">
        <v>55</v>
      </c>
    </row>
    <row r="13" spans="1:6" x14ac:dyDescent="0.3">
      <c r="A13" s="6" t="s">
        <v>6</v>
      </c>
      <c r="B13" s="6">
        <f>0</f>
        <v>0</v>
      </c>
      <c r="C13" s="6">
        <f>0+2.8+4.9+3+3.8</f>
        <v>14.5</v>
      </c>
      <c r="D13" s="6">
        <f xml:space="preserve"> B13-C13</f>
        <v>-14.5</v>
      </c>
      <c r="E13" s="6">
        <f>B13+ 'Week 27'!E13</f>
        <v>164.99999999999997</v>
      </c>
      <c r="F13" s="6">
        <v>80</v>
      </c>
    </row>
    <row r="14" spans="1:6" x14ac:dyDescent="0.3">
      <c r="A14" s="2" t="s">
        <v>7</v>
      </c>
      <c r="B14" s="2">
        <f>0+1</f>
        <v>1</v>
      </c>
      <c r="C14" s="2">
        <f>0+2.8+4.9+3+3.8</f>
        <v>14.5</v>
      </c>
      <c r="D14" s="2">
        <f xml:space="preserve"> B14-C14</f>
        <v>-13.5</v>
      </c>
      <c r="E14" s="25">
        <f>B14+ 'Week 27'!E14</f>
        <v>151.69999999999999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27'!E15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f>0</f>
        <v>0</v>
      </c>
      <c r="D16" s="2">
        <f t="shared" si="0"/>
        <v>0</v>
      </c>
      <c r="E16" s="25">
        <f>B16+ 'Week 27'!E16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3811-90A3-45BF-BD7B-2E4E20CCA46C}">
  <dimension ref="A1:F16"/>
  <sheetViews>
    <sheetView zoomScale="85" zoomScaleNormal="85" workbookViewId="0">
      <selection activeCell="E5" sqref="E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5.7</v>
      </c>
      <c r="C6" s="2">
        <f>B6-'Week 1'!B6</f>
        <v>0.70000000000000018</v>
      </c>
      <c r="D6" s="2">
        <f>'Week 1'!C6 - B6</f>
        <v>169.3</v>
      </c>
      <c r="E6" s="2">
        <f>B6+'Week 1'!B6</f>
        <v>10.7</v>
      </c>
    </row>
    <row r="7" spans="1:6" x14ac:dyDescent="0.3">
      <c r="A7" s="6" t="s">
        <v>30</v>
      </c>
      <c r="B7" s="6">
        <v>4.8</v>
      </c>
      <c r="C7" s="6">
        <f>B7-'Week 1'!B7</f>
        <v>1</v>
      </c>
      <c r="D7" s="6">
        <f>'Week 1'!C7 - B7</f>
        <v>171.39999999999998</v>
      </c>
      <c r="E7" s="6">
        <f>B7+'Week 1'!B7</f>
        <v>8.6</v>
      </c>
    </row>
    <row r="8" spans="1:6" x14ac:dyDescent="0.3">
      <c r="A8" s="2" t="s">
        <v>31</v>
      </c>
      <c r="B8" s="2">
        <v>4.8</v>
      </c>
      <c r="C8" s="2">
        <f>B8-'Week 1'!B8</f>
        <v>1</v>
      </c>
      <c r="D8" s="2">
        <f>'Week 1'!C8 - B8</f>
        <v>171.39999999999998</v>
      </c>
      <c r="E8" s="2">
        <f>B8+'Week 1'!B8</f>
        <v>8.6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3.8</v>
      </c>
      <c r="D12" s="2">
        <f xml:space="preserve"> B12-C12</f>
        <v>0</v>
      </c>
      <c r="E12" s="25">
        <f>B12+ 'Week 1'!E12</f>
        <v>7.6</v>
      </c>
      <c r="F12" s="2">
        <v>7</v>
      </c>
    </row>
    <row r="13" spans="1:6" x14ac:dyDescent="0.3">
      <c r="A13" s="6" t="s">
        <v>6</v>
      </c>
      <c r="B13" s="6">
        <v>3.8</v>
      </c>
      <c r="C13" s="6">
        <v>3.8</v>
      </c>
      <c r="D13" s="6">
        <f t="shared" ref="D13:D16" si="0" xml:space="preserve"> B13-C13</f>
        <v>0</v>
      </c>
      <c r="E13" s="6">
        <f>B13+ 'Week 1'!E13</f>
        <v>7.6</v>
      </c>
      <c r="F13" s="6">
        <v>15</v>
      </c>
    </row>
    <row r="14" spans="1:6" x14ac:dyDescent="0.3">
      <c r="A14" s="2" t="s">
        <v>7</v>
      </c>
      <c r="B14" s="2">
        <v>3.8</v>
      </c>
      <c r="C14" s="2">
        <v>3.8</v>
      </c>
      <c r="D14" s="2">
        <f t="shared" si="0"/>
        <v>0</v>
      </c>
      <c r="E14" s="25">
        <f>B14+ 'Week 1'!E14</f>
        <v>7.6</v>
      </c>
      <c r="F14" s="2">
        <v>10</v>
      </c>
    </row>
    <row r="15" spans="1:6" x14ac:dyDescent="0.3">
      <c r="A15" s="6" t="s">
        <v>22</v>
      </c>
      <c r="B15" s="6">
        <v>1.1599999999999999</v>
      </c>
      <c r="C15" s="6">
        <v>3</v>
      </c>
      <c r="D15" s="6">
        <f t="shared" si="0"/>
        <v>-1.84</v>
      </c>
      <c r="E15" s="6">
        <f>B15+ 'Week 1'!E15</f>
        <v>4.16</v>
      </c>
      <c r="F15" s="6">
        <v>40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B17+ 'Week 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3AC-3288-43EE-8245-16F49FCBC82C}">
  <dimension ref="A1:F16"/>
  <sheetViews>
    <sheetView zoomScale="85" zoomScaleNormal="85" workbookViewId="0">
      <selection activeCell="I1" sqref="I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9.6</v>
      </c>
      <c r="C6" s="2">
        <f>B6-'Week 2'!B6</f>
        <v>3.8999999999999995</v>
      </c>
      <c r="D6" s="2">
        <f>'Week 2'!D6 - B6</f>
        <v>159.70000000000002</v>
      </c>
      <c r="E6" s="2">
        <f>B6+'Week 2'!E6</f>
        <v>20.299999999999997</v>
      </c>
    </row>
    <row r="7" spans="1:6" x14ac:dyDescent="0.3">
      <c r="A7" s="6" t="s">
        <v>30</v>
      </c>
      <c r="B7" s="6">
        <v>10</v>
      </c>
      <c r="C7" s="6">
        <f>B7-'Week 2'!B7</f>
        <v>5.2</v>
      </c>
      <c r="D7" s="6">
        <f>'Week 2'!D7 - B7</f>
        <v>161.39999999999998</v>
      </c>
      <c r="E7" s="6">
        <f>B7+'Week 2'!E7</f>
        <v>18.600000000000001</v>
      </c>
    </row>
    <row r="8" spans="1:6" x14ac:dyDescent="0.3">
      <c r="A8" s="2" t="s">
        <v>31</v>
      </c>
      <c r="B8" s="2">
        <v>7.7</v>
      </c>
      <c r="C8" s="2">
        <f>B8-'Week 2'!B8</f>
        <v>2.9000000000000004</v>
      </c>
      <c r="D8" s="2">
        <f>'Week 2'!D8 - B8</f>
        <v>163.69999999999999</v>
      </c>
      <c r="E8" s="2">
        <f>B8+'Week 2'!E8</f>
        <v>16.3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11.1</v>
      </c>
      <c r="C12" s="2">
        <v>3.8</v>
      </c>
      <c r="D12" s="2">
        <f xml:space="preserve"> B12-C12</f>
        <v>7.3</v>
      </c>
      <c r="E12" s="25">
        <f>B12+ 'Week 2'!E12</f>
        <v>18.7</v>
      </c>
      <c r="F12" s="2">
        <v>15</v>
      </c>
    </row>
    <row r="13" spans="1:6" x14ac:dyDescent="0.3">
      <c r="A13" s="6" t="s">
        <v>6</v>
      </c>
      <c r="B13" s="6">
        <v>4.8</v>
      </c>
      <c r="C13" s="6">
        <v>3.8</v>
      </c>
      <c r="D13" s="6">
        <f t="shared" ref="D13:D16" si="0" xml:space="preserve"> B13-C13</f>
        <v>1</v>
      </c>
      <c r="E13" s="6">
        <f>B13+ 'Week 2'!E13</f>
        <v>12.399999999999999</v>
      </c>
      <c r="F13" s="6">
        <v>25</v>
      </c>
    </row>
    <row r="14" spans="1:6" x14ac:dyDescent="0.3">
      <c r="A14" s="2" t="s">
        <v>7</v>
      </c>
      <c r="B14" s="2">
        <v>0</v>
      </c>
      <c r="C14" s="2">
        <v>3.8</v>
      </c>
      <c r="D14" s="2">
        <f t="shared" si="0"/>
        <v>-3.8</v>
      </c>
      <c r="E14" s="25">
        <f>B14+ 'Week 2'!E14</f>
        <v>7.6</v>
      </c>
      <c r="F14" s="2">
        <v>10</v>
      </c>
    </row>
    <row r="15" spans="1:6" x14ac:dyDescent="0.3">
      <c r="A15" s="6" t="s">
        <v>22</v>
      </c>
      <c r="B15" s="6">
        <v>8.4</v>
      </c>
      <c r="C15" s="6">
        <v>1.1599999999999999</v>
      </c>
      <c r="D15" s="6">
        <f t="shared" si="0"/>
        <v>7.24</v>
      </c>
      <c r="E15" s="6">
        <f>B15+ 'Week 2'!E15</f>
        <v>12.56</v>
      </c>
      <c r="F15" s="6">
        <v>65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9385-9F7B-48B7-A4D8-F4B86D2DAA06}">
  <dimension ref="A1:F16"/>
  <sheetViews>
    <sheetView zoomScale="85" zoomScaleNormal="85" workbookViewId="0">
      <selection activeCell="E6" sqref="E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4+3.8</f>
        <v>7.8</v>
      </c>
      <c r="C6" s="2">
        <f>B6-'Week 3'!B6</f>
        <v>-1.7999999999999998</v>
      </c>
      <c r="D6" s="2">
        <f>'Week 3'!D6 - B6</f>
        <v>151.9</v>
      </c>
      <c r="E6" s="2">
        <f>B6+'Week 3'!E6</f>
        <v>28.099999999999998</v>
      </c>
    </row>
    <row r="7" spans="1:6" x14ac:dyDescent="0.3">
      <c r="A7" s="6" t="s">
        <v>30</v>
      </c>
      <c r="B7" s="6">
        <f>3.8+3.8</f>
        <v>7.6</v>
      </c>
      <c r="C7" s="6">
        <f>B7-'Week 3'!B7</f>
        <v>-2.4000000000000004</v>
      </c>
      <c r="D7" s="6">
        <f>'Week 3'!D7 - B7</f>
        <v>153.79999999999998</v>
      </c>
      <c r="E7" s="6">
        <f>B7+'Week 3'!E7</f>
        <v>26.200000000000003</v>
      </c>
    </row>
    <row r="8" spans="1:6" x14ac:dyDescent="0.3">
      <c r="A8" s="2" t="s">
        <v>31</v>
      </c>
      <c r="B8" s="2">
        <f>3.8+3.8</f>
        <v>7.6</v>
      </c>
      <c r="C8" s="2">
        <f>B8-'Week 3'!B8</f>
        <v>-0.10000000000000053</v>
      </c>
      <c r="D8" s="2">
        <f>'Week 3'!D8 - B8</f>
        <v>156.1</v>
      </c>
      <c r="E8" s="2">
        <f>B8+'Week 3'!E8</f>
        <v>23.9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7.6</v>
      </c>
      <c r="C12" s="2">
        <v>11.1</v>
      </c>
      <c r="D12" s="2">
        <f xml:space="preserve"> B12-C12</f>
        <v>-3.5</v>
      </c>
      <c r="E12" s="25">
        <f>B12+ 'Week 3'!E12</f>
        <v>26.299999999999997</v>
      </c>
      <c r="F12" s="2">
        <v>20</v>
      </c>
    </row>
    <row r="13" spans="1:6" x14ac:dyDescent="0.3">
      <c r="A13" s="6" t="s">
        <v>6</v>
      </c>
      <c r="B13" s="6">
        <v>7.6</v>
      </c>
      <c r="C13" s="6">
        <v>4.8</v>
      </c>
      <c r="D13" s="6">
        <f t="shared" ref="D13:D16" si="0" xml:space="preserve"> B13-C13</f>
        <v>2.8</v>
      </c>
      <c r="E13" s="6">
        <f>B13+ 'Week 3'!E13</f>
        <v>20</v>
      </c>
      <c r="F13" s="6">
        <v>25</v>
      </c>
    </row>
    <row r="14" spans="1:6" x14ac:dyDescent="0.3">
      <c r="A14" s="2" t="s">
        <v>7</v>
      </c>
      <c r="B14" s="2">
        <v>3.8</v>
      </c>
      <c r="C14" s="2">
        <v>0</v>
      </c>
      <c r="D14" s="2">
        <f t="shared" si="0"/>
        <v>3.8</v>
      </c>
      <c r="E14" s="25">
        <f>B14+ 'Week 3'!E14</f>
        <v>11.399999999999999</v>
      </c>
      <c r="F14" s="2">
        <v>12</v>
      </c>
    </row>
    <row r="15" spans="1:6" x14ac:dyDescent="0.3">
      <c r="A15" s="6" t="s">
        <v>22</v>
      </c>
      <c r="B15" s="6">
        <v>0</v>
      </c>
      <c r="C15" s="6">
        <v>8.4</v>
      </c>
      <c r="D15" s="6">
        <f t="shared" si="0"/>
        <v>-8.4</v>
      </c>
      <c r="E15" s="6">
        <f>B15+ 'Week 3'!E15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2177-8EEB-4026-9986-999E0549AC91}">
  <dimension ref="A1:F16"/>
  <sheetViews>
    <sheetView zoomScale="85" zoomScaleNormal="85" workbookViewId="0">
      <selection activeCell="E1" sqref="E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82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2.2+1+1.5+1+3.8</f>
        <v>9.5</v>
      </c>
      <c r="C6" s="2">
        <f>B6-'Week 4'!B6</f>
        <v>1.7000000000000002</v>
      </c>
      <c r="D6" s="2">
        <f>'Week 4'!D6 - B6</f>
        <v>142.4</v>
      </c>
      <c r="E6" s="2">
        <f>B6+'Week 4'!E6</f>
        <v>37.599999999999994</v>
      </c>
    </row>
    <row r="7" spans="1:6" x14ac:dyDescent="0.3">
      <c r="A7" s="6" t="s">
        <v>30</v>
      </c>
      <c r="B7" s="6">
        <v>0</v>
      </c>
      <c r="C7" s="6">
        <f>B7-'Week 4'!B7</f>
        <v>-7.6</v>
      </c>
      <c r="D7" s="6">
        <f>'Week 4'!D7 - B7</f>
        <v>153.79999999999998</v>
      </c>
      <c r="E7" s="6">
        <f>B7+'Week 4'!E7</f>
        <v>26.200000000000003</v>
      </c>
    </row>
    <row r="8" spans="1:6" x14ac:dyDescent="0.3">
      <c r="A8" s="2" t="s">
        <v>31</v>
      </c>
      <c r="B8" s="2">
        <f>2.2+1+1.5+3.8</f>
        <v>8.5</v>
      </c>
      <c r="C8" s="2">
        <f>B8-'Week 4'!B8</f>
        <v>0.90000000000000036</v>
      </c>
      <c r="D8" s="2">
        <f>'Week 4'!D8 - B8</f>
        <v>147.6</v>
      </c>
      <c r="E8" s="2">
        <f>B8+'Week 4'!E8</f>
        <v>32.4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7.6</v>
      </c>
      <c r="D12" s="2">
        <f xml:space="preserve"> B12-C12</f>
        <v>-7.6</v>
      </c>
      <c r="E12" s="25">
        <f>B12+ 'Week 4'!E12</f>
        <v>26.299999999999997</v>
      </c>
      <c r="F12" s="2">
        <v>20</v>
      </c>
    </row>
    <row r="13" spans="1:6" x14ac:dyDescent="0.3">
      <c r="A13" s="6" t="s">
        <v>6</v>
      </c>
      <c r="B13" s="6">
        <f>2.2+1+1.5+3.8</f>
        <v>8.5</v>
      </c>
      <c r="C13" s="6">
        <v>7.6</v>
      </c>
      <c r="D13" s="6">
        <f xml:space="preserve"> B13-C13</f>
        <v>0.90000000000000036</v>
      </c>
      <c r="E13" s="6">
        <f>B13+ 'Week 4'!E13</f>
        <v>28.5</v>
      </c>
      <c r="F13" s="6">
        <v>40</v>
      </c>
    </row>
    <row r="14" spans="1:6" x14ac:dyDescent="0.3">
      <c r="A14" s="2" t="s">
        <v>7</v>
      </c>
      <c r="B14" s="2">
        <f>2.2+1+1.5+3.8</f>
        <v>8.5</v>
      </c>
      <c r="C14" s="2">
        <v>3.8</v>
      </c>
      <c r="D14" s="2">
        <f xml:space="preserve"> B14-C14</f>
        <v>4.7</v>
      </c>
      <c r="E14" s="25">
        <f>B14+ 'Week 4'!E14</f>
        <v>19.899999999999999</v>
      </c>
      <c r="F14" s="2">
        <v>45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4'!E15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382B-B019-4FB7-B7AB-B191EFB3EF97}">
  <dimension ref="A1:F16"/>
  <sheetViews>
    <sheetView zoomScale="85" zoomScaleNormal="85" workbookViewId="0">
      <selection activeCell="B35" sqref="B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99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3.8+1.5</f>
        <v>5.3</v>
      </c>
      <c r="C6" s="2">
        <f>B6-'Week 5'!B6</f>
        <v>-4.2</v>
      </c>
      <c r="D6" s="2">
        <f>'Week 5'!D6 - B6</f>
        <v>137.1</v>
      </c>
      <c r="E6" s="2">
        <f>B6+'Week 5'!E6</f>
        <v>42.899999999999991</v>
      </c>
    </row>
    <row r="7" spans="1:6" x14ac:dyDescent="0.3">
      <c r="A7" s="6" t="s">
        <v>30</v>
      </c>
      <c r="B7" s="6">
        <f>3.8+2</f>
        <v>5.8</v>
      </c>
      <c r="C7" s="6">
        <f>B7-'Week 5'!B7</f>
        <v>5.8</v>
      </c>
      <c r="D7" s="6">
        <f>'Week 5'!D7 - B7</f>
        <v>147.99999999999997</v>
      </c>
      <c r="E7" s="6">
        <f>B7+'Week 5'!E7</f>
        <v>32</v>
      </c>
    </row>
    <row r="8" spans="1:6" x14ac:dyDescent="0.3">
      <c r="A8" s="2" t="s">
        <v>31</v>
      </c>
      <c r="B8" s="2">
        <f>3.8</f>
        <v>3.8</v>
      </c>
      <c r="C8" s="2">
        <f>B8-'Week 5'!B8</f>
        <v>-4.7</v>
      </c>
      <c r="D8" s="2">
        <f>'Week 5'!D8 - B8</f>
        <v>143.79999999999998</v>
      </c>
      <c r="E8" s="2">
        <f>B8+'Week 5'!E8</f>
        <v>36.199999999999996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3.8+2</f>
        <v>5.8</v>
      </c>
      <c r="C12" s="2">
        <v>0</v>
      </c>
      <c r="D12" s="2">
        <f xml:space="preserve"> B12-C12</f>
        <v>5.8</v>
      </c>
      <c r="E12" s="25">
        <f>B12+ 'Week 5'!E12</f>
        <v>32.099999999999994</v>
      </c>
      <c r="F12" s="2">
        <v>25</v>
      </c>
    </row>
    <row r="13" spans="1:6" x14ac:dyDescent="0.3">
      <c r="A13" s="6" t="s">
        <v>6</v>
      </c>
      <c r="B13" s="6">
        <f>3.8+1</f>
        <v>4.8</v>
      </c>
      <c r="C13" s="6">
        <f>2.2+1+1.5+3.8</f>
        <v>8.5</v>
      </c>
      <c r="D13" s="6">
        <f xml:space="preserve"> B13-C13</f>
        <v>-3.7</v>
      </c>
      <c r="E13" s="6">
        <f>B13+ 'Week 5'!E13</f>
        <v>33.299999999999997</v>
      </c>
      <c r="F13" s="6">
        <v>40</v>
      </c>
    </row>
    <row r="14" spans="1:6" x14ac:dyDescent="0.3">
      <c r="A14" s="2" t="s">
        <v>7</v>
      </c>
      <c r="B14" s="2">
        <v>3.8</v>
      </c>
      <c r="C14" s="2">
        <f>2.2+1+1.5+3.8</f>
        <v>8.5</v>
      </c>
      <c r="D14" s="2">
        <f xml:space="preserve"> B14-C14</f>
        <v>-4.7</v>
      </c>
      <c r="E14" s="25">
        <f>B14+ 'Week 5'!E14</f>
        <v>23.7</v>
      </c>
      <c r="F14" s="2">
        <v>45</v>
      </c>
    </row>
    <row r="15" spans="1:6" x14ac:dyDescent="0.3">
      <c r="A15" s="6" t="s">
        <v>22</v>
      </c>
      <c r="B15" s="6">
        <v>0.5</v>
      </c>
      <c r="C15" s="6">
        <v>0</v>
      </c>
      <c r="D15" s="6">
        <f t="shared" ref="D15:D16" si="0" xml:space="preserve"> B15-C15</f>
        <v>0.5</v>
      </c>
      <c r="E15" s="6">
        <f>B15+ 'Week 5'!E15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9923-3EBD-441D-A6A2-0774B29BEDFB}">
  <dimension ref="A1:F16"/>
  <sheetViews>
    <sheetView zoomScale="85" zoomScaleNormal="85" workbookViewId="0">
      <selection activeCell="G2" sqref="G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</f>
        <v>3.8</v>
      </c>
      <c r="C6" s="2">
        <f>B6-'Week 6'!B6</f>
        <v>-1.5</v>
      </c>
      <c r="D6" s="2">
        <f>'Week 6'!D6 - B6</f>
        <v>133.29999999999998</v>
      </c>
      <c r="E6" s="2">
        <f>B6+'Week 6'!E6</f>
        <v>46.699999999999989</v>
      </c>
    </row>
    <row r="7" spans="1:6" x14ac:dyDescent="0.3">
      <c r="A7" s="6" t="s">
        <v>30</v>
      </c>
      <c r="B7" s="6">
        <f>3.8</f>
        <v>3.8</v>
      </c>
      <c r="C7" s="6">
        <f>B7-'Week 6'!B7</f>
        <v>-2</v>
      </c>
      <c r="D7" s="6">
        <f>'Week 6'!D7 - B7</f>
        <v>144.19999999999996</v>
      </c>
      <c r="E7" s="6">
        <f>B7+'Week 6'!E7</f>
        <v>35.799999999999997</v>
      </c>
    </row>
    <row r="8" spans="1:6" x14ac:dyDescent="0.3">
      <c r="A8" s="2" t="s">
        <v>31</v>
      </c>
      <c r="B8" s="2">
        <f>3.8</f>
        <v>3.8</v>
      </c>
      <c r="C8" s="2">
        <f>B8-'Week 6'!B8</f>
        <v>0</v>
      </c>
      <c r="D8" s="2">
        <f>'Week 6'!D8 - B8</f>
        <v>139.99999999999997</v>
      </c>
      <c r="E8" s="2">
        <f>B8+'Week 6'!E8</f>
        <v>39.999999999999993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</f>
        <v>3.8</v>
      </c>
      <c r="C12" s="2">
        <f>3.8+2</f>
        <v>5.8</v>
      </c>
      <c r="D12" s="2">
        <f xml:space="preserve"> B12-C12</f>
        <v>-2</v>
      </c>
      <c r="E12" s="25">
        <f>B12+ 'Week 6'!E12</f>
        <v>35.899999999999991</v>
      </c>
      <c r="F12" s="2">
        <v>25</v>
      </c>
    </row>
    <row r="13" spans="1:6" x14ac:dyDescent="0.3">
      <c r="A13" s="6" t="s">
        <v>6</v>
      </c>
      <c r="B13" s="6">
        <f>3.8</f>
        <v>3.8</v>
      </c>
      <c r="C13" s="6">
        <f>3.8+1</f>
        <v>4.8</v>
      </c>
      <c r="D13" s="6">
        <f xml:space="preserve"> B13-C13</f>
        <v>-1</v>
      </c>
      <c r="E13" s="6">
        <f>B13+ 'Week 6'!E13</f>
        <v>37.099999999999994</v>
      </c>
      <c r="F13" s="6">
        <v>40</v>
      </c>
    </row>
    <row r="14" spans="1:6" x14ac:dyDescent="0.3">
      <c r="A14" s="2" t="s">
        <v>7</v>
      </c>
      <c r="B14" s="2">
        <f>3.8</f>
        <v>3.8</v>
      </c>
      <c r="C14" s="2">
        <v>3.8</v>
      </c>
      <c r="D14" s="2">
        <f xml:space="preserve"> B14-C14</f>
        <v>0</v>
      </c>
      <c r="E14" s="25">
        <f>B14+ 'Week 6'!E14</f>
        <v>27.5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v>0.5</v>
      </c>
      <c r="D15" s="6">
        <f t="shared" ref="D15:D16" si="0" xml:space="preserve"> B15-C15</f>
        <v>-0.5</v>
      </c>
      <c r="E15" s="6">
        <f>B15+ 'Week 6'!E15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30</vt:i4>
      </vt:variant>
    </vt:vector>
  </HeadingPairs>
  <TitlesOfParts>
    <vt:vector size="30" baseType="lpstr">
      <vt:lpstr>AZE</vt:lpstr>
      <vt:lpstr>Wochenaufzeichnung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Lucut Ioan Lukas</cp:lastModifiedBy>
  <dcterms:created xsi:type="dcterms:W3CDTF">2015-06-05T18:19:34Z</dcterms:created>
  <dcterms:modified xsi:type="dcterms:W3CDTF">2024-03-14T15:56:43Z</dcterms:modified>
</cp:coreProperties>
</file>