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STAY\Downloads\"/>
    </mc:Choice>
  </mc:AlternateContent>
  <xr:revisionPtr revIDLastSave="0" documentId="13_ncr:1_{50417AB2-C5D2-4C5F-9567-088BFB792E26}" xr6:coauthVersionLast="47" xr6:coauthVersionMax="47" xr10:uidLastSave="{00000000-0000-0000-0000-000000000000}"/>
  <bookViews>
    <workbookView xWindow="-108" yWindow="-108" windowWidth="23256" windowHeight="12456" xr2:uid="{D350E41D-F8D6-47AC-B3D6-057C3EA52277}"/>
  </bookViews>
  <sheets>
    <sheet name="Dashboard" sheetId="4" r:id="rId1"/>
    <sheet name="Sheet1" sheetId="1" r:id="rId2"/>
    <sheet name="Working" sheetId="2" r:id="rId3"/>
    <sheet name="Data Pre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5" i="3" l="1"/>
  <c r="B11" i="3"/>
  <c r="T33" i="4"/>
  <c r="U33" i="4"/>
  <c r="V33" i="4"/>
  <c r="T34" i="4"/>
  <c r="U34" i="4"/>
  <c r="V34" i="4"/>
  <c r="T35" i="4"/>
  <c r="U35" i="4"/>
  <c r="V35" i="4"/>
  <c r="T36" i="4"/>
  <c r="U36" i="4"/>
  <c r="V36" i="4"/>
  <c r="T37" i="4"/>
  <c r="U37" i="4"/>
  <c r="V37" i="4"/>
  <c r="S34" i="4"/>
  <c r="S35" i="4"/>
  <c r="S36" i="4"/>
  <c r="S37" i="4"/>
  <c r="S33" i="4"/>
  <c r="T24" i="4"/>
  <c r="U24" i="4"/>
  <c r="V24" i="4"/>
  <c r="T25" i="4"/>
  <c r="U25" i="4"/>
  <c r="V25" i="4"/>
  <c r="T26" i="4"/>
  <c r="U26" i="4"/>
  <c r="V26" i="4"/>
  <c r="T27" i="4"/>
  <c r="U27" i="4"/>
  <c r="V27" i="4"/>
  <c r="T28" i="4"/>
  <c r="U28" i="4"/>
  <c r="V28" i="4"/>
  <c r="S28" i="4"/>
  <c r="S25" i="4"/>
  <c r="S26" i="4"/>
  <c r="S27" i="4"/>
  <c r="S24" i="4"/>
  <c r="T15" i="4"/>
  <c r="U15" i="4"/>
  <c r="V15" i="4"/>
  <c r="T16" i="4"/>
  <c r="U16" i="4"/>
  <c r="V16" i="4"/>
  <c r="T17" i="4"/>
  <c r="U17" i="4"/>
  <c r="V17" i="4"/>
  <c r="T18" i="4"/>
  <c r="U18" i="4"/>
  <c r="V18" i="4"/>
  <c r="T19" i="4"/>
  <c r="U19" i="4"/>
  <c r="V19" i="4"/>
  <c r="S19" i="4"/>
  <c r="S16" i="4"/>
  <c r="S17" i="4"/>
  <c r="S18" i="4"/>
  <c r="S15" i="4"/>
  <c r="V7" i="4"/>
  <c r="T7" i="4"/>
  <c r="U7" i="4"/>
  <c r="T8" i="4"/>
  <c r="U8" i="4"/>
  <c r="V8" i="4"/>
  <c r="T9" i="4"/>
  <c r="U9" i="4"/>
  <c r="V9" i="4"/>
  <c r="T10" i="4"/>
  <c r="U10" i="4"/>
  <c r="V10" i="4"/>
  <c r="T11" i="4"/>
  <c r="U11" i="4"/>
  <c r="V11" i="4"/>
  <c r="S11" i="4"/>
  <c r="S8" i="4"/>
  <c r="S9" i="4"/>
  <c r="S10" i="4"/>
  <c r="S7" i="4"/>
  <c r="AS2" i="3" l="1"/>
  <c r="AC2" i="3"/>
  <c r="AR2" i="3" a="1"/>
  <c r="AR2" i="3" s="1"/>
  <c r="AP3" i="3"/>
  <c r="AP4" i="3"/>
  <c r="AP5" i="3"/>
  <c r="AP6" i="3"/>
  <c r="AP7" i="3"/>
  <c r="AP8" i="3"/>
  <c r="AP2" i="3"/>
  <c r="AL3" i="3"/>
  <c r="AL2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5" i="3"/>
  <c r="J4" i="3"/>
  <c r="J5" i="3"/>
  <c r="J6" i="3"/>
  <c r="J7" i="3"/>
  <c r="J8" i="3"/>
  <c r="J9" i="3"/>
  <c r="J3" i="3"/>
  <c r="G8" i="3"/>
  <c r="G4" i="3"/>
  <c r="G3" i="3"/>
  <c r="G5" i="3"/>
  <c r="G7" i="3"/>
  <c r="G9" i="3"/>
  <c r="G6" i="3"/>
  <c r="AB2" i="3" a="1"/>
  <c r="AB2" i="3" s="1"/>
  <c r="AC5" i="3" s="1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5" i="3"/>
  <c r="L5" i="3" a="1"/>
  <c r="L5" i="3" s="1"/>
  <c r="M5" i="3" s="1"/>
  <c r="J2" i="2"/>
  <c r="A2" i="3" a="1"/>
  <c r="A2" i="3" s="1"/>
  <c r="N101" i="2"/>
  <c r="J101" i="2"/>
  <c r="G101" i="2"/>
  <c r="N100" i="2"/>
  <c r="J100" i="2"/>
  <c r="G100" i="2"/>
  <c r="N99" i="2"/>
  <c r="J99" i="2"/>
  <c r="G99" i="2"/>
  <c r="N98" i="2"/>
  <c r="J98" i="2"/>
  <c r="G98" i="2"/>
  <c r="N97" i="2"/>
  <c r="J97" i="2"/>
  <c r="G97" i="2"/>
  <c r="N96" i="2"/>
  <c r="J96" i="2"/>
  <c r="G96" i="2"/>
  <c r="N95" i="2"/>
  <c r="J95" i="2"/>
  <c r="G95" i="2"/>
  <c r="N94" i="2"/>
  <c r="J94" i="2"/>
  <c r="G94" i="2"/>
  <c r="N93" i="2"/>
  <c r="J93" i="2"/>
  <c r="G93" i="2"/>
  <c r="N92" i="2"/>
  <c r="J92" i="2"/>
  <c r="G92" i="2"/>
  <c r="N91" i="2"/>
  <c r="J91" i="2"/>
  <c r="G91" i="2"/>
  <c r="N90" i="2"/>
  <c r="J90" i="2"/>
  <c r="G90" i="2"/>
  <c r="N89" i="2"/>
  <c r="J89" i="2"/>
  <c r="G89" i="2"/>
  <c r="N88" i="2"/>
  <c r="J88" i="2"/>
  <c r="G88" i="2"/>
  <c r="N87" i="2"/>
  <c r="J87" i="2"/>
  <c r="G87" i="2"/>
  <c r="N86" i="2"/>
  <c r="J86" i="2"/>
  <c r="G86" i="2"/>
  <c r="N85" i="2"/>
  <c r="J85" i="2"/>
  <c r="G85" i="2"/>
  <c r="N84" i="2"/>
  <c r="J84" i="2"/>
  <c r="G84" i="2"/>
  <c r="N83" i="2"/>
  <c r="J83" i="2"/>
  <c r="G83" i="2"/>
  <c r="N82" i="2"/>
  <c r="J82" i="2"/>
  <c r="G82" i="2"/>
  <c r="N81" i="2"/>
  <c r="J81" i="2"/>
  <c r="G81" i="2"/>
  <c r="N80" i="2"/>
  <c r="J80" i="2"/>
  <c r="G80" i="2"/>
  <c r="N79" i="2"/>
  <c r="J79" i="2"/>
  <c r="G79" i="2"/>
  <c r="N78" i="2"/>
  <c r="J78" i="2"/>
  <c r="G78" i="2"/>
  <c r="N77" i="2"/>
  <c r="J77" i="2"/>
  <c r="G77" i="2"/>
  <c r="N76" i="2"/>
  <c r="J76" i="2"/>
  <c r="G76" i="2"/>
  <c r="N75" i="2"/>
  <c r="J75" i="2"/>
  <c r="G75" i="2"/>
  <c r="N74" i="2"/>
  <c r="J74" i="2"/>
  <c r="G74" i="2"/>
  <c r="N73" i="2"/>
  <c r="J73" i="2"/>
  <c r="G73" i="2"/>
  <c r="N72" i="2"/>
  <c r="J72" i="2"/>
  <c r="G72" i="2"/>
  <c r="N71" i="2"/>
  <c r="J71" i="2"/>
  <c r="G71" i="2"/>
  <c r="N70" i="2"/>
  <c r="J70" i="2"/>
  <c r="G70" i="2"/>
  <c r="N69" i="2"/>
  <c r="J69" i="2"/>
  <c r="G69" i="2"/>
  <c r="N68" i="2"/>
  <c r="J68" i="2"/>
  <c r="G68" i="2"/>
  <c r="N67" i="2"/>
  <c r="J67" i="2"/>
  <c r="G67" i="2"/>
  <c r="N66" i="2"/>
  <c r="J66" i="2"/>
  <c r="G66" i="2"/>
  <c r="N65" i="2"/>
  <c r="J65" i="2"/>
  <c r="G65" i="2"/>
  <c r="N64" i="2"/>
  <c r="J64" i="2"/>
  <c r="G64" i="2"/>
  <c r="N63" i="2"/>
  <c r="J63" i="2"/>
  <c r="G63" i="2"/>
  <c r="N62" i="2"/>
  <c r="J62" i="2"/>
  <c r="G62" i="2"/>
  <c r="N61" i="2"/>
  <c r="J61" i="2"/>
  <c r="G61" i="2"/>
  <c r="N60" i="2"/>
  <c r="J60" i="2"/>
  <c r="G60" i="2"/>
  <c r="N59" i="2"/>
  <c r="J59" i="2"/>
  <c r="G59" i="2"/>
  <c r="N58" i="2"/>
  <c r="J58" i="2"/>
  <c r="G58" i="2"/>
  <c r="N57" i="2"/>
  <c r="J57" i="2"/>
  <c r="G57" i="2"/>
  <c r="N56" i="2"/>
  <c r="J56" i="2"/>
  <c r="G56" i="2"/>
  <c r="N55" i="2"/>
  <c r="J55" i="2"/>
  <c r="G55" i="2"/>
  <c r="N54" i="2"/>
  <c r="J54" i="2"/>
  <c r="G54" i="2"/>
  <c r="N53" i="2"/>
  <c r="J53" i="2"/>
  <c r="G53" i="2"/>
  <c r="N52" i="2"/>
  <c r="J52" i="2"/>
  <c r="G52" i="2"/>
  <c r="N51" i="2"/>
  <c r="J51" i="2"/>
  <c r="G51" i="2"/>
  <c r="N50" i="2"/>
  <c r="J50" i="2"/>
  <c r="G50" i="2"/>
  <c r="N49" i="2"/>
  <c r="J49" i="2"/>
  <c r="G49" i="2"/>
  <c r="N48" i="2"/>
  <c r="J48" i="2"/>
  <c r="G48" i="2"/>
  <c r="N47" i="2"/>
  <c r="J47" i="2"/>
  <c r="G47" i="2"/>
  <c r="N46" i="2"/>
  <c r="J46" i="2"/>
  <c r="G46" i="2"/>
  <c r="N45" i="2"/>
  <c r="J45" i="2"/>
  <c r="G45" i="2"/>
  <c r="N44" i="2"/>
  <c r="J44" i="2"/>
  <c r="G44" i="2"/>
  <c r="N43" i="2"/>
  <c r="J43" i="2"/>
  <c r="G43" i="2"/>
  <c r="N42" i="2"/>
  <c r="J42" i="2"/>
  <c r="G42" i="2"/>
  <c r="N41" i="2"/>
  <c r="J41" i="2"/>
  <c r="G41" i="2"/>
  <c r="N40" i="2"/>
  <c r="J40" i="2"/>
  <c r="G40" i="2"/>
  <c r="N39" i="2"/>
  <c r="J39" i="2"/>
  <c r="G39" i="2"/>
  <c r="N38" i="2"/>
  <c r="J38" i="2"/>
  <c r="G38" i="2"/>
  <c r="N37" i="2"/>
  <c r="J37" i="2"/>
  <c r="G37" i="2"/>
  <c r="N36" i="2"/>
  <c r="J36" i="2"/>
  <c r="G36" i="2"/>
  <c r="N35" i="2"/>
  <c r="J35" i="2"/>
  <c r="G35" i="2"/>
  <c r="N34" i="2"/>
  <c r="J34" i="2"/>
  <c r="G34" i="2"/>
  <c r="N33" i="2"/>
  <c r="J33" i="2"/>
  <c r="G33" i="2"/>
  <c r="N32" i="2"/>
  <c r="J32" i="2"/>
  <c r="G32" i="2"/>
  <c r="N31" i="2"/>
  <c r="J31" i="2"/>
  <c r="G31" i="2"/>
  <c r="N30" i="2"/>
  <c r="J30" i="2"/>
  <c r="G30" i="2"/>
  <c r="N29" i="2"/>
  <c r="J29" i="2"/>
  <c r="G29" i="2"/>
  <c r="N28" i="2"/>
  <c r="J28" i="2"/>
  <c r="G28" i="2"/>
  <c r="N27" i="2"/>
  <c r="J27" i="2"/>
  <c r="G27" i="2"/>
  <c r="N26" i="2"/>
  <c r="J26" i="2"/>
  <c r="G26" i="2"/>
  <c r="N25" i="2"/>
  <c r="J25" i="2"/>
  <c r="G25" i="2"/>
  <c r="N24" i="2"/>
  <c r="J24" i="2"/>
  <c r="G24" i="2"/>
  <c r="N23" i="2"/>
  <c r="J23" i="2"/>
  <c r="G23" i="2"/>
  <c r="N22" i="2"/>
  <c r="J22" i="2"/>
  <c r="G22" i="2"/>
  <c r="N21" i="2"/>
  <c r="J21" i="2"/>
  <c r="G21" i="2"/>
  <c r="N20" i="2"/>
  <c r="J20" i="2"/>
  <c r="G20" i="2"/>
  <c r="N19" i="2"/>
  <c r="J19" i="2"/>
  <c r="G19" i="2"/>
  <c r="N18" i="2"/>
  <c r="J18" i="2"/>
  <c r="G18" i="2"/>
  <c r="N17" i="2"/>
  <c r="J17" i="2"/>
  <c r="G17" i="2"/>
  <c r="N16" i="2"/>
  <c r="J16" i="2"/>
  <c r="G16" i="2"/>
  <c r="N15" i="2"/>
  <c r="J15" i="2"/>
  <c r="G15" i="2"/>
  <c r="N14" i="2"/>
  <c r="J14" i="2"/>
  <c r="G14" i="2"/>
  <c r="N13" i="2"/>
  <c r="J13" i="2"/>
  <c r="G13" i="2"/>
  <c r="N12" i="2"/>
  <c r="J12" i="2"/>
  <c r="G12" i="2"/>
  <c r="N11" i="2"/>
  <c r="J11" i="2"/>
  <c r="G11" i="2"/>
  <c r="N10" i="2"/>
  <c r="J10" i="2"/>
  <c r="G10" i="2"/>
  <c r="N9" i="2"/>
  <c r="J9" i="2"/>
  <c r="G9" i="2"/>
  <c r="N8" i="2"/>
  <c r="J8" i="2"/>
  <c r="G8" i="2"/>
  <c r="N7" i="2"/>
  <c r="J7" i="2"/>
  <c r="G7" i="2"/>
  <c r="N6" i="2"/>
  <c r="J6" i="2"/>
  <c r="G6" i="2"/>
  <c r="N5" i="2"/>
  <c r="J5" i="2"/>
  <c r="G5" i="2"/>
  <c r="N4" i="2"/>
  <c r="J4" i="2"/>
  <c r="G4" i="2"/>
  <c r="N3" i="2"/>
  <c r="J3" i="2"/>
  <c r="G3" i="2"/>
  <c r="N2" i="2"/>
  <c r="G2" i="2"/>
  <c r="N101" i="1"/>
  <c r="J101" i="1"/>
  <c r="G101" i="1"/>
  <c r="N100" i="1"/>
  <c r="J100" i="1"/>
  <c r="G100" i="1"/>
  <c r="N99" i="1"/>
  <c r="J99" i="1"/>
  <c r="G99" i="1"/>
  <c r="N98" i="1"/>
  <c r="J98" i="1"/>
  <c r="G98" i="1"/>
  <c r="N97" i="1"/>
  <c r="J97" i="1"/>
  <c r="G97" i="1"/>
  <c r="N96" i="1"/>
  <c r="J96" i="1"/>
  <c r="G96" i="1"/>
  <c r="N95" i="1"/>
  <c r="J95" i="1"/>
  <c r="G95" i="1"/>
  <c r="N94" i="1"/>
  <c r="J94" i="1"/>
  <c r="G94" i="1"/>
  <c r="N93" i="1"/>
  <c r="J93" i="1"/>
  <c r="G93" i="1"/>
  <c r="N92" i="1"/>
  <c r="J92" i="1"/>
  <c r="G92" i="1"/>
  <c r="N91" i="1"/>
  <c r="J91" i="1"/>
  <c r="G91" i="1"/>
  <c r="N90" i="1"/>
  <c r="J90" i="1"/>
  <c r="G90" i="1"/>
  <c r="N89" i="1"/>
  <c r="J89" i="1"/>
  <c r="G89" i="1"/>
  <c r="N88" i="1"/>
  <c r="J88" i="1"/>
  <c r="G88" i="1"/>
  <c r="N87" i="1"/>
  <c r="J87" i="1"/>
  <c r="G87" i="1"/>
  <c r="N86" i="1"/>
  <c r="J86" i="1"/>
  <c r="G86" i="1"/>
  <c r="N85" i="1"/>
  <c r="J85" i="1"/>
  <c r="G85" i="1"/>
  <c r="N84" i="1"/>
  <c r="J84" i="1"/>
  <c r="G84" i="1"/>
  <c r="N83" i="1"/>
  <c r="J83" i="1"/>
  <c r="G83" i="1"/>
  <c r="N82" i="1"/>
  <c r="J82" i="1"/>
  <c r="G82" i="1"/>
  <c r="N81" i="1"/>
  <c r="J81" i="1"/>
  <c r="G81" i="1"/>
  <c r="N80" i="1"/>
  <c r="J80" i="1"/>
  <c r="G80" i="1"/>
  <c r="N79" i="1"/>
  <c r="J79" i="1"/>
  <c r="G79" i="1"/>
  <c r="N78" i="1"/>
  <c r="J78" i="1"/>
  <c r="G78" i="1"/>
  <c r="N77" i="1"/>
  <c r="J77" i="1"/>
  <c r="G77" i="1"/>
  <c r="N76" i="1"/>
  <c r="J76" i="1"/>
  <c r="G76" i="1"/>
  <c r="N75" i="1"/>
  <c r="J75" i="1"/>
  <c r="G75" i="1"/>
  <c r="N74" i="1"/>
  <c r="J74" i="1"/>
  <c r="G74" i="1"/>
  <c r="N73" i="1"/>
  <c r="J73" i="1"/>
  <c r="G73" i="1"/>
  <c r="N72" i="1"/>
  <c r="J72" i="1"/>
  <c r="G72" i="1"/>
  <c r="N71" i="1"/>
  <c r="J71" i="1"/>
  <c r="G71" i="1"/>
  <c r="N70" i="1"/>
  <c r="J70" i="1"/>
  <c r="G70" i="1"/>
  <c r="N69" i="1"/>
  <c r="J69" i="1"/>
  <c r="G69" i="1"/>
  <c r="N68" i="1"/>
  <c r="J68" i="1"/>
  <c r="G68" i="1"/>
  <c r="N67" i="1"/>
  <c r="J67" i="1"/>
  <c r="G67" i="1"/>
  <c r="N66" i="1"/>
  <c r="J66" i="1"/>
  <c r="G66" i="1"/>
  <c r="N65" i="1"/>
  <c r="J65" i="1"/>
  <c r="G65" i="1"/>
  <c r="N64" i="1"/>
  <c r="J64" i="1"/>
  <c r="G64" i="1"/>
  <c r="N63" i="1"/>
  <c r="J63" i="1"/>
  <c r="G63" i="1"/>
  <c r="N62" i="1"/>
  <c r="J62" i="1"/>
  <c r="G62" i="1"/>
  <c r="N61" i="1"/>
  <c r="J61" i="1"/>
  <c r="G61" i="1"/>
  <c r="N60" i="1"/>
  <c r="J60" i="1"/>
  <c r="G60" i="1"/>
  <c r="N59" i="1"/>
  <c r="J59" i="1"/>
  <c r="G59" i="1"/>
  <c r="N58" i="1"/>
  <c r="J58" i="1"/>
  <c r="G58" i="1"/>
  <c r="N57" i="1"/>
  <c r="J57" i="1"/>
  <c r="G57" i="1"/>
  <c r="N56" i="1"/>
  <c r="J56" i="1"/>
  <c r="G56" i="1"/>
  <c r="N55" i="1"/>
  <c r="J55" i="1"/>
  <c r="G55" i="1"/>
  <c r="N54" i="1"/>
  <c r="J54" i="1"/>
  <c r="G54" i="1"/>
  <c r="N53" i="1"/>
  <c r="J53" i="1"/>
  <c r="G53" i="1"/>
  <c r="N52" i="1"/>
  <c r="J52" i="1"/>
  <c r="G52" i="1"/>
  <c r="N51" i="1"/>
  <c r="J51" i="1"/>
  <c r="G51" i="1"/>
  <c r="N50" i="1"/>
  <c r="J50" i="1"/>
  <c r="G50" i="1"/>
  <c r="N49" i="1"/>
  <c r="J49" i="1"/>
  <c r="G49" i="1"/>
  <c r="N48" i="1"/>
  <c r="J48" i="1"/>
  <c r="G48" i="1"/>
  <c r="N47" i="1"/>
  <c r="J47" i="1"/>
  <c r="G47" i="1"/>
  <c r="N46" i="1"/>
  <c r="J46" i="1"/>
  <c r="G46" i="1"/>
  <c r="N45" i="1"/>
  <c r="J45" i="1"/>
  <c r="G45" i="1"/>
  <c r="N44" i="1"/>
  <c r="J44" i="1"/>
  <c r="G44" i="1"/>
  <c r="N43" i="1"/>
  <c r="J43" i="1"/>
  <c r="G43" i="1"/>
  <c r="N42" i="1"/>
  <c r="J42" i="1"/>
  <c r="G42" i="1"/>
  <c r="N41" i="1"/>
  <c r="J41" i="1"/>
  <c r="G41" i="1"/>
  <c r="N40" i="1"/>
  <c r="J40" i="1"/>
  <c r="G40" i="1"/>
  <c r="N39" i="1"/>
  <c r="J39" i="1"/>
  <c r="G39" i="1"/>
  <c r="N38" i="1"/>
  <c r="J38" i="1"/>
  <c r="G38" i="1"/>
  <c r="N37" i="1"/>
  <c r="J37" i="1"/>
  <c r="G37" i="1"/>
  <c r="N36" i="1"/>
  <c r="J36" i="1"/>
  <c r="G36" i="1"/>
  <c r="N35" i="1"/>
  <c r="J35" i="1"/>
  <c r="G35" i="1"/>
  <c r="N34" i="1"/>
  <c r="J34" i="1"/>
  <c r="G34" i="1"/>
  <c r="N33" i="1"/>
  <c r="J33" i="1"/>
  <c r="G33" i="1"/>
  <c r="N32" i="1"/>
  <c r="J32" i="1"/>
  <c r="G32" i="1"/>
  <c r="N31" i="1"/>
  <c r="J31" i="1"/>
  <c r="G31" i="1"/>
  <c r="N30" i="1"/>
  <c r="J30" i="1"/>
  <c r="G30" i="1"/>
  <c r="N29" i="1"/>
  <c r="J29" i="1"/>
  <c r="G29" i="1"/>
  <c r="N28" i="1"/>
  <c r="J28" i="1"/>
  <c r="G28" i="1"/>
  <c r="N27" i="1"/>
  <c r="J27" i="1"/>
  <c r="G27" i="1"/>
  <c r="N26" i="1"/>
  <c r="J26" i="1"/>
  <c r="G26" i="1"/>
  <c r="N25" i="1"/>
  <c r="J25" i="1"/>
  <c r="G25" i="1"/>
  <c r="N24" i="1"/>
  <c r="J24" i="1"/>
  <c r="G24" i="1"/>
  <c r="N23" i="1"/>
  <c r="J23" i="1"/>
  <c r="G23" i="1"/>
  <c r="N22" i="1"/>
  <c r="J22" i="1"/>
  <c r="G22" i="1"/>
  <c r="N21" i="1"/>
  <c r="J21" i="1"/>
  <c r="G21" i="1"/>
  <c r="N20" i="1"/>
  <c r="J20" i="1"/>
  <c r="G20" i="1"/>
  <c r="N19" i="1"/>
  <c r="J19" i="1"/>
  <c r="G19" i="1"/>
  <c r="N18" i="1"/>
  <c r="J18" i="1"/>
  <c r="G18" i="1"/>
  <c r="N17" i="1"/>
  <c r="J17" i="1"/>
  <c r="G17" i="1"/>
  <c r="N16" i="1"/>
  <c r="J16" i="1"/>
  <c r="G16" i="1"/>
  <c r="N15" i="1"/>
  <c r="J15" i="1"/>
  <c r="G15" i="1"/>
  <c r="N14" i="1"/>
  <c r="J14" i="1"/>
  <c r="G14" i="1"/>
  <c r="N13" i="1"/>
  <c r="J13" i="1"/>
  <c r="G13" i="1"/>
  <c r="N12" i="1"/>
  <c r="J12" i="1"/>
  <c r="G12" i="1"/>
  <c r="N11" i="1"/>
  <c r="J11" i="1"/>
  <c r="G11" i="1"/>
  <c r="N10" i="1"/>
  <c r="J10" i="1"/>
  <c r="G10" i="1"/>
  <c r="N9" i="1"/>
  <c r="J9" i="1"/>
  <c r="G9" i="1"/>
  <c r="N8" i="1"/>
  <c r="J8" i="1"/>
  <c r="G8" i="1"/>
  <c r="N7" i="1"/>
  <c r="J7" i="1"/>
  <c r="G7" i="1"/>
  <c r="N6" i="1"/>
  <c r="J6" i="1"/>
  <c r="G6" i="1"/>
  <c r="N5" i="1"/>
  <c r="J5" i="1"/>
  <c r="G5" i="1"/>
  <c r="N4" i="1"/>
  <c r="J4" i="1"/>
  <c r="G4" i="1"/>
  <c r="N3" i="1"/>
  <c r="J3" i="1"/>
  <c r="G3" i="1"/>
  <c r="N2" i="1"/>
  <c r="J2" i="1"/>
  <c r="G2" i="1"/>
  <c r="AS10" i="3" l="1"/>
  <c r="AS9" i="3"/>
  <c r="AS8" i="3"/>
  <c r="AS7" i="3"/>
  <c r="AS6" i="3"/>
  <c r="AS13" i="3"/>
  <c r="AS5" i="3"/>
  <c r="AS12" i="3"/>
  <c r="AS4" i="3"/>
  <c r="AS11" i="3"/>
  <c r="AS3" i="3"/>
  <c r="AF10" i="3"/>
  <c r="AF4" i="3"/>
  <c r="AF3" i="3"/>
  <c r="U27" i="3"/>
  <c r="AF9" i="3"/>
  <c r="AF8" i="3"/>
  <c r="AF7" i="3"/>
  <c r="AF6" i="3"/>
  <c r="AF5" i="3"/>
  <c r="U25" i="3"/>
  <c r="U17" i="3"/>
  <c r="U24" i="3"/>
  <c r="U11" i="3"/>
  <c r="U23" i="3"/>
  <c r="U15" i="3"/>
  <c r="U7" i="3"/>
  <c r="U5" i="3"/>
  <c r="U22" i="3"/>
  <c r="U14" i="3"/>
  <c r="U6" i="3"/>
  <c r="U19" i="3"/>
  <c r="U29" i="3"/>
  <c r="U21" i="3"/>
  <c r="U13" i="3"/>
  <c r="U28" i="3"/>
  <c r="U20" i="3"/>
  <c r="U12" i="3"/>
  <c r="U26" i="3"/>
  <c r="U18" i="3"/>
  <c r="U10" i="3"/>
  <c r="U8" i="3"/>
  <c r="U16" i="3"/>
  <c r="U9" i="3"/>
  <c r="T15" i="3"/>
  <c r="T7" i="3"/>
  <c r="T23" i="3"/>
  <c r="T5" i="3"/>
  <c r="T22" i="3"/>
  <c r="T14" i="3"/>
  <c r="T6" i="3"/>
  <c r="T13" i="3"/>
  <c r="T29" i="3"/>
  <c r="T28" i="3"/>
  <c r="T19" i="3"/>
  <c r="T21" i="3"/>
  <c r="T20" i="3"/>
  <c r="T26" i="3"/>
  <c r="T18" i="3"/>
  <c r="T10" i="3"/>
  <c r="T17" i="3"/>
  <c r="T25" i="3"/>
  <c r="T9" i="3"/>
  <c r="T24" i="3"/>
  <c r="T16" i="3"/>
  <c r="T8" i="3"/>
  <c r="T27" i="3"/>
  <c r="T12" i="3"/>
  <c r="T11" i="3"/>
  <c r="N19" i="3"/>
  <c r="N11" i="3"/>
  <c r="AC6" i="3"/>
  <c r="AC9" i="3"/>
  <c r="N17" i="3"/>
  <c r="N9" i="3"/>
  <c r="N18" i="3"/>
  <c r="N10" i="3"/>
  <c r="AC10" i="3"/>
  <c r="N16" i="3"/>
  <c r="N8" i="3"/>
  <c r="AC4" i="3"/>
  <c r="N23" i="3"/>
  <c r="N15" i="3"/>
  <c r="N7" i="3"/>
  <c r="AC12" i="3"/>
  <c r="AC13" i="3"/>
  <c r="N22" i="3"/>
  <c r="N14" i="3"/>
  <c r="N6" i="3"/>
  <c r="AC8" i="3"/>
  <c r="AC3" i="3"/>
  <c r="N21" i="3"/>
  <c r="N13" i="3"/>
  <c r="N5" i="3"/>
  <c r="AC11" i="3"/>
  <c r="AC7" i="3"/>
  <c r="N20" i="3"/>
  <c r="N12" i="3"/>
  <c r="M19" i="3"/>
  <c r="M11" i="3"/>
  <c r="M20" i="3"/>
  <c r="M12" i="3"/>
  <c r="M18" i="3"/>
  <c r="M10" i="3"/>
  <c r="M17" i="3"/>
  <c r="M9" i="3"/>
  <c r="M16" i="3"/>
  <c r="M8" i="3"/>
  <c r="M23" i="3"/>
  <c r="M15" i="3"/>
  <c r="M7" i="3"/>
  <c r="M22" i="3"/>
  <c r="M14" i="3"/>
  <c r="M6" i="3"/>
  <c r="M21" i="3"/>
  <c r="M13" i="3"/>
  <c r="C3" i="3"/>
  <c r="A11" i="3" a="1"/>
  <c r="A11" i="3" s="1"/>
  <c r="C9" i="3"/>
  <c r="AI5" i="3" l="1"/>
  <c r="AI4" i="3"/>
  <c r="AI3" i="3"/>
  <c r="AI8" i="3"/>
  <c r="AI9" i="3"/>
  <c r="AI6" i="3"/>
  <c r="AI7" i="3"/>
  <c r="Z29" i="3"/>
  <c r="Y28" i="3"/>
  <c r="Z30" i="3"/>
  <c r="Z28" i="3"/>
  <c r="Z31" i="3"/>
  <c r="X29" i="3"/>
  <c r="Z32" i="3"/>
  <c r="X30" i="3"/>
  <c r="Y29" i="3"/>
  <c r="X31" i="3"/>
  <c r="Y30" i="3"/>
  <c r="X32" i="3"/>
  <c r="Y31" i="3"/>
  <c r="X28" i="3"/>
  <c r="Y32" i="3"/>
  <c r="Z22" i="3"/>
  <c r="X21" i="3"/>
  <c r="Z23" i="3"/>
  <c r="X22" i="3"/>
  <c r="Z24" i="3"/>
  <c r="X23" i="3"/>
  <c r="Y21" i="3"/>
  <c r="X24" i="3"/>
  <c r="Y22" i="3"/>
  <c r="X20" i="3"/>
  <c r="Y24" i="3"/>
  <c r="Y20" i="3"/>
  <c r="Y23" i="3"/>
  <c r="Z21" i="3"/>
  <c r="Z20" i="3"/>
  <c r="P13" i="3"/>
  <c r="O13" i="3"/>
  <c r="P8" i="3"/>
  <c r="O8" i="3"/>
  <c r="O11" i="3"/>
  <c r="P11" i="3"/>
  <c r="O20" i="3"/>
  <c r="P20" i="3"/>
  <c r="P16" i="3"/>
  <c r="O16" i="3"/>
  <c r="O15" i="3"/>
  <c r="P15" i="3"/>
  <c r="P21" i="3"/>
  <c r="O21" i="3"/>
  <c r="P6" i="3"/>
  <c r="O6" i="3"/>
  <c r="P9" i="3"/>
  <c r="O9" i="3"/>
  <c r="O12" i="3"/>
  <c r="P12" i="3"/>
  <c r="O23" i="3"/>
  <c r="P23" i="3"/>
  <c r="O19" i="3"/>
  <c r="P19" i="3"/>
  <c r="P14" i="3"/>
  <c r="O14" i="3"/>
  <c r="P17" i="3"/>
  <c r="O17" i="3"/>
  <c r="P22" i="3"/>
  <c r="O22" i="3"/>
  <c r="O10" i="3"/>
  <c r="P10" i="3"/>
  <c r="O5" i="3"/>
  <c r="O7" i="3"/>
  <c r="P7" i="3"/>
  <c r="O18" i="3"/>
  <c r="P18" i="3"/>
  <c r="P5" i="3"/>
  <c r="Z9" i="3" l="1"/>
  <c r="X7" i="3"/>
  <c r="Y6" i="3"/>
  <c r="Y7" i="3"/>
  <c r="X9" i="3"/>
  <c r="Y8" i="3"/>
  <c r="X5" i="3"/>
  <c r="Y9" i="3"/>
  <c r="Z6" i="3"/>
  <c r="Y5" i="3"/>
  <c r="Z7" i="3"/>
  <c r="Z5" i="3"/>
  <c r="X8" i="3"/>
  <c r="Z8" i="3"/>
  <c r="X6" i="3"/>
  <c r="Z14" i="3"/>
  <c r="Y13" i="3"/>
  <c r="Z13" i="3"/>
  <c r="Z16" i="3"/>
  <c r="X14" i="3"/>
  <c r="Z17" i="3"/>
  <c r="X15" i="3"/>
  <c r="Y14" i="3"/>
  <c r="X16" i="3"/>
  <c r="Y15" i="3"/>
  <c r="X17" i="3"/>
  <c r="Y16" i="3"/>
  <c r="X13" i="3"/>
  <c r="Z15" i="3"/>
  <c r="Y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<sst xmlns="http://schemas.openxmlformats.org/spreadsheetml/2006/main" count="1166" uniqueCount="140">
  <si>
    <t>Region</t>
  </si>
  <si>
    <t>Country</t>
  </si>
  <si>
    <t>Item Type</t>
  </si>
  <si>
    <t>Sales Channel</t>
  </si>
  <si>
    <t>Order Priority</t>
  </si>
  <si>
    <t>Order Date</t>
  </si>
  <si>
    <t>Year_Order</t>
  </si>
  <si>
    <t>Order ID</t>
  </si>
  <si>
    <t>Ship Date</t>
  </si>
  <si>
    <t>Year_Ship</t>
  </si>
  <si>
    <t>Units Sold</t>
  </si>
  <si>
    <t>Unit Price</t>
  </si>
  <si>
    <t>Unit Cost</t>
  </si>
  <si>
    <t>Unit Profit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</si>
  <si>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</si>
  <si>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</si>
  <si>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</si>
  <si>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</si>
  <si>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</si>
  <si>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</si>
  <si>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</si>
  <si>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</si>
  <si>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</si>
  <si>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</si>
  <si>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</si>
  <si>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</si>
  <si>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</si>
  <si>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</si>
  <si>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</si>
  <si>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</si>
  <si>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</si>
  <si>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</si>
  <si>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</si>
  <si>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</si>
  <si>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</si>
  <si>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</si>
  <si>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</si>
  <si>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</si>
  <si>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</si>
  <si>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</si>
  <si>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</si>
  <si>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</si>
  <si>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</si>
  <si>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</si>
  <si>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</si>
  <si>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</si>
  <si>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</si>
  <si>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</si>
  <si>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</si>
  <si>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</si>
  <si>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</si>
  <si>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</si>
  <si>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</si>
  <si>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</si>
  <si>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</si>
  <si>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</si>
  <si>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</si>
  <si>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</si>
  <si>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</si>
  <si>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</si>
  <si>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</si>
  <si>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</si>
  <si>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</si>
  <si>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</si>
  <si>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</si>
  <si>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</si>
  <si>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</si>
  <si>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</si>
  <si>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</si>
  <si>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</si>
  <si>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</si>
  <si>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</si>
  <si>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</si>
  <si>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</si>
  <si>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</si>
  <si>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</si>
  <si>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</si>
  <si>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</si>
  <si>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</si>
  <si>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</si>
  <si>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</si>
  <si>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</si>
  <si>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</si>
  <si>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</si>
  <si>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</si>
  <si>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</si>
  <si>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</si>
  <si>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</si>
  <si>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</si>
  <si>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</si>
  <si>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</si>
  <si>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</si>
  <si>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</si>
  <si>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</si>
  <si>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</si>
  <si>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</si>
  <si>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</si>
  <si>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</si>
  <si>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</si>
  <si>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</si>
  <si>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</si>
  <si>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</si>
  <si>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</si>
  <si>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</si>
  <si>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</si>
  <si>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</si>
  <si>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</si>
  <si>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</si>
  <si>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</si>
  <si>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</si>
  <si>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</si>
  <si>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</si>
  <si>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</si>
  <si>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</si>
  <si>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</si>
  <si>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</si>
  <si>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</si>
  <si>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</si>
  <si>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KPI</t>
  </si>
  <si>
    <t>Year</t>
  </si>
  <si>
    <t>Revenue</t>
  </si>
  <si>
    <t>Profit</t>
  </si>
  <si>
    <t>Total Revenue By Region</t>
  </si>
  <si>
    <t>Total Profit by Region</t>
  </si>
  <si>
    <t>SubSharan Africa</t>
  </si>
  <si>
    <t>Contribution of Countries</t>
  </si>
  <si>
    <t>Countries in Europe</t>
  </si>
  <si>
    <t>Rank</t>
  </si>
  <si>
    <t>Rank(+)</t>
  </si>
  <si>
    <t>Product Performace</t>
  </si>
  <si>
    <t>Rank(-)</t>
  </si>
  <si>
    <t>Countries in Africa</t>
  </si>
  <si>
    <t>Top/Bottom performing Countries</t>
  </si>
  <si>
    <t>Yearly Performance</t>
  </si>
  <si>
    <t>YOY%</t>
  </si>
  <si>
    <t>online</t>
  </si>
  <si>
    <t>offline</t>
  </si>
  <si>
    <t>Item Types</t>
  </si>
  <si>
    <t xml:space="preserve">Countries </t>
  </si>
  <si>
    <t>ItemType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</si>
</sst>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dd/mm/yyyy;@"/>
    <numFmt numFmtId="165" formatCode="&quot;$&quot;#,##0.00"/>
    <numFmt numFmtId="166" formatCode="_(&quot;$&quot;* #,##0_);_(&quot;$&quot;* \(#,##0\);_(&quot;$&quot;* &quot;-&quot;??_);_(@_)"/>
    <numFmt numFmtId="167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Alignment="1"/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NumberFormat="1" applyFont="1" applyFill="1" applyAlignment="1">
      <alignment horizontal="centerContinuous"/>
    </xf>
    <xf numFmtId="166" fontId="4" fillId="4" borderId="0" xfId="1" applyNumberFormat="1" applyFont="1" applyFill="1" applyAlignment="1">
      <alignment horizontal="centerContinuous"/>
    </xf>
    <xf numFmtId="0" fontId="0" fillId="5" borderId="0" xfId="0" applyFill="1"/>
    <xf numFmtId="0" fontId="3" fillId="5" borderId="0" xfId="0" applyFont="1" applyFill="1"/>
    <xf numFmtId="167" fontId="0" fillId="0" borderId="0" xfId="0" applyNumberFormat="1"/>
    <xf numFmtId="167" fontId="3" fillId="5" borderId="0" xfId="0" applyNumberFormat="1" applyFont="1" applyFill="1"/>
    <xf numFmtId="0" fontId="0" fillId="0" borderId="0" xfId="0" applyAlignment="1">
      <alignment horizontal="centerContinuous"/>
    </xf>
    <xf numFmtId="166" fontId="0" fillId="0" borderId="0" xfId="1" applyNumberFormat="1" applyFont="1"/>
    <xf numFmtId="0" fontId="3" fillId="3" borderId="0" xfId="0" applyFont="1" applyFill="1" applyAlignment="1">
      <alignment horizontal="centerContinuous"/>
    </xf>
    <xf numFmtId="0" fontId="0" fillId="3" borderId="0" xfId="0" applyFill="1"/>
    <xf numFmtId="0" fontId="3" fillId="3" borderId="0" xfId="0" applyFont="1" applyFill="1"/>
    <xf numFmtId="1" fontId="0" fillId="0" borderId="0" xfId="1" applyNumberFormat="1" applyFont="1"/>
    <xf numFmtId="167" fontId="0" fillId="0" borderId="0" xfId="1" applyNumberFormat="1" applyFont="1"/>
    <xf numFmtId="0" fontId="3" fillId="4" borderId="0" xfId="0" applyFont="1" applyFill="1"/>
    <xf numFmtId="0" fontId="3" fillId="6" borderId="0" xfId="0" applyFont="1" applyFill="1" applyAlignment="1">
      <alignment horizontal="centerContinuous"/>
    </xf>
    <xf numFmtId="166" fontId="3" fillId="7" borderId="0" xfId="1" applyNumberFormat="1" applyFont="1" applyFill="1"/>
    <xf numFmtId="9" fontId="0" fillId="0" borderId="0" xfId="2" applyFont="1"/>
    <xf numFmtId="0" fontId="3" fillId="7" borderId="0" xfId="0" applyFont="1" applyFill="1"/>
    <xf numFmtId="1" fontId="0" fillId="0" borderId="0" xfId="0" applyNumberFormat="1"/>
    <xf numFmtId="165" fontId="0" fillId="0" borderId="0" xfId="1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4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30" formatCode="@"/>
    </dxf>
    <dxf>
      <numFmt numFmtId="164" formatCode="dd/mm/yyyy;@"/>
    </dxf>
    <dxf>
      <numFmt numFmtId="0" formatCode="General"/>
    </dxf>
    <dxf>
      <numFmt numFmtId="30" formatCode="@"/>
    </dxf>
    <dxf>
      <numFmt numFmtId="164" formatCode="dd/mm/yy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30" formatCode="@"/>
    </dxf>
    <dxf>
      <numFmt numFmtId="164" formatCode="dd/mm/yyyy;@"/>
    </dxf>
    <dxf>
      <numFmt numFmtId="0" formatCode="General"/>
    </dxf>
    <dxf>
      <numFmt numFmtId="30" formatCode="@"/>
    </dxf>
    <dxf>
      <numFmt numFmtId="164" formatCode="dd/mm/yy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99007745982971"/>
          <c:y val="2.4402161812035708E-2"/>
          <c:w val="0.84500966647461762"/>
          <c:h val="0.910782745987085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Prep'!$AF$2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Prep'!$AE$3:$AE$10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'Data Prep'!$AF$3:$AF$10</c:f>
              <c:numCache>
                <c:formatCode>_("$"* #,##0_);_("$"* \(#,##0\);_("$"* "-"??_);_(@_)</c:formatCode>
                <c:ptCount val="8"/>
                <c:pt idx="0">
                  <c:v>16604238.529999999</c:v>
                </c:pt>
                <c:pt idx="1">
                  <c:v>11459719.49</c:v>
                </c:pt>
                <c:pt idx="2">
                  <c:v>34149877.489999995</c:v>
                </c:pt>
                <c:pt idx="3">
                  <c:v>20156772.41</c:v>
                </c:pt>
                <c:pt idx="4">
                  <c:v>16803890.68</c:v>
                </c:pt>
                <c:pt idx="5">
                  <c:v>12427982.860000001</c:v>
                </c:pt>
                <c:pt idx="6">
                  <c:v>12372867.219999999</c:v>
                </c:pt>
                <c:pt idx="7">
                  <c:v>13373419.629999999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3-45B1-866E-27D4B6F4E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81161472"/>
        <c:axId val="381160640"/>
      </c:barChart>
      <c:catAx>
        <c:axId val="38116147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"/>
              <c:y val="0.169345270197389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60640"/>
        <c:crosses val="autoZero"/>
        <c:auto val="1"/>
        <c:lblAlgn val="ctr"/>
        <c:lblOffset val="100"/>
        <c:noMultiLvlLbl val="0"/>
      </c:catAx>
      <c:valAx>
        <c:axId val="381160640"/>
        <c:scaling>
          <c:orientation val="minMax"/>
        </c:scaling>
        <c:delete val="1"/>
        <c:axPos val="t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38116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37490474980954E-3"/>
          <c:y val="8.4428581941276032E-2"/>
          <c:w val="0.9687934975869954"/>
          <c:h val="0.8864460225182132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Prep'!$AI$1</c:f>
              <c:strCache>
                <c:ptCount val="1"/>
                <c:pt idx="0">
                  <c:v>YOY%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826-4808-B3C3-3AAB2BF29C9B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26-4808-B3C3-3AAB2BF29C9B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826-4808-B3C3-3AAB2BF29C9B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826-4808-B3C3-3AAB2BF29C9B}"/>
              </c:ext>
            </c:extLst>
          </c:dPt>
          <c:dPt>
            <c:idx val="7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826-4808-B3C3-3AAB2BF29C9B}"/>
              </c:ext>
            </c:extLst>
          </c:dPt>
          <c:dLbls>
            <c:dLbl>
              <c:idx val="0"/>
              <c:layout>
                <c:manualLayout>
                  <c:x val="-6.003598340530017E-2"/>
                  <c:y val="1.4912908613696016E-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826-4808-B3C3-3AAB2BF29C9B}"/>
                </c:ext>
              </c:extLst>
            </c:dLbl>
            <c:dLbl>
              <c:idx val="1"/>
              <c:layout>
                <c:manualLayout>
                  <c:x val="-2.0697866395732793E-2"/>
                  <c:y val="6.314622603992682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26-4808-B3C3-3AAB2BF29C9B}"/>
                </c:ext>
              </c:extLst>
            </c:dLbl>
            <c:dLbl>
              <c:idx val="2"/>
              <c:layout>
                <c:manualLayout>
                  <c:x val="-2.2401433691756435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826-4808-B3C3-3AAB2BF29C9B}"/>
                </c:ext>
              </c:extLst>
            </c:dLbl>
            <c:dLbl>
              <c:idx val="3"/>
              <c:layout>
                <c:manualLayout>
                  <c:x val="-2.1597804306719724E-2"/>
                  <c:y val="1.223405312972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26-4808-B3C3-3AAB2BF29C9B}"/>
                </c:ext>
              </c:extLst>
            </c:dLbl>
            <c:dLbl>
              <c:idx val="4"/>
              <c:layout>
                <c:manualLayout>
                  <c:x val="-1.0458823695425168E-2"/>
                  <c:y val="6.119263501153264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826-4808-B3C3-3AAB2BF29C9B}"/>
                </c:ext>
              </c:extLst>
            </c:dLbl>
            <c:dLbl>
              <c:idx val="5"/>
              <c:layout>
                <c:manualLayout>
                  <c:x val="-1.3996486326305966E-2"/>
                  <c:y val="-3.36484928020349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826-4808-B3C3-3AAB2BF29C9B}"/>
                </c:ext>
              </c:extLst>
            </c:dLbl>
            <c:dLbl>
              <c:idx val="6"/>
              <c:layout>
                <c:manualLayout>
                  <c:x val="-7.9210763977083515E-2"/>
                  <c:y val="9.259922055197645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826-4808-B3C3-3AAB2BF29C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Prep'!$AH$2:$AH$9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'Data Prep'!$AI$2:$AI$9</c:f>
              <c:numCache>
                <c:formatCode>0%</c:formatCode>
                <c:ptCount val="8"/>
                <c:pt idx="0">
                  <c:v>0</c:v>
                </c:pt>
                <c:pt idx="1">
                  <c:v>-0.30983167524997002</c:v>
                </c:pt>
                <c:pt idx="2">
                  <c:v>1.9799924439511731</c:v>
                </c:pt>
                <c:pt idx="3">
                  <c:v>-0.40975564507069029</c:v>
                </c:pt>
                <c:pt idx="4">
                  <c:v>-0.16634020872987573</c:v>
                </c:pt>
                <c:pt idx="5">
                  <c:v>-0.26041039562392576</c:v>
                </c:pt>
                <c:pt idx="6">
                  <c:v>-4.4348017390170788E-3</c:v>
                </c:pt>
                <c:pt idx="7">
                  <c:v>8.0866657033437414E-2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826-4808-B3C3-3AAB2BF29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91435280"/>
        <c:axId val="391435696"/>
      </c:barChart>
      <c:catAx>
        <c:axId val="391435280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extTo"/>
        <c:crossAx val="391435696"/>
        <c:crosses val="autoZero"/>
        <c:auto val="1"/>
        <c:lblAlgn val="ctr"/>
        <c:lblOffset val="100"/>
        <c:noMultiLvlLbl val="0"/>
      </c:catAx>
      <c:valAx>
        <c:axId val="391435696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39143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8338757655293088"/>
          <c:y val="4.6027850337323595E-2"/>
          <c:w val="0.5991493938468484"/>
          <c:h val="0.953972149662676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Prep'!$G$2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Prep'!$F$3:$F$9</c:f>
              <c:strCache>
                <c:ptCount val="7"/>
                <c:pt idx="0">
                  <c:v>Sub-Saharan Africa</c:v>
                </c:pt>
                <c:pt idx="1">
                  <c:v>Europe</c:v>
                </c:pt>
                <c:pt idx="2">
                  <c:v>Asia</c:v>
                </c:pt>
                <c:pt idx="3">
                  <c:v>Australia and Oceania</c:v>
                </c:pt>
                <c:pt idx="4">
                  <c:v>Middle East and North Africa</c:v>
                </c:pt>
                <c:pt idx="5">
                  <c:v>Central America and the Caribbean</c:v>
                </c:pt>
                <c:pt idx="6">
                  <c:v>North America</c:v>
                </c:pt>
              </c:strCache>
            </c:strRef>
          </c:cat>
          <c:val>
            <c:numRef>
              <c:f>'Data Prep'!$G$3:$G$9</c:f>
              <c:numCache>
                <c:formatCode>"$"#,##0</c:formatCode>
                <c:ptCount val="7"/>
                <c:pt idx="0">
                  <c:v>39672031.430000007</c:v>
                </c:pt>
                <c:pt idx="1">
                  <c:v>33368932.109999999</c:v>
                </c:pt>
                <c:pt idx="2">
                  <c:v>21347091.020000003</c:v>
                </c:pt>
                <c:pt idx="3">
                  <c:v>14094265.130000003</c:v>
                </c:pt>
                <c:pt idx="4">
                  <c:v>14052706.58</c:v>
                </c:pt>
                <c:pt idx="5">
                  <c:v>9170385.4900000002</c:v>
                </c:pt>
                <c:pt idx="6">
                  <c:v>5643356.5500000007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9-4A18-B9AA-4282C30B2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02180032"/>
        <c:axId val="502193760"/>
      </c:barChart>
      <c:catAx>
        <c:axId val="5021800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93760"/>
        <c:crosses val="autoZero"/>
        <c:auto val="1"/>
        <c:lblAlgn val="ctr"/>
        <c:lblOffset val="100"/>
        <c:noMultiLvlLbl val="0"/>
      </c:catAx>
      <c:valAx>
        <c:axId val="502193760"/>
        <c:scaling>
          <c:orientation val="minMax"/>
        </c:scaling>
        <c:delete val="1"/>
        <c:axPos val="t"/>
        <c:numFmt formatCode="&quot;$&quot;#,##0" sourceLinked="1"/>
        <c:majorTickMark val="none"/>
        <c:minorTickMark val="none"/>
        <c:tickLblPos val="nextTo"/>
        <c:crossAx val="50218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8828557211017"/>
          <c:y val="6.8536001298806715E-2"/>
          <c:w val="0.82735025222218972"/>
          <c:h val="0.56778914317953244"/>
        </c:manualLayout>
      </c:layout>
      <c:lineChart>
        <c:grouping val="stacked"/>
        <c:varyColors val="0"/>
        <c:ser>
          <c:idx val="0"/>
          <c:order val="0"/>
          <c:tx>
            <c:strRef>
              <c:f>'Data Prep'!$AS$1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'Data Prep'!$AR$2:$AR$13</c:f>
              <c:strCache>
                <c:ptCount val="12"/>
                <c:pt idx="0">
                  <c:v>Baby Food</c:v>
                </c:pt>
                <c:pt idx="1">
                  <c:v>Cereal</c:v>
                </c:pt>
                <c:pt idx="2">
                  <c:v>Office Supplies</c:v>
                </c:pt>
                <c:pt idx="3">
                  <c:v>Fruits</c:v>
                </c:pt>
                <c:pt idx="4">
                  <c:v>Household</c:v>
                </c:pt>
                <c:pt idx="5">
                  <c:v>Vegetables</c:v>
                </c:pt>
                <c:pt idx="6">
                  <c:v>Personal Care</c:v>
                </c:pt>
                <c:pt idx="7">
                  <c:v>Clothes</c:v>
                </c:pt>
                <c:pt idx="8">
                  <c:v>Cosmetics</c:v>
                </c:pt>
                <c:pt idx="9">
                  <c:v>Beverages</c:v>
                </c:pt>
                <c:pt idx="10">
                  <c:v>Meat</c:v>
                </c:pt>
                <c:pt idx="11">
                  <c:v>Snacks</c:v>
                </c:pt>
              </c:strCache>
            </c:strRef>
          </c:cat>
          <c:val>
            <c:numRef>
              <c:f>'Data Prep'!$AS$2:$AS$13</c:f>
              <c:numCache>
                <c:formatCode>_("$"* #,##0_);_("$"* \(#,##0\);_("$"* "-"??_);_(@_)</c:formatCode>
                <c:ptCount val="12"/>
                <c:pt idx="0">
                  <c:v>2533654</c:v>
                </c:pt>
                <c:pt idx="1">
                  <c:v>0</c:v>
                </c:pt>
                <c:pt idx="2">
                  <c:v>5396577.2699999996</c:v>
                </c:pt>
                <c:pt idx="3">
                  <c:v>54319.26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1998731.2</c:v>
                </c:pt>
                <c:pt idx="8">
                  <c:v>6620956.7999999998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EB-4915-AD13-B25BD8C68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6541951"/>
        <c:axId val="1706519071"/>
      </c:lineChart>
      <c:catAx>
        <c:axId val="170654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19071"/>
        <c:crosses val="autoZero"/>
        <c:auto val="1"/>
        <c:lblAlgn val="ctr"/>
        <c:lblOffset val="100"/>
        <c:noMultiLvlLbl val="0"/>
      </c:catAx>
      <c:valAx>
        <c:axId val="17065190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Revenue</a:t>
                </a:r>
              </a:p>
            </c:rich>
          </c:tx>
          <c:layout>
            <c:manualLayout>
              <c:xMode val="edge"/>
              <c:yMode val="edge"/>
              <c:x val="4.1623198587165455E-2"/>
              <c:y val="4.65268476954399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4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636471116786078"/>
          <c:y val="6.0185185185185182E-2"/>
          <c:w val="0.63466971800938687"/>
          <c:h val="0.898148148148148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Prep'!$AP$1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Prep'!$AO$2:$AO$8</c:f>
              <c:strCache>
                <c:ptCount val="7"/>
                <c:pt idx="0">
                  <c:v>Sub-Saharan Africa</c:v>
                </c:pt>
                <c:pt idx="1">
                  <c:v>Europe</c:v>
                </c:pt>
                <c:pt idx="2">
                  <c:v>Asia</c:v>
                </c:pt>
                <c:pt idx="3">
                  <c:v>Australia and Oceania</c:v>
                </c:pt>
                <c:pt idx="4">
                  <c:v>Middle East and North Africa</c:v>
                </c:pt>
                <c:pt idx="5">
                  <c:v>Central America and the Caribbean</c:v>
                </c:pt>
                <c:pt idx="6">
                  <c:v>North America</c:v>
                </c:pt>
              </c:strCache>
            </c:strRef>
          </c:cat>
          <c:val>
            <c:numRef>
              <c:f>'Data Prep'!$AP$2:$AP$8</c:f>
              <c:numCache>
                <c:formatCode>_("$"* #,##0_);_("$"* \(#,##0\);_("$"* "-"??_);_(@_)</c:formatCode>
                <c:ptCount val="7"/>
                <c:pt idx="0">
                  <c:v>7968451.4800000004</c:v>
                </c:pt>
                <c:pt idx="1">
                  <c:v>3204354.65</c:v>
                </c:pt>
                <c:pt idx="2">
                  <c:v>8072701.5999999996</c:v>
                </c:pt>
                <c:pt idx="3">
                  <c:v>0</c:v>
                </c:pt>
                <c:pt idx="4">
                  <c:v>0</c:v>
                </c:pt>
                <c:pt idx="5">
                  <c:v>5997054.9800000004</c:v>
                </c:pt>
                <c:pt idx="6">
                  <c:v>4647149.58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B-4FDF-97BE-3457C6BF7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6007952"/>
        <c:axId val="746021264"/>
      </c:barChart>
      <c:catAx>
        <c:axId val="746007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021264"/>
        <c:crosses val="autoZero"/>
        <c:auto val="1"/>
        <c:lblAlgn val="ctr"/>
        <c:lblOffset val="100"/>
        <c:noMultiLvlLbl val="0"/>
      </c:catAx>
      <c:valAx>
        <c:axId val="746021264"/>
        <c:scaling>
          <c:orientation val="minMax"/>
        </c:scaling>
        <c:delete val="1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74600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'Data Prep'!$AL$1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35-4159-80CF-64F9FD11EE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35-4159-80CF-64F9FD11EE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Prep'!$AK$2:$AK$3</c:f>
              <c:strCache>
                <c:ptCount val="2"/>
                <c:pt idx="0">
                  <c:v>online</c:v>
                </c:pt>
                <c:pt idx="1">
                  <c:v>offline</c:v>
                </c:pt>
              </c:strCache>
            </c:strRef>
          </c:cat>
          <c:val>
            <c:numRef>
              <c:f>'Data Prep'!$AL$2:$AL$3</c:f>
              <c:numCache>
                <c:formatCode>_("$"* #,##0_);_("$"* \(#,##0\);_("$"* "-"??_);_(@_)</c:formatCode>
                <c:ptCount val="2"/>
                <c:pt idx="0">
                  <c:v>58253959.110000007</c:v>
                </c:pt>
                <c:pt idx="1">
                  <c:v>79094809.199999973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1-45FA-B436-927477B48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13</xdr:col>
      <xdr:colOff>146050</xdr:colOff>
      <xdr:row>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CCD6B7-BC7F-4AB7-9361-6C4D0D04DD55}"/>
            </a:ext>
          </a:extLst>
        </xdr:cNvPr>
        <xdr:cNvSpPr txBox="1"/>
      </xdr:nvSpPr>
      <xdr:spPr>
        <a:xfrm>
          <a:off x="0" y="76200"/>
          <a:ext cx="8070850" cy="463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Why</a:t>
          </a:r>
          <a:r>
            <a:rPr lang="en-US" sz="2000" b="1" baseline="0"/>
            <a:t> is </a:t>
          </a:r>
          <a:r>
            <a:rPr lang="en-US" sz="2000" b="1" baseline="0">
              <a:solidFill>
                <a:schemeClr val="tx1"/>
              </a:solidFill>
            </a:rPr>
            <a:t>revenue </a:t>
          </a:r>
          <a:r>
            <a:rPr lang="en-US" sz="2000" b="1" baseline="0">
              <a:solidFill>
                <a:srgbClr val="FF0000"/>
              </a:solidFill>
            </a:rPr>
            <a:t>declining</a:t>
          </a:r>
          <a:r>
            <a:rPr lang="en-US" sz="2000" b="1" baseline="0"/>
            <a:t> after 2012 when the </a:t>
          </a:r>
          <a:r>
            <a:rPr lang="en-US" sz="2000" b="1" baseline="0">
              <a:solidFill>
                <a:schemeClr val="accent1"/>
              </a:solidFill>
            </a:rPr>
            <a:t>highest</a:t>
          </a:r>
          <a:r>
            <a:rPr lang="en-US" sz="2000" b="1" baseline="0"/>
            <a:t> revenue was made?</a:t>
          </a:r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  <a:p>
          <a:endParaRPr lang="en-US" sz="2000" b="1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11</xdr:col>
      <xdr:colOff>400050</xdr:colOff>
      <xdr:row>6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B6CD98C-AF4B-4323-AAEF-103F74EECCB7}"/>
            </a:ext>
          </a:extLst>
        </xdr:cNvPr>
        <xdr:cNvSpPr txBox="1"/>
      </xdr:nvSpPr>
      <xdr:spPr>
        <a:xfrm>
          <a:off x="0" y="552450"/>
          <a:ext cx="7105650" cy="628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2012 recorded the </a:t>
          </a:r>
          <a:r>
            <a:rPr lang="en-US" sz="1200" b="1">
              <a:solidFill>
                <a:schemeClr val="accent1"/>
              </a:solidFill>
            </a:rPr>
            <a:t>highest</a:t>
          </a:r>
          <a:r>
            <a:rPr lang="en-US" sz="1200" b="1"/>
            <a:t> amount of revenue for the past 8years while</a:t>
          </a:r>
          <a:r>
            <a:rPr lang="en-US" sz="1200" b="1" baseline="0"/>
            <a:t> other years shows </a:t>
          </a:r>
          <a:r>
            <a:rPr lang="en-US" sz="1200" b="1" baseline="0">
              <a:solidFill>
                <a:srgbClr val="FF0000"/>
              </a:solidFill>
            </a:rPr>
            <a:t>decline</a:t>
          </a:r>
          <a:r>
            <a:rPr lang="en-US" sz="1200" b="1" baseline="0"/>
            <a:t> in revenue</a:t>
          </a:r>
          <a:endParaRPr lang="en-US" sz="1200" b="1"/>
        </a:p>
      </xdr:txBody>
    </xdr:sp>
    <xdr:clientData/>
  </xdr:twoCellAnchor>
  <xdr:twoCellAnchor>
    <xdr:from>
      <xdr:col>11</xdr:col>
      <xdr:colOff>495300</xdr:colOff>
      <xdr:row>3</xdr:row>
      <xdr:rowOff>19050</xdr:rowOff>
    </xdr:from>
    <xdr:to>
      <xdr:col>18</xdr:col>
      <xdr:colOff>158750</xdr:colOff>
      <xdr:row>4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3F48478-F7AD-4E62-B0C4-6E1F023A1D50}"/>
            </a:ext>
          </a:extLst>
        </xdr:cNvPr>
        <xdr:cNvSpPr txBox="1"/>
      </xdr:nvSpPr>
      <xdr:spPr>
        <a:xfrm>
          <a:off x="7200900" y="571500"/>
          <a:ext cx="3930650" cy="336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Regions with the</a:t>
          </a:r>
          <a:r>
            <a:rPr lang="en-US" sz="1100" b="1" baseline="0">
              <a:solidFill>
                <a:schemeClr val="accent1"/>
              </a:solidFill>
            </a:rPr>
            <a:t> highest </a:t>
          </a:r>
          <a:r>
            <a:rPr lang="en-US" sz="1100" b="1" baseline="0">
              <a:solidFill>
                <a:schemeClr val="dk1"/>
              </a:solidFill>
            </a:rPr>
            <a:t>R</a:t>
          </a:r>
          <a:r>
            <a:rPr lang="en-US" sz="1100" b="1" baseline="0"/>
            <a:t>evenue based on item type</a:t>
          </a:r>
          <a:endParaRPr lang="en-US" sz="1100" b="1"/>
        </a:p>
      </xdr:txBody>
    </xdr:sp>
    <xdr:clientData/>
  </xdr:twoCellAnchor>
  <xdr:twoCellAnchor>
    <xdr:from>
      <xdr:col>0</xdr:col>
      <xdr:colOff>0</xdr:colOff>
      <xdr:row>5</xdr:row>
      <xdr:rowOff>120650</xdr:rowOff>
    </xdr:from>
    <xdr:to>
      <xdr:col>6</xdr:col>
      <xdr:colOff>520700</xdr:colOff>
      <xdr:row>19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614EE1-82F6-4563-AF17-A327F8260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577850</xdr:colOff>
      <xdr:row>4</xdr:row>
      <xdr:rowOff>95250</xdr:rowOff>
    </xdr:from>
    <xdr:to>
      <xdr:col>9</xdr:col>
      <xdr:colOff>501650</xdr:colOff>
      <xdr:row>19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091D7C-4C27-459A-9BDF-2C2D539F4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469900</xdr:colOff>
      <xdr:row>21</xdr:row>
      <xdr:rowOff>165100</xdr:rowOff>
    </xdr:from>
    <xdr:to>
      <xdr:col>16</xdr:col>
      <xdr:colOff>374650</xdr:colOff>
      <xdr:row>36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AD4533-2BC7-48ED-AADB-FE4F618F1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</xdr:row>
      <xdr:rowOff>31750</xdr:rowOff>
    </xdr:from>
    <xdr:to>
      <xdr:col>9</xdr:col>
      <xdr:colOff>482600</xdr:colOff>
      <xdr:row>22</xdr:row>
      <xdr:rowOff>107950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4B220E9-6737-4130-8A08-FF7DE7BC7533}"/>
            </a:ext>
          </a:extLst>
        </xdr:cNvPr>
        <xdr:cNvSpPr txBox="1"/>
      </xdr:nvSpPr>
      <xdr:spPr>
        <a:xfrm>
          <a:off x="0" y="3714750"/>
          <a:ext cx="5969000" cy="444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10 Item</a:t>
          </a:r>
          <a:r>
            <a:rPr lang="en-US" sz="1100" b="1" baseline="0"/>
            <a:t> types were sold in 2012, which is the highest number of item type sold for  period in review</a:t>
          </a:r>
          <a:endParaRPr lang="en-US" sz="1100" b="1"/>
        </a:p>
      </xdr:txBody>
    </xdr:sp>
    <xdr:clientData/>
  </xdr:twoCellAnchor>
  <xdr:twoCellAnchor>
    <xdr:from>
      <xdr:col>0</xdr:col>
      <xdr:colOff>0</xdr:colOff>
      <xdr:row>21</xdr:row>
      <xdr:rowOff>165100</xdr:rowOff>
    </xdr:from>
    <xdr:to>
      <xdr:col>9</xdr:col>
      <xdr:colOff>234950</xdr:colOff>
      <xdr:row>37</xdr:row>
      <xdr:rowOff>31750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793A41D-DEFC-4E77-BA4E-1698726DBD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260350</xdr:colOff>
      <xdr:row>5</xdr:row>
      <xdr:rowOff>69850</xdr:rowOff>
    </xdr:from>
    <xdr:to>
      <xdr:col>18</xdr:col>
      <xdr:colOff>76200</xdr:colOff>
      <xdr:row>19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492FD40-C6E9-4CEC-A3A2-709F713AD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450850</xdr:colOff>
      <xdr:row>20</xdr:row>
      <xdr:rowOff>38100</xdr:rowOff>
    </xdr:from>
    <xdr:to>
      <xdr:col>16</xdr:col>
      <xdr:colOff>317500</xdr:colOff>
      <xdr:row>22</xdr:row>
      <xdr:rowOff>107950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D1D4397-008D-42DE-AD29-C48B3EBA3E45}"/>
            </a:ext>
          </a:extLst>
        </xdr:cNvPr>
        <xdr:cNvSpPr txBox="1"/>
      </xdr:nvSpPr>
      <xdr:spPr>
        <a:xfrm>
          <a:off x="5937250" y="3721100"/>
          <a:ext cx="4133850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Sub-saharan</a:t>
          </a:r>
          <a:r>
            <a:rPr lang="en-US" sz="1100" b="1" baseline="0"/>
            <a:t> Africa and Europe got the </a:t>
          </a:r>
          <a:r>
            <a:rPr lang="en-US" sz="1100" b="1" baseline="0">
              <a:solidFill>
                <a:schemeClr val="accent1"/>
              </a:solidFill>
            </a:rPr>
            <a:t>highest</a:t>
          </a:r>
          <a:r>
            <a:rPr lang="en-US" sz="1100" b="1" baseline="0"/>
            <a:t> Revenue</a:t>
          </a:r>
          <a:endParaRPr lang="en-US" sz="1100" b="1"/>
        </a:p>
      </xdr:txBody>
    </xdr:sp>
    <xdr:clientData/>
  </xdr:twoCellAnchor>
  <xdr:twoCellAnchor>
    <xdr:from>
      <xdr:col>16</xdr:col>
      <xdr:colOff>533400</xdr:colOff>
      <xdr:row>2</xdr:row>
      <xdr:rowOff>133350</xdr:rowOff>
    </xdr:from>
    <xdr:to>
      <xdr:col>22</xdr:col>
      <xdr:colOff>584200</xdr:colOff>
      <xdr:row>4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07AF2B9-5989-4032-A41D-AFC19FCBEF65}"/>
            </a:ext>
          </a:extLst>
        </xdr:cNvPr>
        <xdr:cNvSpPr txBox="1"/>
      </xdr:nvSpPr>
      <xdr:spPr>
        <a:xfrm>
          <a:off x="10287000" y="501650"/>
          <a:ext cx="3098800" cy="349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1"/>
              </a:solidFill>
            </a:rPr>
            <a:t>Top</a:t>
          </a:r>
          <a:r>
            <a:rPr lang="en-US" sz="1100" b="1" baseline="0"/>
            <a:t> Performing Countries in Europe</a:t>
          </a:r>
          <a:endParaRPr lang="en-US" sz="1100" b="1"/>
        </a:p>
      </xdr:txBody>
    </xdr:sp>
    <xdr:clientData/>
  </xdr:twoCellAnchor>
  <xdr:twoCellAnchor>
    <xdr:from>
      <xdr:col>16</xdr:col>
      <xdr:colOff>577850</xdr:colOff>
      <xdr:row>11</xdr:row>
      <xdr:rowOff>38100</xdr:rowOff>
    </xdr:from>
    <xdr:to>
      <xdr:col>23</xdr:col>
      <xdr:colOff>146050</xdr:colOff>
      <xdr:row>12</xdr:row>
      <xdr:rowOff>158750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9A6A5A-ABB9-4FC1-A3E5-47223D6AA67F}"/>
            </a:ext>
          </a:extLst>
        </xdr:cNvPr>
        <xdr:cNvSpPr txBox="1"/>
      </xdr:nvSpPr>
      <xdr:spPr>
        <a:xfrm>
          <a:off x="10331450" y="2063750"/>
          <a:ext cx="45021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Bottom</a:t>
          </a:r>
          <a:r>
            <a:rPr lang="en-US" sz="1100" b="1"/>
            <a:t> Performing Countries in</a:t>
          </a:r>
          <a:r>
            <a:rPr lang="en-US" sz="1100" b="1" baseline="0"/>
            <a:t> Europe</a:t>
          </a:r>
          <a:endParaRPr lang="en-US" sz="1100" b="1"/>
        </a:p>
      </xdr:txBody>
    </xdr:sp>
    <xdr:clientData/>
  </xdr:twoCellAnchor>
  <xdr:twoCellAnchor>
    <xdr:from>
      <xdr:col>18</xdr:col>
      <xdr:colOff>342900</xdr:colOff>
      <xdr:row>20</xdr:row>
      <xdr:rowOff>69850</xdr:rowOff>
    </xdr:from>
    <xdr:to>
      <xdr:col>22</xdr:col>
      <xdr:colOff>336550</xdr:colOff>
      <xdr:row>21</xdr:row>
      <xdr:rowOff>146050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B0538CA-9E8B-4E78-B893-AEE5A566C345}"/>
            </a:ext>
          </a:extLst>
        </xdr:cNvPr>
        <xdr:cNvSpPr txBox="1"/>
      </xdr:nvSpPr>
      <xdr:spPr>
        <a:xfrm>
          <a:off x="10706100" y="3752850"/>
          <a:ext cx="3708400" cy="260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1"/>
              </a:solidFill>
            </a:rPr>
            <a:t>Top</a:t>
          </a:r>
          <a:r>
            <a:rPr lang="en-US" sz="1100" b="1"/>
            <a:t> 5 Performing Countries</a:t>
          </a:r>
          <a:r>
            <a:rPr lang="en-US" sz="1100" b="1" baseline="0"/>
            <a:t> in Sub Saharah Africa</a:t>
          </a:r>
          <a:endParaRPr lang="en-US" sz="1100" b="1"/>
        </a:p>
      </xdr:txBody>
    </xdr:sp>
    <xdr:clientData/>
  </xdr:twoCellAnchor>
  <xdr:twoCellAnchor>
    <xdr:from>
      <xdr:col>19</xdr:col>
      <xdr:colOff>12700</xdr:colOff>
      <xdr:row>29</xdr:row>
      <xdr:rowOff>25400</xdr:rowOff>
    </xdr:from>
    <xdr:to>
      <xdr:col>22</xdr:col>
      <xdr:colOff>292100</xdr:colOff>
      <xdr:row>30</xdr:row>
      <xdr:rowOff>120650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10D5083-839E-4A78-A092-376D62BCEA6B}"/>
            </a:ext>
          </a:extLst>
        </xdr:cNvPr>
        <xdr:cNvSpPr txBox="1"/>
      </xdr:nvSpPr>
      <xdr:spPr>
        <a:xfrm>
          <a:off x="10915650" y="5365750"/>
          <a:ext cx="34544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Bottom</a:t>
          </a:r>
          <a:r>
            <a:rPr lang="en-US" sz="1100" b="1"/>
            <a:t> 5 Performing Countries in Sub Saharan Africa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</xdr:row>
      <xdr:rowOff>114300</xdr:rowOff>
    </xdr:from>
    <xdr:to>
      <xdr:col>3</xdr:col>
      <xdr:colOff>190500</xdr:colOff>
      <xdr:row>5</xdr:row>
      <xdr:rowOff>101600</xdr:rowOff>
    </xdr:to>
    <xdr:sp macro="" textlink="$C$3:$D$3">
      <xdr:nvSpPr>
        <xdr:cNvPr id="2" name="TextBox 1">
          <a:extLst>
            <a:ext uri="{FF2B5EF4-FFF2-40B4-BE49-F238E27FC236}">
              <a16:creationId xmlns:a16="http://schemas.microsoft.com/office/drawing/2014/main" id="{8FC9E467-2E3C-4EB6-82FF-1BD723C83680}"/>
            </a:ext>
          </a:extLst>
        </xdr:cNvPr>
        <xdr:cNvSpPr txBox="1"/>
      </xdr:nvSpPr>
      <xdr:spPr>
        <a:xfrm>
          <a:off x="4559300" y="666750"/>
          <a:ext cx="8890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31B3546-C128-4F4C-89C2-7017E26C8EA2}" type="TxLink">
            <a:rPr lang="en-US" sz="1100" b="1" i="0" u="none" strike="noStrike">
              <a:solidFill>
                <a:srgbClr val="548235"/>
              </a:solidFill>
              <a:latin typeface="Calibri"/>
              <a:ea typeface="Calibri"/>
              <a:cs typeface="Calibri"/>
            </a:rPr>
            <a:pPr/>
            <a:t> $-   </a:t>
          </a:fld>
          <a:endParaRPr lang="en-US" sz="1100"/>
        </a:p>
      </xdr:txBody>
    </xdr:sp>
    <xdr:clientData/>
  </xdr:twoCellAnchor>
  <xdr:oneCellAnchor>
    <xdr:from>
      <xdr:col>2</xdr:col>
      <xdr:colOff>412750</xdr:colOff>
      <xdr:row>8</xdr:row>
      <xdr:rowOff>44450</xdr:rowOff>
    </xdr:from>
    <xdr:ext cx="1022350" cy="469900"/>
    <xdr:sp macro="" textlink="$C$9">
      <xdr:nvSpPr>
        <xdr:cNvPr id="6" name="TextBox 5">
          <a:extLst>
            <a:ext uri="{FF2B5EF4-FFF2-40B4-BE49-F238E27FC236}">
              <a16:creationId xmlns:a16="http://schemas.microsoft.com/office/drawing/2014/main" id="{A197B5AE-9EC2-4C55-8BF6-BE0AE8650830}"/>
            </a:ext>
          </a:extLst>
        </xdr:cNvPr>
        <xdr:cNvSpPr txBox="1"/>
      </xdr:nvSpPr>
      <xdr:spPr>
        <a:xfrm>
          <a:off x="4743450" y="1517650"/>
          <a:ext cx="1022350" cy="469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fld id="{887873E1-62E9-4DAF-AF17-1939E8CA3FDA}" type="TxLink">
            <a:rPr lang="en-US" sz="1100" b="1" i="0" u="none" strike="noStrike">
              <a:solidFill>
                <a:srgbClr val="548235"/>
              </a:solidFill>
              <a:latin typeface="Calibri"/>
              <a:ea typeface="Calibri"/>
              <a:cs typeface="Calibri"/>
            </a:rPr>
            <a:pPr/>
            <a:t> $5,987,980 </a:t>
          </a:fld>
          <a:endParaRPr lang="en-US" sz="1100"/>
        </a:p>
      </xdr:txBody>
    </xdr:sp>
    <xdr:clientData/>
  </xdr:oneCellAnchor>
  <xdr:twoCellAnchor>
    <xdr:from>
      <xdr:col>28</xdr:col>
      <xdr:colOff>123825</xdr:colOff>
      <xdr:row>13</xdr:row>
      <xdr:rowOff>63500</xdr:rowOff>
    </xdr:from>
    <xdr:to>
      <xdr:col>34</xdr:col>
      <xdr:colOff>282575</xdr:colOff>
      <xdr:row>28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79D8D3-E097-4478-B8CA-00ECD1293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0FF58-7BD8-4B31-8094-FCE449116D9E}" name="SylipTable" displayName="SylipTable" ref="A1:Q101" totalsRowShown="0" headerRowDxfId="40">
  <autoFilter ref="A1:Q101" xr:uid="{40E0FF58-7BD8-4B31-8094-FCE449116D9E}"/>
  <tableColumns count="17">
    <tableColumn id="1" xr3:uid="{479E2EDD-C19C-44A2-93C9-7BC8082E8805}" name="Region" dataDxfId="39"/>
    <tableColumn id="2" xr3:uid="{A44575A1-D70A-43A4-9A45-F55635AA3C18}" name="Country" dataDxfId="38"/>
    <tableColumn id="3" xr3:uid="{67ADC537-EDA5-43A7-A9F6-994D503FB405}" name="Item Type" dataDxfId="37"/>
    <tableColumn id="4" xr3:uid="{E43581A9-526B-45BE-B20F-1552EF0278E5}" name="Sales Channel" dataDxfId="36"/>
    <tableColumn id="5" xr3:uid="{38E6AF44-ED7F-4734-82A9-FB4C2395FE14}" name="Order Priority" dataDxfId="35"/>
    <tableColumn id="6" xr3:uid="{4CF48741-CE2F-432E-837D-F703FCF0DAA4}" name="Order Date" dataDxfId="34"/>
    <tableColumn id="7" xr3:uid="{246DAEC5-F8DF-44DD-A326-DF245BCC1D7C}" name="Year_Order" dataDxfId="33">
      <calculatedColumnFormula>YEAR(F2)</calculatedColumnFormula>
    </tableColumn>
    <tableColumn id="8" xr3:uid="{DBD5FCA4-DB67-46A0-9EF9-42252B369DCA}" name="Order ID" dataDxfId="32"/>
    <tableColumn id="9" xr3:uid="{217C3FE5-2E19-4468-8824-1D6A0EC95532}" name="Ship Date" dataDxfId="31"/>
    <tableColumn id="10" xr3:uid="{7436545B-61FE-45EE-92F8-1F0D130241E9}" name="Year_Ship" dataDxfId="30">
      <calculatedColumnFormula>YEAR(I2)</calculatedColumnFormula>
    </tableColumn>
    <tableColumn id="11" xr3:uid="{ED2856BA-4F57-4B35-9197-50D50B510ABE}" name="Units Sold" dataDxfId="29"/>
    <tableColumn id="12" xr3:uid="{C3F2F5FF-4C43-4837-BBAB-4584112BD3EB}" name="Unit Price" dataDxfId="28"/>
    <tableColumn id="13" xr3:uid="{485DC7FC-E4AF-4AC6-8F4E-DE524723FF36}" name="Unit Cost" dataDxfId="27"/>
    <tableColumn id="17" xr3:uid="{FD974677-891B-4BCA-960E-575F0F012EE8}" name="Unit Profit" dataDxfId="26">
      <calculatedColumnFormula>SylipTable[[#This Row],[Unit Price]]-SylipTable[[#This Row],[Unit Cost]]</calculatedColumnFormula>
    </tableColumn>
    <tableColumn id="14" xr3:uid="{65B4CA57-D50C-4667-9213-5745EB360E3C}" name="Total Revenue" dataDxfId="25"/>
    <tableColumn id="15" xr3:uid="{EEFFE6D2-6B10-4286-A325-318E19D6CC54}" name="Total Cost" dataDxfId="24"/>
    <tableColumn id="16" xr3:uid="{F0A7E5D2-857F-4BEA-8CC7-F125E6F4C36B}" name="Total Profit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8A794B-041A-45E5-80E3-2E5BB8FB949D}" name="SylipTable3" displayName="SylipTable3" ref="A1:Q101" totalsRowShown="0" headerRowDxfId="22">
  <autoFilter ref="A1:Q101" xr:uid="{278A794B-041A-45E5-80E3-2E5BB8FB949D}"/>
  <tableColumns count="17">
    <tableColumn id="1" xr3:uid="{9C2AE96B-A72F-4847-B111-334FBF90D693}" name="Region" dataDxfId="21"/>
    <tableColumn id="2" xr3:uid="{B5EAB8AD-D1B5-4858-8106-3182201B0FB8}" name="Country" dataDxfId="20"/>
    <tableColumn id="3" xr3:uid="{6AE4FA1C-53EE-4059-8EB6-0B5EF0EEDADF}" name="Item Type" dataDxfId="19"/>
    <tableColumn id="4" xr3:uid="{2F40EEED-2F22-43F4-AF67-E2DEF1FF5284}" name="Sales Channel" dataDxfId="18"/>
    <tableColumn id="5" xr3:uid="{98C946AA-7B6A-4C7F-9A7A-6B3B74477F92}" name="Order Priority" dataDxfId="17"/>
    <tableColumn id="6" xr3:uid="{52E630C5-3AD7-4E3A-8DF1-C79046F61E75}" name="Order Date" dataDxfId="16"/>
    <tableColumn id="7" xr3:uid="{B67BC850-2517-438F-9103-8C745D0BB7F9}" name="Year_Order" dataDxfId="15">
      <calculatedColumnFormula>YEAR(F2)</calculatedColumnFormula>
    </tableColumn>
    <tableColumn id="8" xr3:uid="{DDFA3A64-C13C-4E2F-A8CF-85CAD414A8A4}" name="Order ID" dataDxfId="14"/>
    <tableColumn id="9" xr3:uid="{0D96A09E-8C7F-4953-B7C9-B7E54C6FA063}" name="Ship Date" dataDxfId="13"/>
    <tableColumn id="10" xr3:uid="{AC48BFC4-53CF-4648-9E8E-97991389890F}" name="Year_Ship" dataDxfId="12">
      <calculatedColumnFormula>YEAR(I2)</calculatedColumnFormula>
    </tableColumn>
    <tableColumn id="11" xr3:uid="{0FAB8130-352D-4A59-94C9-F302CEFEAD3E}" name="Units Sold" dataDxfId="11"/>
    <tableColumn id="12" xr3:uid="{3657C580-6DA0-4B77-96F4-4065DB61EB2F}" name="Unit Price" dataDxfId="10"/>
    <tableColumn id="13" xr3:uid="{60F63686-550F-4653-8A70-A8465501CEDC}" name="Unit Cost" dataDxfId="9"/>
    <tableColumn id="17" xr3:uid="{A6E76AB0-26FD-4922-8089-6D73F1571533}" name="Unit Profit" dataDxfId="8">
      <calculatedColumnFormula>SylipTable3[[#This Row],[Unit Price]]-SylipTable3[[#This Row],[Unit Cost]]</calculatedColumnFormula>
    </tableColumn>
    <tableColumn id="14" xr3:uid="{5846FA4C-C574-435A-9D17-C4F7EBF15DBB}" name="Total Revenue" dataDxfId="7"/>
    <tableColumn id="15" xr3:uid="{1C8C7A7F-8CEF-4808-B44F-D46F60686061}" name="Total Cost" dataDxfId="6"/>
    <tableColumn id="16" xr3:uid="{E4EB4AE3-A18A-4669-84FF-5B892225B0D0}" name="Total Profit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01EF-2E6D-4BA7-BA3F-DAAE6E5A47FA}">
  <dimension ref="N2:V37"/>
  <sheetViews>
    <sheetView showGridLines="0" tabSelected="1" zoomScale="80" zoomScaleNormal="80" workbookViewId="0">
      <selection activeCell="R2" sqref="R2"/>
    </sheetView>
  </sheetViews>
  <sheetFormatPr defaultRowHeight="14.4" x14ac:dyDescent="0.3"/>
  <cols>
    <col min="16" max="16" width="9.77734375" customWidth="1"/>
    <col min="17" max="17" width="13.21875" customWidth="1"/>
    <col min="19" max="19" width="7.77734375" customWidth="1"/>
    <col min="20" max="20" width="19.21875" customWidth="1"/>
    <col min="21" max="22" width="13.6640625" bestFit="1" customWidth="1"/>
  </cols>
  <sheetData>
    <row r="2" spans="14:22" x14ac:dyDescent="0.3">
      <c r="N2" s="32" t="s">
        <v>119</v>
      </c>
      <c r="O2">
        <v>2010</v>
      </c>
      <c r="P2" s="32" t="s">
        <v>139</v>
      </c>
      <c r="Q2" t="s">
        <v>37</v>
      </c>
    </row>
    <row r="6" spans="14:22" x14ac:dyDescent="0.3">
      <c r="S6" s="31" t="s">
        <v>127</v>
      </c>
      <c r="T6" s="31" t="s">
        <v>138</v>
      </c>
      <c r="U6" s="31" t="s">
        <v>120</v>
      </c>
      <c r="V6" s="31" t="s">
        <v>121</v>
      </c>
    </row>
    <row r="7" spans="14:22" x14ac:dyDescent="0.3">
      <c r="S7" s="29">
        <f>'Data Prep'!W5</f>
        <v>1</v>
      </c>
      <c r="T7" s="29" t="str">
        <f>'Data Prep'!X5</f>
        <v>Lithuania</v>
      </c>
      <c r="U7" s="30">
        <f>'Data Prep'!Y5</f>
        <v>5396577.2699999996</v>
      </c>
      <c r="V7" s="30">
        <f>'Data Prep'!Z5</f>
        <v>1046233.75</v>
      </c>
    </row>
    <row r="8" spans="14:22" x14ac:dyDescent="0.3">
      <c r="S8" s="29">
        <f>'Data Prep'!W6</f>
        <v>2</v>
      </c>
      <c r="T8" s="29" t="str">
        <f>'Data Prep'!X6</f>
        <v>Iceland</v>
      </c>
      <c r="U8" s="30">
        <f>'Data Prep'!Y6</f>
        <v>3876652.4</v>
      </c>
      <c r="V8" s="30">
        <f>'Data Prep'!Z6</f>
        <v>1541705.29</v>
      </c>
    </row>
    <row r="9" spans="14:22" x14ac:dyDescent="0.3">
      <c r="S9" s="29">
        <f>'Data Prep'!W7</f>
        <v>3</v>
      </c>
      <c r="T9" s="29" t="str">
        <f>'Data Prep'!X7</f>
        <v>Switzerland</v>
      </c>
      <c r="U9" s="30">
        <f>'Data Prep'!Y7</f>
        <v>3808901.49</v>
      </c>
      <c r="V9" s="30">
        <f>'Data Prep'!Z7</f>
        <v>1512729.45</v>
      </c>
    </row>
    <row r="10" spans="14:22" x14ac:dyDescent="0.3">
      <c r="S10" s="29">
        <f>'Data Prep'!W8</f>
        <v>4</v>
      </c>
      <c r="T10" s="29" t="str">
        <f>'Data Prep'!X8</f>
        <v>Romania</v>
      </c>
      <c r="U10" s="30">
        <f>'Data Prep'!Y8</f>
        <v>3458252</v>
      </c>
      <c r="V10" s="30">
        <f>'Data Prep'!Z8</f>
        <v>1375311.7</v>
      </c>
    </row>
    <row r="11" spans="14:22" x14ac:dyDescent="0.3">
      <c r="S11" s="29">
        <f>'Data Prep'!W9</f>
        <v>5</v>
      </c>
      <c r="T11" s="29" t="str">
        <f>'Data Prep'!X9</f>
        <v>Spain</v>
      </c>
      <c r="U11" s="30">
        <f>'Data Prep'!Y9</f>
        <v>3015902.51</v>
      </c>
      <c r="V11" s="30">
        <f>'Data Prep'!Z9</f>
        <v>747939.49</v>
      </c>
    </row>
    <row r="14" spans="14:22" x14ac:dyDescent="0.3">
      <c r="S14" s="31" t="s">
        <v>127</v>
      </c>
      <c r="T14" s="31" t="s">
        <v>138</v>
      </c>
      <c r="U14" s="31" t="s">
        <v>120</v>
      </c>
      <c r="V14" s="31" t="s">
        <v>121</v>
      </c>
    </row>
    <row r="15" spans="14:22" x14ac:dyDescent="0.3">
      <c r="S15" s="29">
        <f>'Data Prep'!W13</f>
        <v>1</v>
      </c>
      <c r="T15" s="29" t="str">
        <f>'Data Prep'!X13</f>
        <v>Slovakia</v>
      </c>
      <c r="U15" s="7">
        <f>'Data Prep'!Y13</f>
        <v>26344.26</v>
      </c>
      <c r="V15" s="7">
        <f>'Data Prep'!Z13</f>
        <v>10795.23</v>
      </c>
    </row>
    <row r="16" spans="14:22" x14ac:dyDescent="0.3">
      <c r="S16" s="29">
        <f>'Data Prep'!W14</f>
        <v>2</v>
      </c>
      <c r="T16" s="29" t="str">
        <f>'Data Prep'!X14</f>
        <v>United Kingdom</v>
      </c>
      <c r="U16" s="7">
        <f>'Data Prep'!Y14</f>
        <v>188452.14</v>
      </c>
      <c r="V16" s="7">
        <f>'Data Prep'!Z14</f>
        <v>46735.86</v>
      </c>
    </row>
    <row r="17" spans="19:22" x14ac:dyDescent="0.3">
      <c r="S17" s="29">
        <f>'Data Prep'!W15</f>
        <v>3</v>
      </c>
      <c r="T17" s="29" t="str">
        <f>'Data Prep'!X15</f>
        <v>Slovenia</v>
      </c>
      <c r="U17" s="7">
        <f>'Data Prep'!Y15</f>
        <v>221117</v>
      </c>
      <c r="V17" s="7">
        <f>'Data Prep'!Z15</f>
        <v>72975.600000000006</v>
      </c>
    </row>
    <row r="18" spans="19:22" x14ac:dyDescent="0.3">
      <c r="S18" s="29">
        <f>'Data Prep'!W16</f>
        <v>4</v>
      </c>
      <c r="T18" s="29" t="str">
        <f>'Data Prep'!X16</f>
        <v>Albania</v>
      </c>
      <c r="U18" s="7">
        <f>'Data Prep'!Y16</f>
        <v>247956.32</v>
      </c>
      <c r="V18" s="7">
        <f>'Data Prep'!Z16</f>
        <v>166635.35999999999</v>
      </c>
    </row>
    <row r="19" spans="19:22" x14ac:dyDescent="0.3">
      <c r="S19" s="29">
        <f>'Data Prep'!W17</f>
        <v>5</v>
      </c>
      <c r="T19" s="29" t="str">
        <f>'Data Prep'!X17</f>
        <v>Portugal</v>
      </c>
      <c r="U19" s="7">
        <f>'Data Prep'!Y17</f>
        <v>324971.44</v>
      </c>
      <c r="V19" s="7">
        <f>'Data Prep'!Z17</f>
        <v>122029.78</v>
      </c>
    </row>
    <row r="23" spans="19:22" x14ac:dyDescent="0.3">
      <c r="S23" s="31" t="s">
        <v>127</v>
      </c>
      <c r="T23" s="31" t="s">
        <v>138</v>
      </c>
      <c r="U23" s="31" t="s">
        <v>120</v>
      </c>
      <c r="V23" s="31" t="s">
        <v>121</v>
      </c>
    </row>
    <row r="24" spans="19:22" x14ac:dyDescent="0.3">
      <c r="S24" s="29">
        <f>'Data Prep'!W20</f>
        <v>1</v>
      </c>
      <c r="T24" s="29" t="str">
        <f>'Data Prep'!X20</f>
        <v>Djibouti</v>
      </c>
      <c r="U24" s="7">
        <f>'Data Prep'!Y20</f>
        <v>6052890.8600000003</v>
      </c>
      <c r="V24" s="7">
        <f>'Data Prep'!Z20</f>
        <v>2425317.87</v>
      </c>
    </row>
    <row r="25" spans="19:22" x14ac:dyDescent="0.3">
      <c r="S25" s="29">
        <f>'Data Prep'!W21</f>
        <v>2</v>
      </c>
      <c r="T25" s="29" t="str">
        <f>'Data Prep'!X21</f>
        <v>The Gambia</v>
      </c>
      <c r="U25" s="7">
        <f>'Data Prep'!Y21</f>
        <v>5449517.9499999993</v>
      </c>
      <c r="V25" s="7">
        <f>'Data Prep'!Z21</f>
        <v>1385883.27</v>
      </c>
    </row>
    <row r="26" spans="19:22" x14ac:dyDescent="0.3">
      <c r="S26" s="29">
        <f>'Data Prep'!W22</f>
        <v>3</v>
      </c>
      <c r="T26" s="29" t="str">
        <f>'Data Prep'!X22</f>
        <v>Rwanda</v>
      </c>
      <c r="U26" s="7">
        <f>'Data Prep'!Y22</f>
        <v>5253769.42</v>
      </c>
      <c r="V26" s="7">
        <f>'Data Prep'!Z22</f>
        <v>1417493.49</v>
      </c>
    </row>
    <row r="27" spans="19:22" x14ac:dyDescent="0.3">
      <c r="S27" s="29">
        <f>'Data Prep'!W23</f>
        <v>4</v>
      </c>
      <c r="T27" s="29" t="str">
        <f>'Data Prep'!X23</f>
        <v>Cameroon</v>
      </c>
      <c r="U27" s="7">
        <f>'Data Prep'!Y23</f>
        <v>3851030.28</v>
      </c>
      <c r="V27" s="7">
        <f>'Data Prep'!Z23</f>
        <v>781681.3</v>
      </c>
    </row>
    <row r="28" spans="19:22" x14ac:dyDescent="0.3">
      <c r="S28" s="29">
        <f>'Data Prep'!W24</f>
        <v>5</v>
      </c>
      <c r="T28" s="29" t="str">
        <f>'Data Prep'!X24</f>
        <v>Mozambique</v>
      </c>
      <c r="U28" s="7">
        <f>'Data Prep'!Y24</f>
        <v>3586605.09</v>
      </c>
      <c r="V28" s="7">
        <f>'Data Prep'!Z24</f>
        <v>889472.91</v>
      </c>
    </row>
    <row r="32" spans="19:22" x14ac:dyDescent="0.3">
      <c r="S32" s="31" t="s">
        <v>127</v>
      </c>
      <c r="T32" s="31" t="s">
        <v>138</v>
      </c>
      <c r="U32" s="31" t="s">
        <v>120</v>
      </c>
      <c r="V32" s="31" t="s">
        <v>121</v>
      </c>
    </row>
    <row r="33" spans="19:22" x14ac:dyDescent="0.3">
      <c r="S33" s="29">
        <f>'Data Prep'!W28</f>
        <v>1</v>
      </c>
      <c r="T33" s="29" t="str">
        <f>'Data Prep'!X28</f>
        <v>Lesotho</v>
      </c>
      <c r="U33" s="7">
        <f>'Data Prep'!Y28</f>
        <v>89623.98</v>
      </c>
      <c r="V33" s="7">
        <f>'Data Prep'!Z28</f>
        <v>23150.46</v>
      </c>
    </row>
    <row r="34" spans="19:22" x14ac:dyDescent="0.3">
      <c r="S34" s="29">
        <f>'Data Prep'!W29</f>
        <v>2</v>
      </c>
      <c r="T34" s="29" t="str">
        <f>'Data Prep'!X29</f>
        <v>Mali</v>
      </c>
      <c r="U34" s="7">
        <f>'Data Prep'!Y29</f>
        <v>151359.9</v>
      </c>
      <c r="V34" s="7">
        <f>'Data Prep'!Z29</f>
        <v>79245.740000000005</v>
      </c>
    </row>
    <row r="35" spans="19:22" x14ac:dyDescent="0.3">
      <c r="S35" s="29">
        <f>'Data Prep'!W30</f>
        <v>3</v>
      </c>
      <c r="T35" s="29" t="str">
        <f>'Data Prep'!X30</f>
        <v>South Sudan</v>
      </c>
      <c r="U35" s="7">
        <f>'Data Prep'!Y30</f>
        <v>173676.25</v>
      </c>
      <c r="V35" s="7">
        <f>'Data Prep'!Z30</f>
        <v>53252.5</v>
      </c>
    </row>
    <row r="36" spans="19:22" x14ac:dyDescent="0.3">
      <c r="S36" s="29">
        <f>'Data Prep'!W31</f>
        <v>4</v>
      </c>
      <c r="T36" s="29" t="str">
        <f>'Data Prep'!X31</f>
        <v>Comoros</v>
      </c>
      <c r="U36" s="7">
        <f>'Data Prep'!Y31</f>
        <v>197883.4</v>
      </c>
      <c r="V36" s="7">
        <f>'Data Prep'!Z31</f>
        <v>85223.58</v>
      </c>
    </row>
    <row r="37" spans="19:22" x14ac:dyDescent="0.3">
      <c r="S37" s="29">
        <f>'Data Prep'!W32</f>
        <v>5</v>
      </c>
      <c r="T37" s="29" t="str">
        <f>'Data Prep'!X32</f>
        <v>Niger</v>
      </c>
      <c r="U37" s="7">
        <f>'Data Prep'!Y32</f>
        <v>246415.95</v>
      </c>
      <c r="V37" s="7">
        <f>'Data Prep'!Z32</f>
        <v>75555.899999999994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CFBB8BE-5E85-4B3D-86B5-14D51CBB946A}">
          <x14:formula1>
            <xm:f>'Data Prep'!$A$11:$A$18</xm:f>
          </x14:formula1>
          <xm:sqref>O2 P3</xm:sqref>
        </x14:dataValidation>
        <x14:dataValidation type="list" allowBlank="1" showInputMessage="1" showErrorMessage="1" xr:uid="{A08E6F87-3EBC-49CC-B1C4-908EC18481BE}">
          <x14:formula1>
            <xm:f>'Data Prep'!$A$2:$A$8</xm:f>
          </x14:formula1>
          <xm:sqref>T2</xm:sqref>
        </x14:dataValidation>
        <x14:dataValidation type="list" allowBlank="1" showInputMessage="1" showErrorMessage="1" xr:uid="{38DDFAA0-EF12-469E-9E2B-4E42B63A76E8}">
          <x14:formula1>
            <xm:f>'Data Prep'!$AR$2:$AR$13</xm:f>
          </x14:formula1>
          <xm:sqref>Q2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922E-D3AF-4E8F-A2FA-FCA97A23D4E3}">
  <dimension ref="A1:Q101"/>
  <sheetViews>
    <sheetView workbookViewId="0">
      <selection activeCell="A2" sqref="A2:A10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5">
        <v>40326</v>
      </c>
      <c r="G2" s="6">
        <f>YEAR(F2)</f>
        <v>2010</v>
      </c>
      <c r="H2">
        <v>669165933</v>
      </c>
      <c r="I2" s="5">
        <v>40356</v>
      </c>
      <c r="J2" s="6">
        <f>YEAR(I2)</f>
        <v>2010</v>
      </c>
      <c r="K2" s="7">
        <v>9925</v>
      </c>
      <c r="L2" s="7">
        <v>255.28</v>
      </c>
      <c r="M2" s="7">
        <v>159.41999999999999</v>
      </c>
      <c r="N2" s="7">
        <f>SylipTable[[#This Row],[Unit Price]]-SylipTable[[#This Row],[Unit Cost]]</f>
        <v>95.860000000000014</v>
      </c>
      <c r="O2" s="7">
        <v>2533654</v>
      </c>
      <c r="P2" s="7">
        <v>1582243.5</v>
      </c>
      <c r="Q2" s="7">
        <v>951410.5</v>
      </c>
    </row>
    <row r="3" spans="1:17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5">
        <v>41143</v>
      </c>
      <c r="G3" s="6">
        <f>YEAR(F3)</f>
        <v>2012</v>
      </c>
      <c r="H3">
        <v>963881480</v>
      </c>
      <c r="I3" s="5">
        <v>41167</v>
      </c>
      <c r="J3" s="6">
        <f t="shared" ref="J3:J66" si="0">YEAR(I3)</f>
        <v>2012</v>
      </c>
      <c r="K3" s="7">
        <v>2804</v>
      </c>
      <c r="L3" s="7">
        <v>205.7</v>
      </c>
      <c r="M3" s="7">
        <v>117.11</v>
      </c>
      <c r="N3" s="7">
        <f>SylipTable[[#This Row],[Unit Price]]-SylipTable[[#This Row],[Unit Cost]]</f>
        <v>88.589999999999989</v>
      </c>
      <c r="O3" s="7">
        <v>576782.80000000005</v>
      </c>
      <c r="P3" s="7">
        <v>328376.44</v>
      </c>
      <c r="Q3" s="7">
        <v>248406.36</v>
      </c>
    </row>
    <row r="4" spans="1:17" x14ac:dyDescent="0.3">
      <c r="A4" t="s">
        <v>27</v>
      </c>
      <c r="B4" t="s">
        <v>28</v>
      </c>
      <c r="C4" t="s">
        <v>29</v>
      </c>
      <c r="D4" t="s">
        <v>20</v>
      </c>
      <c r="E4" t="s">
        <v>30</v>
      </c>
      <c r="F4" s="5">
        <v>41761</v>
      </c>
      <c r="G4" s="6">
        <f t="shared" ref="G4:G67" si="1">YEAR(F4)</f>
        <v>2014</v>
      </c>
      <c r="H4">
        <v>341417157</v>
      </c>
      <c r="I4" s="5">
        <v>41767</v>
      </c>
      <c r="J4" s="6">
        <f t="shared" si="0"/>
        <v>2014</v>
      </c>
      <c r="K4" s="7">
        <v>1779</v>
      </c>
      <c r="L4" s="7">
        <v>651.21</v>
      </c>
      <c r="M4" s="7">
        <v>524.96</v>
      </c>
      <c r="N4" s="7">
        <f>SylipTable[[#This Row],[Unit Price]]-SylipTable[[#This Row],[Unit Cost]]</f>
        <v>126.25</v>
      </c>
      <c r="O4" s="7">
        <v>1158502.5900000001</v>
      </c>
      <c r="P4" s="7">
        <v>933903.84</v>
      </c>
      <c r="Q4" s="7">
        <v>224598.75</v>
      </c>
    </row>
    <row r="5" spans="1:17" x14ac:dyDescent="0.3">
      <c r="A5" t="s">
        <v>31</v>
      </c>
      <c r="B5" t="s">
        <v>32</v>
      </c>
      <c r="C5" t="s">
        <v>33</v>
      </c>
      <c r="D5" t="s">
        <v>25</v>
      </c>
      <c r="E5" t="s">
        <v>26</v>
      </c>
      <c r="F5" s="5">
        <v>41810</v>
      </c>
      <c r="G5" s="6">
        <f t="shared" si="1"/>
        <v>2014</v>
      </c>
      <c r="H5">
        <v>514321792</v>
      </c>
      <c r="I5" s="5">
        <v>41825</v>
      </c>
      <c r="J5" s="6">
        <f t="shared" si="0"/>
        <v>2014</v>
      </c>
      <c r="K5" s="7">
        <v>8102</v>
      </c>
      <c r="L5" s="7">
        <v>9.33</v>
      </c>
      <c r="M5" s="7">
        <v>6.92</v>
      </c>
      <c r="N5" s="7">
        <f>SylipTable[[#This Row],[Unit Price]]-SylipTable[[#This Row],[Unit Cost]]</f>
        <v>2.41</v>
      </c>
      <c r="O5" s="7">
        <v>75591.66</v>
      </c>
      <c r="P5" s="7">
        <v>56065.84</v>
      </c>
      <c r="Q5" s="7">
        <v>19525.82</v>
      </c>
    </row>
    <row r="6" spans="1:17" x14ac:dyDescent="0.3">
      <c r="A6" t="s">
        <v>31</v>
      </c>
      <c r="B6" t="s">
        <v>34</v>
      </c>
      <c r="C6" t="s">
        <v>29</v>
      </c>
      <c r="D6" t="s">
        <v>20</v>
      </c>
      <c r="E6" t="s">
        <v>30</v>
      </c>
      <c r="F6" s="5">
        <v>41306</v>
      </c>
      <c r="G6" s="6">
        <f t="shared" si="1"/>
        <v>2013</v>
      </c>
      <c r="H6">
        <v>115456712</v>
      </c>
      <c r="I6" s="5">
        <v>41311</v>
      </c>
      <c r="J6" s="6">
        <f t="shared" si="0"/>
        <v>2013</v>
      </c>
      <c r="K6" s="7">
        <v>5062</v>
      </c>
      <c r="L6" s="7">
        <v>651.21</v>
      </c>
      <c r="M6" s="7">
        <v>524.96</v>
      </c>
      <c r="N6" s="7">
        <f>SylipTable[[#This Row],[Unit Price]]-SylipTable[[#This Row],[Unit Cost]]</f>
        <v>126.25</v>
      </c>
      <c r="O6" s="7">
        <v>3296425.02</v>
      </c>
      <c r="P6" s="7">
        <v>2657347.52</v>
      </c>
      <c r="Q6" s="7">
        <v>639077.5</v>
      </c>
    </row>
    <row r="7" spans="1:17" x14ac:dyDescent="0.3">
      <c r="A7" t="s">
        <v>17</v>
      </c>
      <c r="B7" t="s">
        <v>35</v>
      </c>
      <c r="C7" t="s">
        <v>19</v>
      </c>
      <c r="D7" t="s">
        <v>25</v>
      </c>
      <c r="E7" t="s">
        <v>26</v>
      </c>
      <c r="F7" s="5">
        <v>42039</v>
      </c>
      <c r="G7" s="6">
        <f t="shared" si="1"/>
        <v>2015</v>
      </c>
      <c r="H7">
        <v>547995746</v>
      </c>
      <c r="I7" s="5">
        <v>42056</v>
      </c>
      <c r="J7" s="6">
        <f t="shared" si="0"/>
        <v>2015</v>
      </c>
      <c r="K7" s="7">
        <v>2974</v>
      </c>
      <c r="L7" s="7">
        <v>255.28</v>
      </c>
      <c r="M7" s="7">
        <v>159.41999999999999</v>
      </c>
      <c r="N7" s="7">
        <f>SylipTable[[#This Row],[Unit Price]]-SylipTable[[#This Row],[Unit Cost]]</f>
        <v>95.860000000000014</v>
      </c>
      <c r="O7" s="7">
        <v>759202.72</v>
      </c>
      <c r="P7" s="7">
        <v>474115.08</v>
      </c>
      <c r="Q7" s="7">
        <v>285087.64</v>
      </c>
    </row>
    <row r="8" spans="1:17" x14ac:dyDescent="0.3">
      <c r="A8" t="s">
        <v>31</v>
      </c>
      <c r="B8" t="s">
        <v>36</v>
      </c>
      <c r="C8" t="s">
        <v>37</v>
      </c>
      <c r="D8" t="s">
        <v>20</v>
      </c>
      <c r="E8" t="s">
        <v>38</v>
      </c>
      <c r="F8" s="5">
        <v>40656</v>
      </c>
      <c r="G8" s="6">
        <f t="shared" si="1"/>
        <v>2011</v>
      </c>
      <c r="H8">
        <v>135425221</v>
      </c>
      <c r="I8" s="5">
        <v>40660</v>
      </c>
      <c r="J8" s="6">
        <f t="shared" si="0"/>
        <v>2011</v>
      </c>
      <c r="K8" s="7">
        <v>4187</v>
      </c>
      <c r="L8" s="7">
        <v>668.27</v>
      </c>
      <c r="M8" s="7">
        <v>502.54</v>
      </c>
      <c r="N8" s="7">
        <f>SylipTable[[#This Row],[Unit Price]]-SylipTable[[#This Row],[Unit Cost]]</f>
        <v>165.72999999999996</v>
      </c>
      <c r="O8" s="7">
        <v>2798046.49</v>
      </c>
      <c r="P8" s="7">
        <v>2104134.98</v>
      </c>
      <c r="Q8" s="7">
        <v>693911.51</v>
      </c>
    </row>
    <row r="9" spans="1:17" x14ac:dyDescent="0.3">
      <c r="A9" t="s">
        <v>31</v>
      </c>
      <c r="B9" t="s">
        <v>39</v>
      </c>
      <c r="C9" t="s">
        <v>40</v>
      </c>
      <c r="D9" t="s">
        <v>25</v>
      </c>
      <c r="E9" t="s">
        <v>21</v>
      </c>
      <c r="F9" s="5">
        <v>41107</v>
      </c>
      <c r="G9" s="6">
        <f t="shared" si="1"/>
        <v>2012</v>
      </c>
      <c r="H9">
        <v>871543967</v>
      </c>
      <c r="I9" s="5">
        <v>41117</v>
      </c>
      <c r="J9" s="6">
        <f t="shared" si="0"/>
        <v>2012</v>
      </c>
      <c r="K9" s="7">
        <v>8082</v>
      </c>
      <c r="L9" s="7">
        <v>154.06</v>
      </c>
      <c r="M9" s="7">
        <v>90.93</v>
      </c>
      <c r="N9" s="7">
        <f>SylipTable[[#This Row],[Unit Price]]-SylipTable[[#This Row],[Unit Cost]]</f>
        <v>63.129999999999995</v>
      </c>
      <c r="O9" s="7">
        <v>1245112.92</v>
      </c>
      <c r="P9" s="7">
        <v>734896.26</v>
      </c>
      <c r="Q9" s="7">
        <v>510216.66</v>
      </c>
    </row>
    <row r="10" spans="1:17" x14ac:dyDescent="0.3">
      <c r="A10" t="s">
        <v>31</v>
      </c>
      <c r="B10" t="s">
        <v>41</v>
      </c>
      <c r="C10" t="s">
        <v>42</v>
      </c>
      <c r="D10" t="s">
        <v>20</v>
      </c>
      <c r="E10" t="s">
        <v>38</v>
      </c>
      <c r="F10" s="5">
        <v>42199</v>
      </c>
      <c r="G10" s="6">
        <f t="shared" si="1"/>
        <v>2015</v>
      </c>
      <c r="H10">
        <v>770463311</v>
      </c>
      <c r="I10" s="5">
        <v>42241</v>
      </c>
      <c r="J10" s="6">
        <f t="shared" si="0"/>
        <v>2015</v>
      </c>
      <c r="K10" s="7">
        <v>6070</v>
      </c>
      <c r="L10" s="7">
        <v>81.73</v>
      </c>
      <c r="M10" s="7">
        <v>56.67</v>
      </c>
      <c r="N10" s="7">
        <f>SylipTable[[#This Row],[Unit Price]]-SylipTable[[#This Row],[Unit Cost]]</f>
        <v>25.060000000000002</v>
      </c>
      <c r="O10" s="7">
        <v>496101.1</v>
      </c>
      <c r="P10" s="7">
        <v>343986.9</v>
      </c>
      <c r="Q10" s="7">
        <v>152114.20000000001</v>
      </c>
    </row>
    <row r="11" spans="1:17" x14ac:dyDescent="0.3">
      <c r="A11" t="s">
        <v>31</v>
      </c>
      <c r="B11" t="s">
        <v>43</v>
      </c>
      <c r="C11" t="s">
        <v>24</v>
      </c>
      <c r="D11" t="s">
        <v>25</v>
      </c>
      <c r="E11" t="s">
        <v>21</v>
      </c>
      <c r="F11" s="5">
        <v>41747</v>
      </c>
      <c r="G11" s="6">
        <f t="shared" si="1"/>
        <v>2014</v>
      </c>
      <c r="H11">
        <v>616607081</v>
      </c>
      <c r="I11" s="5">
        <v>41789</v>
      </c>
      <c r="J11" s="6">
        <f t="shared" si="0"/>
        <v>2014</v>
      </c>
      <c r="K11" s="7">
        <v>6593</v>
      </c>
      <c r="L11" s="7">
        <v>205.7</v>
      </c>
      <c r="M11" s="7">
        <v>117.11</v>
      </c>
      <c r="N11" s="7">
        <f>SylipTable[[#This Row],[Unit Price]]-SylipTable[[#This Row],[Unit Cost]]</f>
        <v>88.589999999999989</v>
      </c>
      <c r="O11" s="7">
        <v>1356180.1</v>
      </c>
      <c r="P11" s="7">
        <v>772106.23</v>
      </c>
      <c r="Q11" s="7">
        <v>584073.87</v>
      </c>
    </row>
    <row r="12" spans="1:17" x14ac:dyDescent="0.3">
      <c r="A12" t="s">
        <v>44</v>
      </c>
      <c r="B12" t="s">
        <v>45</v>
      </c>
      <c r="C12" t="s">
        <v>40</v>
      </c>
      <c r="D12" t="s">
        <v>25</v>
      </c>
      <c r="E12" t="s">
        <v>21</v>
      </c>
      <c r="F12" s="5">
        <v>40718</v>
      </c>
      <c r="G12" s="6">
        <f t="shared" si="1"/>
        <v>2011</v>
      </c>
      <c r="H12">
        <v>814711606</v>
      </c>
      <c r="I12" s="5">
        <v>40736</v>
      </c>
      <c r="J12" s="6">
        <f t="shared" si="0"/>
        <v>2011</v>
      </c>
      <c r="K12" s="7">
        <v>124</v>
      </c>
      <c r="L12" s="7">
        <v>154.06</v>
      </c>
      <c r="M12" s="7">
        <v>90.93</v>
      </c>
      <c r="N12" s="7">
        <f>SylipTable[[#This Row],[Unit Price]]-SylipTable[[#This Row],[Unit Cost]]</f>
        <v>63.129999999999995</v>
      </c>
      <c r="O12" s="7">
        <v>19103.439999999999</v>
      </c>
      <c r="P12" s="7">
        <v>11275.32</v>
      </c>
      <c r="Q12" s="7">
        <v>7828.12</v>
      </c>
    </row>
    <row r="13" spans="1:17" x14ac:dyDescent="0.3">
      <c r="A13" t="s">
        <v>31</v>
      </c>
      <c r="B13" t="s">
        <v>46</v>
      </c>
      <c r="C13" t="s">
        <v>47</v>
      </c>
      <c r="D13" t="s">
        <v>20</v>
      </c>
      <c r="E13" t="s">
        <v>21</v>
      </c>
      <c r="F13" s="5">
        <v>41853</v>
      </c>
      <c r="G13" s="6">
        <f t="shared" si="1"/>
        <v>2014</v>
      </c>
      <c r="H13">
        <v>939825713</v>
      </c>
      <c r="I13" s="5">
        <v>41870</v>
      </c>
      <c r="J13" s="6">
        <f t="shared" si="0"/>
        <v>2014</v>
      </c>
      <c r="K13" s="7">
        <v>4168</v>
      </c>
      <c r="L13" s="7">
        <v>109.28</v>
      </c>
      <c r="M13" s="7">
        <v>35.840000000000003</v>
      </c>
      <c r="N13" s="7">
        <f>SylipTable[[#This Row],[Unit Price]]-SylipTable[[#This Row],[Unit Cost]]</f>
        <v>73.44</v>
      </c>
      <c r="O13" s="7">
        <v>455479.03999999998</v>
      </c>
      <c r="P13" s="7">
        <v>149381.12</v>
      </c>
      <c r="Q13" s="7">
        <v>306097.91999999998</v>
      </c>
    </row>
    <row r="14" spans="1:17" x14ac:dyDescent="0.3">
      <c r="A14" t="s">
        <v>44</v>
      </c>
      <c r="B14" t="s">
        <v>48</v>
      </c>
      <c r="C14" t="s">
        <v>47</v>
      </c>
      <c r="D14" t="s">
        <v>25</v>
      </c>
      <c r="E14" t="s">
        <v>30</v>
      </c>
      <c r="F14" s="5">
        <v>42748</v>
      </c>
      <c r="G14" s="6">
        <f t="shared" si="1"/>
        <v>2017</v>
      </c>
      <c r="H14">
        <v>187310731</v>
      </c>
      <c r="I14" s="5">
        <v>42795</v>
      </c>
      <c r="J14" s="6">
        <f t="shared" si="0"/>
        <v>2017</v>
      </c>
      <c r="K14" s="7">
        <v>8263</v>
      </c>
      <c r="L14" s="7">
        <v>109.28</v>
      </c>
      <c r="M14" s="7">
        <v>35.840000000000003</v>
      </c>
      <c r="N14" s="7">
        <f>SylipTable[[#This Row],[Unit Price]]-SylipTable[[#This Row],[Unit Cost]]</f>
        <v>73.44</v>
      </c>
      <c r="O14" s="7">
        <v>902980.64</v>
      </c>
      <c r="P14" s="7">
        <v>296145.91999999998</v>
      </c>
      <c r="Q14" s="7">
        <v>606834.72</v>
      </c>
    </row>
    <row r="15" spans="1:17" x14ac:dyDescent="0.3">
      <c r="A15" t="s">
        <v>22</v>
      </c>
      <c r="B15" t="s">
        <v>49</v>
      </c>
      <c r="C15" t="s">
        <v>37</v>
      </c>
      <c r="D15" t="s">
        <v>20</v>
      </c>
      <c r="E15" t="s">
        <v>21</v>
      </c>
      <c r="F15" s="5">
        <v>42774</v>
      </c>
      <c r="G15" s="6">
        <f t="shared" si="1"/>
        <v>2017</v>
      </c>
      <c r="H15">
        <v>522840487</v>
      </c>
      <c r="I15" s="5">
        <v>42779</v>
      </c>
      <c r="J15" s="6">
        <f t="shared" si="0"/>
        <v>2017</v>
      </c>
      <c r="K15" s="7">
        <v>8974</v>
      </c>
      <c r="L15" s="7">
        <v>668.27</v>
      </c>
      <c r="M15" s="7">
        <v>502.54</v>
      </c>
      <c r="N15" s="7">
        <f>SylipTable[[#This Row],[Unit Price]]-SylipTable[[#This Row],[Unit Cost]]</f>
        <v>165.72999999999996</v>
      </c>
      <c r="O15" s="7">
        <v>5997054.9800000004</v>
      </c>
      <c r="P15" s="7">
        <v>4509793.96</v>
      </c>
      <c r="Q15" s="7">
        <v>1487261.02</v>
      </c>
    </row>
    <row r="16" spans="1:17" x14ac:dyDescent="0.3">
      <c r="A16" t="s">
        <v>44</v>
      </c>
      <c r="B16" t="s">
        <v>50</v>
      </c>
      <c r="C16" t="s">
        <v>42</v>
      </c>
      <c r="D16" t="s">
        <v>20</v>
      </c>
      <c r="E16" t="s">
        <v>26</v>
      </c>
      <c r="F16" s="5">
        <v>41689</v>
      </c>
      <c r="G16" s="6">
        <f t="shared" si="1"/>
        <v>2014</v>
      </c>
      <c r="H16">
        <v>832401311</v>
      </c>
      <c r="I16" s="5">
        <v>41693</v>
      </c>
      <c r="J16" s="6">
        <f t="shared" si="0"/>
        <v>2014</v>
      </c>
      <c r="K16" s="7">
        <v>4901</v>
      </c>
      <c r="L16" s="7">
        <v>81.73</v>
      </c>
      <c r="M16" s="7">
        <v>56.67</v>
      </c>
      <c r="N16" s="7">
        <f>SylipTable[[#This Row],[Unit Price]]-SylipTable[[#This Row],[Unit Cost]]</f>
        <v>25.060000000000002</v>
      </c>
      <c r="O16" s="7">
        <v>400558.73</v>
      </c>
      <c r="P16" s="7">
        <v>277739.67</v>
      </c>
      <c r="Q16" s="7">
        <v>122819.06</v>
      </c>
    </row>
    <row r="17" spans="1:17" x14ac:dyDescent="0.3">
      <c r="A17" t="s">
        <v>27</v>
      </c>
      <c r="B17" t="s">
        <v>51</v>
      </c>
      <c r="C17" t="s">
        <v>47</v>
      </c>
      <c r="D17" t="s">
        <v>25</v>
      </c>
      <c r="E17" t="s">
        <v>38</v>
      </c>
      <c r="F17" s="5">
        <v>41022</v>
      </c>
      <c r="G17" s="6">
        <f t="shared" si="1"/>
        <v>2012</v>
      </c>
      <c r="H17">
        <v>972292029</v>
      </c>
      <c r="I17" s="5">
        <v>41063</v>
      </c>
      <c r="J17" s="6">
        <f t="shared" si="0"/>
        <v>2012</v>
      </c>
      <c r="K17" s="7">
        <v>1673</v>
      </c>
      <c r="L17" s="7">
        <v>109.28</v>
      </c>
      <c r="M17" s="7">
        <v>35.840000000000003</v>
      </c>
      <c r="N17" s="7">
        <f>SylipTable[[#This Row],[Unit Price]]-SylipTable[[#This Row],[Unit Cost]]</f>
        <v>73.44</v>
      </c>
      <c r="O17" s="7">
        <v>182825.44</v>
      </c>
      <c r="P17" s="7">
        <v>59960.32</v>
      </c>
      <c r="Q17" s="7">
        <v>122865.12</v>
      </c>
    </row>
    <row r="18" spans="1:17" x14ac:dyDescent="0.3">
      <c r="A18" t="s">
        <v>44</v>
      </c>
      <c r="B18" t="s">
        <v>52</v>
      </c>
      <c r="C18" t="s">
        <v>53</v>
      </c>
      <c r="D18" t="s">
        <v>20</v>
      </c>
      <c r="E18" t="s">
        <v>38</v>
      </c>
      <c r="F18" s="5">
        <v>42693</v>
      </c>
      <c r="G18" s="6">
        <f t="shared" si="1"/>
        <v>2016</v>
      </c>
      <c r="H18">
        <v>419123971</v>
      </c>
      <c r="I18" s="5">
        <v>42722</v>
      </c>
      <c r="J18" s="6">
        <f t="shared" si="0"/>
        <v>2016</v>
      </c>
      <c r="K18" s="7">
        <v>6952</v>
      </c>
      <c r="L18" s="7">
        <v>437.2</v>
      </c>
      <c r="M18" s="7">
        <v>263.33</v>
      </c>
      <c r="N18" s="7">
        <f>SylipTable[[#This Row],[Unit Price]]-SylipTable[[#This Row],[Unit Cost]]</f>
        <v>173.87</v>
      </c>
      <c r="O18" s="7">
        <v>3039414.4</v>
      </c>
      <c r="P18" s="7">
        <v>1830670.16</v>
      </c>
      <c r="Q18" s="7">
        <v>1208744.24</v>
      </c>
    </row>
    <row r="19" spans="1:17" x14ac:dyDescent="0.3">
      <c r="A19" t="s">
        <v>31</v>
      </c>
      <c r="B19" t="s">
        <v>54</v>
      </c>
      <c r="C19" t="s">
        <v>55</v>
      </c>
      <c r="D19" t="s">
        <v>20</v>
      </c>
      <c r="E19" t="s">
        <v>26</v>
      </c>
      <c r="F19" s="5">
        <v>42095</v>
      </c>
      <c r="G19" s="6">
        <f t="shared" si="1"/>
        <v>2015</v>
      </c>
      <c r="H19">
        <v>519820964</v>
      </c>
      <c r="I19" s="5">
        <v>42112</v>
      </c>
      <c r="J19" s="6">
        <f t="shared" si="0"/>
        <v>2015</v>
      </c>
      <c r="K19" s="7">
        <v>5430</v>
      </c>
      <c r="L19" s="7">
        <v>47.45</v>
      </c>
      <c r="M19" s="7">
        <v>31.79</v>
      </c>
      <c r="N19" s="7">
        <f>SylipTable[[#This Row],[Unit Price]]-SylipTable[[#This Row],[Unit Cost]]</f>
        <v>15.660000000000004</v>
      </c>
      <c r="O19" s="7">
        <v>257653.5</v>
      </c>
      <c r="P19" s="7">
        <v>172619.7</v>
      </c>
      <c r="Q19" s="7">
        <v>85033.8</v>
      </c>
    </row>
    <row r="20" spans="1:17" x14ac:dyDescent="0.3">
      <c r="A20" t="s">
        <v>44</v>
      </c>
      <c r="B20" t="s">
        <v>56</v>
      </c>
      <c r="C20" t="s">
        <v>37</v>
      </c>
      <c r="D20" t="s">
        <v>20</v>
      </c>
      <c r="E20" t="s">
        <v>30</v>
      </c>
      <c r="F20" s="5">
        <v>40542</v>
      </c>
      <c r="G20" s="6">
        <f t="shared" si="1"/>
        <v>2010</v>
      </c>
      <c r="H20">
        <v>441619336</v>
      </c>
      <c r="I20" s="5">
        <v>40563</v>
      </c>
      <c r="J20" s="6">
        <f t="shared" si="0"/>
        <v>2011</v>
      </c>
      <c r="K20" s="7">
        <v>3830</v>
      </c>
      <c r="L20" s="7">
        <v>668.27</v>
      </c>
      <c r="M20" s="7">
        <v>502.54</v>
      </c>
      <c r="N20" s="7">
        <f>SylipTable[[#This Row],[Unit Price]]-SylipTable[[#This Row],[Unit Cost]]</f>
        <v>165.72999999999996</v>
      </c>
      <c r="O20" s="7">
        <v>2559474.1</v>
      </c>
      <c r="P20" s="7">
        <v>1924728.2</v>
      </c>
      <c r="Q20" s="7">
        <v>634745.9</v>
      </c>
    </row>
    <row r="21" spans="1:17" x14ac:dyDescent="0.3">
      <c r="A21" t="s">
        <v>17</v>
      </c>
      <c r="B21" t="s">
        <v>57</v>
      </c>
      <c r="C21" t="s">
        <v>58</v>
      </c>
      <c r="D21" t="s">
        <v>25</v>
      </c>
      <c r="E21" t="s">
        <v>30</v>
      </c>
      <c r="F21" s="5">
        <v>41121</v>
      </c>
      <c r="G21" s="6">
        <f t="shared" si="1"/>
        <v>2012</v>
      </c>
      <c r="H21">
        <v>322067916</v>
      </c>
      <c r="I21" s="5">
        <v>41163</v>
      </c>
      <c r="J21" s="6">
        <f t="shared" si="0"/>
        <v>2012</v>
      </c>
      <c r="K21" s="7">
        <v>5908</v>
      </c>
      <c r="L21" s="7">
        <v>421.89</v>
      </c>
      <c r="M21" s="7">
        <v>364.69</v>
      </c>
      <c r="N21" s="7">
        <f>SylipTable[[#This Row],[Unit Price]]-SylipTable[[#This Row],[Unit Cost]]</f>
        <v>57.199999999999989</v>
      </c>
      <c r="O21" s="7">
        <v>2492526.12</v>
      </c>
      <c r="P21" s="7">
        <v>2154588.52</v>
      </c>
      <c r="Q21" s="7">
        <v>337937.6</v>
      </c>
    </row>
    <row r="22" spans="1:17" x14ac:dyDescent="0.3">
      <c r="A22" t="s">
        <v>27</v>
      </c>
      <c r="B22" t="s">
        <v>59</v>
      </c>
      <c r="C22" t="s">
        <v>19</v>
      </c>
      <c r="D22" t="s">
        <v>25</v>
      </c>
      <c r="E22" t="s">
        <v>30</v>
      </c>
      <c r="F22" s="5">
        <v>41773</v>
      </c>
      <c r="G22" s="6">
        <f t="shared" si="1"/>
        <v>2014</v>
      </c>
      <c r="H22">
        <v>819028031</v>
      </c>
      <c r="I22" s="5">
        <v>41818</v>
      </c>
      <c r="J22" s="6">
        <f t="shared" si="0"/>
        <v>2014</v>
      </c>
      <c r="K22" s="7">
        <v>7450</v>
      </c>
      <c r="L22" s="7">
        <v>255.28</v>
      </c>
      <c r="M22" s="7">
        <v>159.41999999999999</v>
      </c>
      <c r="N22" s="7">
        <f>SylipTable[[#This Row],[Unit Price]]-SylipTable[[#This Row],[Unit Cost]]</f>
        <v>95.860000000000014</v>
      </c>
      <c r="O22" s="7">
        <v>1901836</v>
      </c>
      <c r="P22" s="7">
        <v>1187679</v>
      </c>
      <c r="Q22" s="7">
        <v>714157</v>
      </c>
    </row>
    <row r="23" spans="1:17" x14ac:dyDescent="0.3">
      <c r="A23" t="s">
        <v>27</v>
      </c>
      <c r="B23" t="s">
        <v>60</v>
      </c>
      <c r="C23" t="s">
        <v>19</v>
      </c>
      <c r="D23" t="s">
        <v>25</v>
      </c>
      <c r="E23" t="s">
        <v>21</v>
      </c>
      <c r="F23" s="5">
        <v>42216</v>
      </c>
      <c r="G23" s="6">
        <f t="shared" si="1"/>
        <v>2015</v>
      </c>
      <c r="H23">
        <v>860673511</v>
      </c>
      <c r="I23" s="5">
        <v>42250</v>
      </c>
      <c r="J23" s="6">
        <f t="shared" si="0"/>
        <v>2015</v>
      </c>
      <c r="K23" s="7">
        <v>1273</v>
      </c>
      <c r="L23" s="7">
        <v>255.28</v>
      </c>
      <c r="M23" s="7">
        <v>159.41999999999999</v>
      </c>
      <c r="N23" s="7">
        <f>SylipTable[[#This Row],[Unit Price]]-SylipTable[[#This Row],[Unit Cost]]</f>
        <v>95.860000000000014</v>
      </c>
      <c r="O23" s="7">
        <v>324971.44</v>
      </c>
      <c r="P23" s="7">
        <v>202941.66</v>
      </c>
      <c r="Q23" s="7">
        <v>122029.78</v>
      </c>
    </row>
    <row r="24" spans="1:17" x14ac:dyDescent="0.3">
      <c r="A24" t="s">
        <v>22</v>
      </c>
      <c r="B24" t="s">
        <v>49</v>
      </c>
      <c r="C24" t="s">
        <v>61</v>
      </c>
      <c r="D24" t="s">
        <v>25</v>
      </c>
      <c r="E24" t="s">
        <v>30</v>
      </c>
      <c r="F24" s="5">
        <v>42551</v>
      </c>
      <c r="G24" s="6">
        <f t="shared" si="1"/>
        <v>2016</v>
      </c>
      <c r="H24">
        <v>795490682</v>
      </c>
      <c r="I24" s="5">
        <v>42577</v>
      </c>
      <c r="J24" s="6">
        <f t="shared" si="0"/>
        <v>2016</v>
      </c>
      <c r="K24" s="7">
        <v>2225</v>
      </c>
      <c r="L24" s="7">
        <v>152.58000000000001</v>
      </c>
      <c r="M24" s="7">
        <v>97.44</v>
      </c>
      <c r="N24" s="7">
        <f>SylipTable[[#This Row],[Unit Price]]-SylipTable[[#This Row],[Unit Cost]]</f>
        <v>55.140000000000015</v>
      </c>
      <c r="O24" s="7">
        <v>339490.5</v>
      </c>
      <c r="P24" s="7">
        <v>216804</v>
      </c>
      <c r="Q24" s="7">
        <v>122686.5</v>
      </c>
    </row>
    <row r="25" spans="1:17" x14ac:dyDescent="0.3">
      <c r="A25" t="s">
        <v>17</v>
      </c>
      <c r="B25" t="s">
        <v>62</v>
      </c>
      <c r="C25" t="s">
        <v>33</v>
      </c>
      <c r="D25" t="s">
        <v>25</v>
      </c>
      <c r="E25" t="s">
        <v>21</v>
      </c>
      <c r="F25" s="5">
        <v>41890</v>
      </c>
      <c r="G25" s="6">
        <f t="shared" si="1"/>
        <v>2014</v>
      </c>
      <c r="H25">
        <v>142278373</v>
      </c>
      <c r="I25" s="5">
        <v>41916</v>
      </c>
      <c r="J25" s="6">
        <f t="shared" si="0"/>
        <v>2014</v>
      </c>
      <c r="K25" s="7">
        <v>2187</v>
      </c>
      <c r="L25" s="7">
        <v>9.33</v>
      </c>
      <c r="M25" s="7">
        <v>6.92</v>
      </c>
      <c r="N25" s="7">
        <f>SylipTable[[#This Row],[Unit Price]]-SylipTable[[#This Row],[Unit Cost]]</f>
        <v>2.41</v>
      </c>
      <c r="O25" s="7">
        <v>20404.71</v>
      </c>
      <c r="P25" s="7">
        <v>15134.04</v>
      </c>
      <c r="Q25" s="7">
        <v>5270.67</v>
      </c>
    </row>
    <row r="26" spans="1:17" x14ac:dyDescent="0.3">
      <c r="A26" t="s">
        <v>27</v>
      </c>
      <c r="B26" t="s">
        <v>63</v>
      </c>
      <c r="C26" t="s">
        <v>42</v>
      </c>
      <c r="D26" t="s">
        <v>25</v>
      </c>
      <c r="E26" t="s">
        <v>30</v>
      </c>
      <c r="F26" s="5">
        <v>42497</v>
      </c>
      <c r="G26" s="6">
        <f t="shared" si="1"/>
        <v>2016</v>
      </c>
      <c r="H26">
        <v>740147912</v>
      </c>
      <c r="I26" s="5">
        <v>42500</v>
      </c>
      <c r="J26" s="6">
        <f t="shared" si="0"/>
        <v>2016</v>
      </c>
      <c r="K26" s="7">
        <v>5070</v>
      </c>
      <c r="L26" s="7">
        <v>81.73</v>
      </c>
      <c r="M26" s="7">
        <v>56.67</v>
      </c>
      <c r="N26" s="7">
        <f>SylipTable[[#This Row],[Unit Price]]-SylipTable[[#This Row],[Unit Cost]]</f>
        <v>25.060000000000002</v>
      </c>
      <c r="O26" s="7">
        <v>414371.1</v>
      </c>
      <c r="P26" s="7">
        <v>287316.90000000002</v>
      </c>
      <c r="Q26" s="7">
        <v>127054.2</v>
      </c>
    </row>
    <row r="27" spans="1:17" x14ac:dyDescent="0.3">
      <c r="A27" t="s">
        <v>27</v>
      </c>
      <c r="B27" t="s">
        <v>64</v>
      </c>
      <c r="C27" t="s">
        <v>53</v>
      </c>
      <c r="D27" t="s">
        <v>25</v>
      </c>
      <c r="E27" t="s">
        <v>21</v>
      </c>
      <c r="F27" s="5">
        <v>42877</v>
      </c>
      <c r="G27" s="6">
        <f t="shared" si="1"/>
        <v>2017</v>
      </c>
      <c r="H27">
        <v>898523128</v>
      </c>
      <c r="I27" s="5">
        <v>42891</v>
      </c>
      <c r="J27" s="6">
        <f t="shared" si="0"/>
        <v>2017</v>
      </c>
      <c r="K27" s="7">
        <v>1815</v>
      </c>
      <c r="L27" s="7">
        <v>437.2</v>
      </c>
      <c r="M27" s="7">
        <v>263.33</v>
      </c>
      <c r="N27" s="7">
        <f>SylipTable[[#This Row],[Unit Price]]-SylipTable[[#This Row],[Unit Cost]]</f>
        <v>173.87</v>
      </c>
      <c r="O27" s="7">
        <v>793518</v>
      </c>
      <c r="P27" s="7">
        <v>477943.95</v>
      </c>
      <c r="Q27" s="7">
        <v>315574.05</v>
      </c>
    </row>
    <row r="28" spans="1:17" x14ac:dyDescent="0.3">
      <c r="A28" t="s">
        <v>17</v>
      </c>
      <c r="B28" t="s">
        <v>65</v>
      </c>
      <c r="C28" t="s">
        <v>33</v>
      </c>
      <c r="D28" t="s">
        <v>25</v>
      </c>
      <c r="E28" t="s">
        <v>38</v>
      </c>
      <c r="F28" s="5">
        <v>41925</v>
      </c>
      <c r="G28" s="6">
        <f t="shared" si="1"/>
        <v>2014</v>
      </c>
      <c r="H28">
        <v>347140347</v>
      </c>
      <c r="I28" s="5">
        <v>41953</v>
      </c>
      <c r="J28" s="6">
        <f t="shared" si="0"/>
        <v>2014</v>
      </c>
      <c r="K28" s="7">
        <v>5398</v>
      </c>
      <c r="L28" s="7">
        <v>9.33</v>
      </c>
      <c r="M28" s="7">
        <v>6.92</v>
      </c>
      <c r="N28" s="7">
        <f>SylipTable[[#This Row],[Unit Price]]-SylipTable[[#This Row],[Unit Cost]]</f>
        <v>2.41</v>
      </c>
      <c r="O28" s="7">
        <v>50363.34</v>
      </c>
      <c r="P28" s="7">
        <v>37354.160000000003</v>
      </c>
      <c r="Q28" s="7">
        <v>13009.18</v>
      </c>
    </row>
    <row r="29" spans="1:17" x14ac:dyDescent="0.3">
      <c r="A29" t="s">
        <v>31</v>
      </c>
      <c r="B29" t="s">
        <v>66</v>
      </c>
      <c r="C29" t="s">
        <v>33</v>
      </c>
      <c r="D29" t="s">
        <v>25</v>
      </c>
      <c r="E29" t="s">
        <v>30</v>
      </c>
      <c r="F29" s="5">
        <v>40305</v>
      </c>
      <c r="G29" s="6">
        <f t="shared" si="1"/>
        <v>2010</v>
      </c>
      <c r="H29">
        <v>686048400</v>
      </c>
      <c r="I29" s="5">
        <v>40308</v>
      </c>
      <c r="J29" s="6">
        <f t="shared" si="0"/>
        <v>2010</v>
      </c>
      <c r="K29" s="7">
        <v>5822</v>
      </c>
      <c r="L29" s="7">
        <v>9.33</v>
      </c>
      <c r="M29" s="7">
        <v>6.92</v>
      </c>
      <c r="N29" s="7">
        <f>SylipTable[[#This Row],[Unit Price]]-SylipTable[[#This Row],[Unit Cost]]</f>
        <v>2.41</v>
      </c>
      <c r="O29" s="7">
        <v>54319.26</v>
      </c>
      <c r="P29" s="7">
        <v>40288.239999999998</v>
      </c>
      <c r="Q29" s="7">
        <v>14031.02</v>
      </c>
    </row>
    <row r="30" spans="1:17" x14ac:dyDescent="0.3">
      <c r="A30" t="s">
        <v>27</v>
      </c>
      <c r="B30" t="s">
        <v>59</v>
      </c>
      <c r="C30" t="s">
        <v>55</v>
      </c>
      <c r="D30" t="s">
        <v>20</v>
      </c>
      <c r="E30" t="s">
        <v>26</v>
      </c>
      <c r="F30" s="5">
        <v>41838</v>
      </c>
      <c r="G30" s="6">
        <f t="shared" si="1"/>
        <v>2014</v>
      </c>
      <c r="H30">
        <v>435608613</v>
      </c>
      <c r="I30" s="5">
        <v>41850</v>
      </c>
      <c r="J30" s="6">
        <f t="shared" si="0"/>
        <v>2014</v>
      </c>
      <c r="K30" s="7">
        <v>5124</v>
      </c>
      <c r="L30" s="7">
        <v>47.45</v>
      </c>
      <c r="M30" s="7">
        <v>31.79</v>
      </c>
      <c r="N30" s="7">
        <f>SylipTable[[#This Row],[Unit Price]]-SylipTable[[#This Row],[Unit Cost]]</f>
        <v>15.660000000000004</v>
      </c>
      <c r="O30" s="7">
        <v>243133.8</v>
      </c>
      <c r="P30" s="7">
        <v>162891.96</v>
      </c>
      <c r="Q30" s="7">
        <v>80241.84</v>
      </c>
    </row>
    <row r="31" spans="1:17" x14ac:dyDescent="0.3">
      <c r="A31" t="s">
        <v>31</v>
      </c>
      <c r="B31" t="s">
        <v>67</v>
      </c>
      <c r="C31" t="s">
        <v>37</v>
      </c>
      <c r="D31" t="s">
        <v>20</v>
      </c>
      <c r="E31" t="s">
        <v>30</v>
      </c>
      <c r="F31" s="5">
        <v>41055</v>
      </c>
      <c r="G31" s="6">
        <f t="shared" si="1"/>
        <v>2012</v>
      </c>
      <c r="H31">
        <v>886494815</v>
      </c>
      <c r="I31" s="5">
        <v>41069</v>
      </c>
      <c r="J31" s="6">
        <f t="shared" si="0"/>
        <v>2012</v>
      </c>
      <c r="K31" s="7">
        <v>2370</v>
      </c>
      <c r="L31" s="7">
        <v>668.27</v>
      </c>
      <c r="M31" s="7">
        <v>502.54</v>
      </c>
      <c r="N31" s="7">
        <f>SylipTable[[#This Row],[Unit Price]]-SylipTable[[#This Row],[Unit Cost]]</f>
        <v>165.72999999999996</v>
      </c>
      <c r="O31" s="7">
        <v>1583799.9</v>
      </c>
      <c r="P31" s="7">
        <v>1191019.8</v>
      </c>
      <c r="Q31" s="7">
        <v>392780.1</v>
      </c>
    </row>
    <row r="32" spans="1:17" x14ac:dyDescent="0.3">
      <c r="A32" t="s">
        <v>27</v>
      </c>
      <c r="B32" t="s">
        <v>68</v>
      </c>
      <c r="C32" t="s">
        <v>53</v>
      </c>
      <c r="D32" t="s">
        <v>20</v>
      </c>
      <c r="E32" t="s">
        <v>38</v>
      </c>
      <c r="F32" s="5">
        <v>41169</v>
      </c>
      <c r="G32" s="6">
        <f t="shared" si="1"/>
        <v>2012</v>
      </c>
      <c r="H32">
        <v>249693334</v>
      </c>
      <c r="I32" s="5">
        <v>41202</v>
      </c>
      <c r="J32" s="6">
        <f t="shared" si="0"/>
        <v>2012</v>
      </c>
      <c r="K32" s="7">
        <v>8661</v>
      </c>
      <c r="L32" s="7">
        <v>437.2</v>
      </c>
      <c r="M32" s="7">
        <v>263.33</v>
      </c>
      <c r="N32" s="7">
        <f>SylipTable[[#This Row],[Unit Price]]-SylipTable[[#This Row],[Unit Cost]]</f>
        <v>173.87</v>
      </c>
      <c r="O32" s="7">
        <v>3786589.2</v>
      </c>
      <c r="P32" s="7">
        <v>2280701.13</v>
      </c>
      <c r="Q32" s="7">
        <v>1505888.07</v>
      </c>
    </row>
    <row r="33" spans="1:17" x14ac:dyDescent="0.3">
      <c r="A33" t="s">
        <v>31</v>
      </c>
      <c r="B33" t="s">
        <v>69</v>
      </c>
      <c r="C33" t="s">
        <v>42</v>
      </c>
      <c r="D33" t="s">
        <v>20</v>
      </c>
      <c r="E33" t="s">
        <v>26</v>
      </c>
      <c r="F33" s="5">
        <v>41637</v>
      </c>
      <c r="G33" s="6">
        <f t="shared" si="1"/>
        <v>2013</v>
      </c>
      <c r="H33">
        <v>406502997</v>
      </c>
      <c r="I33" s="5">
        <v>41667</v>
      </c>
      <c r="J33" s="6">
        <f t="shared" si="0"/>
        <v>2014</v>
      </c>
      <c r="K33" s="7">
        <v>2125</v>
      </c>
      <c r="L33" s="7">
        <v>81.73</v>
      </c>
      <c r="M33" s="7">
        <v>56.67</v>
      </c>
      <c r="N33" s="7">
        <f>SylipTable[[#This Row],[Unit Price]]-SylipTable[[#This Row],[Unit Cost]]</f>
        <v>25.060000000000002</v>
      </c>
      <c r="O33" s="7">
        <v>173676.25</v>
      </c>
      <c r="P33" s="7">
        <v>120423.75</v>
      </c>
      <c r="Q33" s="7">
        <v>53252.5</v>
      </c>
    </row>
    <row r="34" spans="1:17" x14ac:dyDescent="0.3">
      <c r="A34" t="s">
        <v>17</v>
      </c>
      <c r="B34" t="s">
        <v>70</v>
      </c>
      <c r="C34" t="s">
        <v>29</v>
      </c>
      <c r="D34" t="s">
        <v>25</v>
      </c>
      <c r="E34" t="s">
        <v>26</v>
      </c>
      <c r="F34" s="5">
        <v>42304</v>
      </c>
      <c r="G34" s="6">
        <f t="shared" si="1"/>
        <v>2015</v>
      </c>
      <c r="H34">
        <v>158535134</v>
      </c>
      <c r="I34" s="5">
        <v>42333</v>
      </c>
      <c r="J34" s="6">
        <f t="shared" si="0"/>
        <v>2015</v>
      </c>
      <c r="K34" s="7">
        <v>2924</v>
      </c>
      <c r="L34" s="7">
        <v>651.21</v>
      </c>
      <c r="M34" s="7">
        <v>524.96</v>
      </c>
      <c r="N34" s="7">
        <f>SylipTable[[#This Row],[Unit Price]]-SylipTable[[#This Row],[Unit Cost]]</f>
        <v>126.25</v>
      </c>
      <c r="O34" s="7">
        <v>1904138.04</v>
      </c>
      <c r="P34" s="7">
        <v>1534983.04</v>
      </c>
      <c r="Q34" s="7">
        <v>369155</v>
      </c>
    </row>
    <row r="35" spans="1:17" x14ac:dyDescent="0.3">
      <c r="A35" t="s">
        <v>44</v>
      </c>
      <c r="B35" t="s">
        <v>71</v>
      </c>
      <c r="C35" t="s">
        <v>37</v>
      </c>
      <c r="D35" t="s">
        <v>20</v>
      </c>
      <c r="E35" t="s">
        <v>21</v>
      </c>
      <c r="F35" s="5">
        <v>42020</v>
      </c>
      <c r="G35" s="6">
        <f t="shared" si="1"/>
        <v>2015</v>
      </c>
      <c r="H35">
        <v>177713572</v>
      </c>
      <c r="I35" s="5">
        <v>42064</v>
      </c>
      <c r="J35" s="6">
        <f t="shared" si="0"/>
        <v>2015</v>
      </c>
      <c r="K35" s="7">
        <v>8250</v>
      </c>
      <c r="L35" s="7">
        <v>668.27</v>
      </c>
      <c r="M35" s="7">
        <v>502.54</v>
      </c>
      <c r="N35" s="7">
        <f>SylipTable[[#This Row],[Unit Price]]-SylipTable[[#This Row],[Unit Cost]]</f>
        <v>165.72999999999996</v>
      </c>
      <c r="O35" s="7">
        <v>5513227.5</v>
      </c>
      <c r="P35" s="7">
        <v>4145955</v>
      </c>
      <c r="Q35" s="7">
        <v>1367272.5</v>
      </c>
    </row>
    <row r="36" spans="1:17" x14ac:dyDescent="0.3">
      <c r="A36" t="s">
        <v>31</v>
      </c>
      <c r="B36" t="s">
        <v>72</v>
      </c>
      <c r="C36" t="s">
        <v>61</v>
      </c>
      <c r="D36" t="s">
        <v>25</v>
      </c>
      <c r="E36" t="s">
        <v>38</v>
      </c>
      <c r="F36" s="5">
        <v>42791</v>
      </c>
      <c r="G36" s="6">
        <f t="shared" si="1"/>
        <v>2017</v>
      </c>
      <c r="H36">
        <v>756274640</v>
      </c>
      <c r="I36" s="5">
        <v>42791</v>
      </c>
      <c r="J36" s="6">
        <f t="shared" si="0"/>
        <v>2017</v>
      </c>
      <c r="K36" s="7">
        <v>7327</v>
      </c>
      <c r="L36" s="7">
        <v>152.58000000000001</v>
      </c>
      <c r="M36" s="7">
        <v>97.44</v>
      </c>
      <c r="N36" s="7">
        <f>SylipTable[[#This Row],[Unit Price]]-SylipTable[[#This Row],[Unit Cost]]</f>
        <v>55.140000000000015</v>
      </c>
      <c r="O36" s="7">
        <v>1117953.6599999999</v>
      </c>
      <c r="P36" s="7">
        <v>713942.88</v>
      </c>
      <c r="Q36" s="7">
        <v>404010.78</v>
      </c>
    </row>
    <row r="37" spans="1:17" x14ac:dyDescent="0.3">
      <c r="A37" t="s">
        <v>22</v>
      </c>
      <c r="B37" t="s">
        <v>73</v>
      </c>
      <c r="C37" t="s">
        <v>42</v>
      </c>
      <c r="D37" t="s">
        <v>20</v>
      </c>
      <c r="E37" t="s">
        <v>30</v>
      </c>
      <c r="F37" s="5">
        <v>42863</v>
      </c>
      <c r="G37" s="6">
        <f t="shared" si="1"/>
        <v>2017</v>
      </c>
      <c r="H37">
        <v>456767165</v>
      </c>
      <c r="I37" s="5">
        <v>42876</v>
      </c>
      <c r="J37" s="6">
        <f t="shared" si="0"/>
        <v>2017</v>
      </c>
      <c r="K37" s="7">
        <v>6409</v>
      </c>
      <c r="L37" s="7">
        <v>81.73</v>
      </c>
      <c r="M37" s="7">
        <v>56.67</v>
      </c>
      <c r="N37" s="7">
        <f>SylipTable[[#This Row],[Unit Price]]-SylipTable[[#This Row],[Unit Cost]]</f>
        <v>25.060000000000002</v>
      </c>
      <c r="O37" s="7">
        <v>523807.57</v>
      </c>
      <c r="P37" s="7">
        <v>363198.03</v>
      </c>
      <c r="Q37" s="7">
        <v>160609.54</v>
      </c>
    </row>
    <row r="38" spans="1:17" x14ac:dyDescent="0.3">
      <c r="A38" t="s">
        <v>74</v>
      </c>
      <c r="B38" t="s">
        <v>75</v>
      </c>
      <c r="C38" t="s">
        <v>33</v>
      </c>
      <c r="D38" t="s">
        <v>25</v>
      </c>
      <c r="E38" t="s">
        <v>30</v>
      </c>
      <c r="F38" s="5">
        <v>40869</v>
      </c>
      <c r="G38" s="6">
        <f t="shared" si="1"/>
        <v>2011</v>
      </c>
      <c r="H38">
        <v>162052476</v>
      </c>
      <c r="I38" s="5">
        <v>40880</v>
      </c>
      <c r="J38" s="6">
        <f t="shared" si="0"/>
        <v>2011</v>
      </c>
      <c r="K38" s="7">
        <v>3784</v>
      </c>
      <c r="L38" s="7">
        <v>9.33</v>
      </c>
      <c r="M38" s="7">
        <v>6.92</v>
      </c>
      <c r="N38" s="7">
        <f>SylipTable[[#This Row],[Unit Price]]-SylipTable[[#This Row],[Unit Cost]]</f>
        <v>2.41</v>
      </c>
      <c r="O38" s="7">
        <v>35304.720000000001</v>
      </c>
      <c r="P38" s="7">
        <v>26185.279999999999</v>
      </c>
      <c r="Q38" s="7">
        <v>9119.44</v>
      </c>
    </row>
    <row r="39" spans="1:17" x14ac:dyDescent="0.3">
      <c r="A39" t="s">
        <v>31</v>
      </c>
      <c r="B39" t="s">
        <v>67</v>
      </c>
      <c r="C39" t="s">
        <v>58</v>
      </c>
      <c r="D39" t="s">
        <v>25</v>
      </c>
      <c r="E39" t="s">
        <v>38</v>
      </c>
      <c r="F39" s="5">
        <v>42749</v>
      </c>
      <c r="G39" s="6">
        <f t="shared" si="1"/>
        <v>2017</v>
      </c>
      <c r="H39">
        <v>825304400</v>
      </c>
      <c r="I39" s="5">
        <v>42758</v>
      </c>
      <c r="J39" s="6">
        <f t="shared" si="0"/>
        <v>2017</v>
      </c>
      <c r="K39" s="7">
        <v>4767</v>
      </c>
      <c r="L39" s="7">
        <v>421.89</v>
      </c>
      <c r="M39" s="7">
        <v>364.69</v>
      </c>
      <c r="N39" s="7">
        <f>SylipTable[[#This Row],[Unit Price]]-SylipTable[[#This Row],[Unit Cost]]</f>
        <v>57.199999999999989</v>
      </c>
      <c r="O39" s="7">
        <v>2011149.63</v>
      </c>
      <c r="P39" s="7">
        <v>1738477.23</v>
      </c>
      <c r="Q39" s="7">
        <v>272672.40000000002</v>
      </c>
    </row>
    <row r="40" spans="1:17" x14ac:dyDescent="0.3">
      <c r="A40" t="s">
        <v>44</v>
      </c>
      <c r="B40" t="s">
        <v>76</v>
      </c>
      <c r="C40" t="s">
        <v>29</v>
      </c>
      <c r="D40" t="s">
        <v>25</v>
      </c>
      <c r="E40" t="s">
        <v>30</v>
      </c>
      <c r="F40" s="5">
        <v>41000</v>
      </c>
      <c r="G40" s="6">
        <f t="shared" si="1"/>
        <v>2012</v>
      </c>
      <c r="H40">
        <v>320009267</v>
      </c>
      <c r="I40" s="5">
        <v>41037</v>
      </c>
      <c r="J40" s="6">
        <f t="shared" si="0"/>
        <v>2012</v>
      </c>
      <c r="K40" s="7">
        <v>6708</v>
      </c>
      <c r="L40" s="7">
        <v>651.21</v>
      </c>
      <c r="M40" s="7">
        <v>524.96</v>
      </c>
      <c r="N40" s="7">
        <f>SylipTable[[#This Row],[Unit Price]]-SylipTable[[#This Row],[Unit Cost]]</f>
        <v>126.25</v>
      </c>
      <c r="O40" s="7">
        <v>4368316.68</v>
      </c>
      <c r="P40" s="7">
        <v>3521431.68</v>
      </c>
      <c r="Q40" s="7">
        <v>846885</v>
      </c>
    </row>
    <row r="41" spans="1:17" x14ac:dyDescent="0.3">
      <c r="A41" t="s">
        <v>27</v>
      </c>
      <c r="B41" t="s">
        <v>51</v>
      </c>
      <c r="C41" t="s">
        <v>29</v>
      </c>
      <c r="D41" t="s">
        <v>25</v>
      </c>
      <c r="E41" t="s">
        <v>38</v>
      </c>
      <c r="F41" s="5">
        <v>40955</v>
      </c>
      <c r="G41" s="6">
        <f t="shared" si="1"/>
        <v>2012</v>
      </c>
      <c r="H41">
        <v>189965903</v>
      </c>
      <c r="I41" s="5">
        <v>40967</v>
      </c>
      <c r="J41" s="6">
        <f t="shared" si="0"/>
        <v>2012</v>
      </c>
      <c r="K41" s="7">
        <v>3987</v>
      </c>
      <c r="L41" s="7">
        <v>651.21</v>
      </c>
      <c r="M41" s="7">
        <v>524.96</v>
      </c>
      <c r="N41" s="7">
        <f>SylipTable[[#This Row],[Unit Price]]-SylipTable[[#This Row],[Unit Cost]]</f>
        <v>126.25</v>
      </c>
      <c r="O41" s="7">
        <v>2596374.27</v>
      </c>
      <c r="P41" s="7">
        <v>2093015.52</v>
      </c>
      <c r="Q41" s="7">
        <v>503358.75</v>
      </c>
    </row>
    <row r="42" spans="1:17" x14ac:dyDescent="0.3">
      <c r="A42" t="s">
        <v>31</v>
      </c>
      <c r="B42" t="s">
        <v>77</v>
      </c>
      <c r="C42" t="s">
        <v>42</v>
      </c>
      <c r="D42" t="s">
        <v>25</v>
      </c>
      <c r="E42" t="s">
        <v>21</v>
      </c>
      <c r="F42" s="5">
        <v>42805</v>
      </c>
      <c r="G42" s="6">
        <f t="shared" si="1"/>
        <v>2017</v>
      </c>
      <c r="H42">
        <v>699285638</v>
      </c>
      <c r="I42" s="5">
        <v>42822</v>
      </c>
      <c r="J42" s="6">
        <f t="shared" si="0"/>
        <v>2017</v>
      </c>
      <c r="K42" s="7">
        <v>3015</v>
      </c>
      <c r="L42" s="7">
        <v>81.73</v>
      </c>
      <c r="M42" s="7">
        <v>56.67</v>
      </c>
      <c r="N42" s="7">
        <f>SylipTable[[#This Row],[Unit Price]]-SylipTable[[#This Row],[Unit Cost]]</f>
        <v>25.060000000000002</v>
      </c>
      <c r="O42" s="7">
        <v>246415.95</v>
      </c>
      <c r="P42" s="7">
        <v>170860.05</v>
      </c>
      <c r="Q42" s="7">
        <v>75555.899999999994</v>
      </c>
    </row>
    <row r="43" spans="1:17" x14ac:dyDescent="0.3">
      <c r="A43" t="s">
        <v>74</v>
      </c>
      <c r="B43" t="s">
        <v>78</v>
      </c>
      <c r="C43" t="s">
        <v>53</v>
      </c>
      <c r="D43" t="s">
        <v>25</v>
      </c>
      <c r="E43" t="s">
        <v>38</v>
      </c>
      <c r="F43" s="5">
        <v>40215</v>
      </c>
      <c r="G43" s="6">
        <f t="shared" si="1"/>
        <v>2010</v>
      </c>
      <c r="H43">
        <v>382392299</v>
      </c>
      <c r="I43" s="5">
        <v>40234</v>
      </c>
      <c r="J43" s="6">
        <f t="shared" si="0"/>
        <v>2010</v>
      </c>
      <c r="K43" s="7">
        <v>7234</v>
      </c>
      <c r="L43" s="7">
        <v>437.2</v>
      </c>
      <c r="M43" s="7">
        <v>263.33</v>
      </c>
      <c r="N43" s="7">
        <f>SylipTable[[#This Row],[Unit Price]]-SylipTable[[#This Row],[Unit Cost]]</f>
        <v>173.87</v>
      </c>
      <c r="O43" s="7">
        <v>3162704.8</v>
      </c>
      <c r="P43" s="7">
        <v>1904929.22</v>
      </c>
      <c r="Q43" s="7">
        <v>1257775.58</v>
      </c>
    </row>
    <row r="44" spans="1:17" x14ac:dyDescent="0.3">
      <c r="A44" t="s">
        <v>31</v>
      </c>
      <c r="B44" t="s">
        <v>67</v>
      </c>
      <c r="C44" t="s">
        <v>24</v>
      </c>
      <c r="D44" t="s">
        <v>20</v>
      </c>
      <c r="E44" t="s">
        <v>21</v>
      </c>
      <c r="F44" s="5">
        <v>41067</v>
      </c>
      <c r="G44" s="6">
        <f t="shared" si="1"/>
        <v>2012</v>
      </c>
      <c r="H44">
        <v>994022214</v>
      </c>
      <c r="I44" s="5">
        <v>41068</v>
      </c>
      <c r="J44" s="6">
        <f t="shared" si="0"/>
        <v>2012</v>
      </c>
      <c r="K44" s="7">
        <v>2117</v>
      </c>
      <c r="L44" s="7">
        <v>205.7</v>
      </c>
      <c r="M44" s="7">
        <v>117.11</v>
      </c>
      <c r="N44" s="7">
        <f>SylipTable[[#This Row],[Unit Price]]-SylipTable[[#This Row],[Unit Cost]]</f>
        <v>88.589999999999989</v>
      </c>
      <c r="O44" s="7">
        <v>435466.9</v>
      </c>
      <c r="P44" s="7">
        <v>247921.87</v>
      </c>
      <c r="Q44" s="7">
        <v>187545.03</v>
      </c>
    </row>
    <row r="45" spans="1:17" x14ac:dyDescent="0.3">
      <c r="A45" t="s">
        <v>27</v>
      </c>
      <c r="B45" t="s">
        <v>79</v>
      </c>
      <c r="C45" t="s">
        <v>40</v>
      </c>
      <c r="D45" t="s">
        <v>25</v>
      </c>
      <c r="E45" t="s">
        <v>21</v>
      </c>
      <c r="F45" s="5">
        <v>41188</v>
      </c>
      <c r="G45" s="6">
        <f t="shared" si="1"/>
        <v>2012</v>
      </c>
      <c r="H45">
        <v>759224212</v>
      </c>
      <c r="I45" s="5">
        <v>41223</v>
      </c>
      <c r="J45" s="6">
        <f t="shared" si="0"/>
        <v>2012</v>
      </c>
      <c r="K45" s="7">
        <v>171</v>
      </c>
      <c r="L45" s="7">
        <v>154.06</v>
      </c>
      <c r="M45" s="7">
        <v>90.93</v>
      </c>
      <c r="N45" s="7">
        <f>SylipTable[[#This Row],[Unit Price]]-SylipTable[[#This Row],[Unit Cost]]</f>
        <v>63.129999999999995</v>
      </c>
      <c r="O45" s="7">
        <v>26344.26</v>
      </c>
      <c r="P45" s="7">
        <v>15549.03</v>
      </c>
      <c r="Q45" s="7">
        <v>10795.23</v>
      </c>
    </row>
    <row r="46" spans="1:17" x14ac:dyDescent="0.3">
      <c r="A46" t="s">
        <v>44</v>
      </c>
      <c r="B46" t="s">
        <v>71</v>
      </c>
      <c r="C46" t="s">
        <v>47</v>
      </c>
      <c r="D46" t="s">
        <v>25</v>
      </c>
      <c r="E46" t="s">
        <v>21</v>
      </c>
      <c r="F46" s="5">
        <v>42322</v>
      </c>
      <c r="G46" s="6">
        <f t="shared" si="1"/>
        <v>2015</v>
      </c>
      <c r="H46">
        <v>223359620</v>
      </c>
      <c r="I46" s="5">
        <v>42326</v>
      </c>
      <c r="J46" s="6">
        <f t="shared" si="0"/>
        <v>2015</v>
      </c>
      <c r="K46" s="7">
        <v>5930</v>
      </c>
      <c r="L46" s="7">
        <v>109.28</v>
      </c>
      <c r="M46" s="7">
        <v>35.840000000000003</v>
      </c>
      <c r="N46" s="7">
        <f>SylipTable[[#This Row],[Unit Price]]-SylipTable[[#This Row],[Unit Cost]]</f>
        <v>73.44</v>
      </c>
      <c r="O46" s="7">
        <v>648030.4</v>
      </c>
      <c r="P46" s="7">
        <v>212531.20000000001</v>
      </c>
      <c r="Q46" s="7">
        <v>435499.2</v>
      </c>
    </row>
    <row r="47" spans="1:17" x14ac:dyDescent="0.3">
      <c r="A47" t="s">
        <v>31</v>
      </c>
      <c r="B47" t="s">
        <v>80</v>
      </c>
      <c r="C47" t="s">
        <v>24</v>
      </c>
      <c r="D47" t="s">
        <v>20</v>
      </c>
      <c r="E47" t="s">
        <v>21</v>
      </c>
      <c r="F47" s="5">
        <v>42458</v>
      </c>
      <c r="G47" s="6">
        <f t="shared" si="1"/>
        <v>2016</v>
      </c>
      <c r="H47">
        <v>902102267</v>
      </c>
      <c r="I47" s="5">
        <v>42489</v>
      </c>
      <c r="J47" s="6">
        <f t="shared" si="0"/>
        <v>2016</v>
      </c>
      <c r="K47" s="7">
        <v>962</v>
      </c>
      <c r="L47" s="7">
        <v>205.7</v>
      </c>
      <c r="M47" s="7">
        <v>117.11</v>
      </c>
      <c r="N47" s="7">
        <f>SylipTable[[#This Row],[Unit Price]]-SylipTable[[#This Row],[Unit Cost]]</f>
        <v>88.589999999999989</v>
      </c>
      <c r="O47" s="7">
        <v>197883.4</v>
      </c>
      <c r="P47" s="7">
        <v>112659.82</v>
      </c>
      <c r="Q47" s="7">
        <v>85223.58</v>
      </c>
    </row>
    <row r="48" spans="1:17" x14ac:dyDescent="0.3">
      <c r="A48" t="s">
        <v>27</v>
      </c>
      <c r="B48" t="s">
        <v>81</v>
      </c>
      <c r="C48" t="s">
        <v>53</v>
      </c>
      <c r="D48" t="s">
        <v>25</v>
      </c>
      <c r="E48" t="s">
        <v>26</v>
      </c>
      <c r="F48" s="5">
        <v>42735</v>
      </c>
      <c r="G48" s="6">
        <f t="shared" si="1"/>
        <v>2016</v>
      </c>
      <c r="H48">
        <v>331438481</v>
      </c>
      <c r="I48" s="5">
        <v>42735</v>
      </c>
      <c r="J48" s="6">
        <f t="shared" si="0"/>
        <v>2016</v>
      </c>
      <c r="K48" s="7">
        <v>8867</v>
      </c>
      <c r="L48" s="7">
        <v>437.2</v>
      </c>
      <c r="M48" s="7">
        <v>263.33</v>
      </c>
      <c r="N48" s="7">
        <f>SylipTable[[#This Row],[Unit Price]]-SylipTable[[#This Row],[Unit Cost]]</f>
        <v>173.87</v>
      </c>
      <c r="O48" s="7">
        <v>3876652.4</v>
      </c>
      <c r="P48" s="7">
        <v>2334947.11</v>
      </c>
      <c r="Q48" s="7">
        <v>1541705.29</v>
      </c>
    </row>
    <row r="49" spans="1:17" x14ac:dyDescent="0.3">
      <c r="A49" t="s">
        <v>27</v>
      </c>
      <c r="B49" t="s">
        <v>68</v>
      </c>
      <c r="C49" t="s">
        <v>42</v>
      </c>
      <c r="D49" t="s">
        <v>25</v>
      </c>
      <c r="E49" t="s">
        <v>38</v>
      </c>
      <c r="F49" s="5">
        <v>40535</v>
      </c>
      <c r="G49" s="6">
        <f t="shared" si="1"/>
        <v>2010</v>
      </c>
      <c r="H49">
        <v>617667090</v>
      </c>
      <c r="I49" s="5">
        <v>40574</v>
      </c>
      <c r="J49" s="6">
        <f t="shared" si="0"/>
        <v>2011</v>
      </c>
      <c r="K49" s="7">
        <v>273</v>
      </c>
      <c r="L49" s="7">
        <v>81.73</v>
      </c>
      <c r="M49" s="7">
        <v>56.67</v>
      </c>
      <c r="N49" s="7">
        <f>SylipTable[[#This Row],[Unit Price]]-SylipTable[[#This Row],[Unit Cost]]</f>
        <v>25.060000000000002</v>
      </c>
      <c r="O49" s="7">
        <v>22312.29</v>
      </c>
      <c r="P49" s="7">
        <v>15470.91</v>
      </c>
      <c r="Q49" s="7">
        <v>6841.38</v>
      </c>
    </row>
    <row r="50" spans="1:17" x14ac:dyDescent="0.3">
      <c r="A50" t="s">
        <v>27</v>
      </c>
      <c r="B50" t="s">
        <v>82</v>
      </c>
      <c r="C50" t="s">
        <v>47</v>
      </c>
      <c r="D50" t="s">
        <v>20</v>
      </c>
      <c r="E50" t="s">
        <v>26</v>
      </c>
      <c r="F50" s="5">
        <v>41926</v>
      </c>
      <c r="G50" s="6">
        <f t="shared" si="1"/>
        <v>2014</v>
      </c>
      <c r="H50">
        <v>787399423</v>
      </c>
      <c r="I50" s="5">
        <v>41957</v>
      </c>
      <c r="J50" s="6">
        <f t="shared" si="0"/>
        <v>2014</v>
      </c>
      <c r="K50" s="7">
        <v>7842</v>
      </c>
      <c r="L50" s="7">
        <v>109.28</v>
      </c>
      <c r="M50" s="7">
        <v>35.840000000000003</v>
      </c>
      <c r="N50" s="7">
        <f>SylipTable[[#This Row],[Unit Price]]-SylipTable[[#This Row],[Unit Cost]]</f>
        <v>73.44</v>
      </c>
      <c r="O50" s="7">
        <v>856973.76</v>
      </c>
      <c r="P50" s="7">
        <v>281057.28000000003</v>
      </c>
      <c r="Q50" s="7">
        <v>575916.48</v>
      </c>
    </row>
    <row r="51" spans="1:17" x14ac:dyDescent="0.3">
      <c r="A51" t="s">
        <v>31</v>
      </c>
      <c r="B51" t="s">
        <v>83</v>
      </c>
      <c r="C51" t="s">
        <v>29</v>
      </c>
      <c r="D51" t="s">
        <v>20</v>
      </c>
      <c r="E51" t="s">
        <v>26</v>
      </c>
      <c r="F51" s="5">
        <v>40919</v>
      </c>
      <c r="G51" s="6">
        <f t="shared" si="1"/>
        <v>2012</v>
      </c>
      <c r="H51">
        <v>837559306</v>
      </c>
      <c r="I51" s="5">
        <v>40921</v>
      </c>
      <c r="J51" s="6">
        <f t="shared" si="0"/>
        <v>2012</v>
      </c>
      <c r="K51" s="7">
        <v>1266</v>
      </c>
      <c r="L51" s="7">
        <v>651.21</v>
      </c>
      <c r="M51" s="7">
        <v>524.96</v>
      </c>
      <c r="N51" s="7">
        <f>SylipTable[[#This Row],[Unit Price]]-SylipTable[[#This Row],[Unit Cost]]</f>
        <v>126.25</v>
      </c>
      <c r="O51" s="7">
        <v>824431.86</v>
      </c>
      <c r="P51" s="7">
        <v>664599.36</v>
      </c>
      <c r="Q51" s="7">
        <v>159832.5</v>
      </c>
    </row>
    <row r="52" spans="1:17" x14ac:dyDescent="0.3">
      <c r="A52" t="s">
        <v>27</v>
      </c>
      <c r="B52" t="s">
        <v>84</v>
      </c>
      <c r="C52" t="s">
        <v>47</v>
      </c>
      <c r="D52" t="s">
        <v>25</v>
      </c>
      <c r="E52" t="s">
        <v>26</v>
      </c>
      <c r="F52" s="5">
        <v>40211</v>
      </c>
      <c r="G52" s="6">
        <f t="shared" si="1"/>
        <v>2010</v>
      </c>
      <c r="H52">
        <v>385383069</v>
      </c>
      <c r="I52" s="5">
        <v>40255</v>
      </c>
      <c r="J52" s="6">
        <f t="shared" si="0"/>
        <v>2010</v>
      </c>
      <c r="K52" s="7">
        <v>2269</v>
      </c>
      <c r="L52" s="7">
        <v>109.28</v>
      </c>
      <c r="M52" s="7">
        <v>35.840000000000003</v>
      </c>
      <c r="N52" s="7">
        <f>SylipTable[[#This Row],[Unit Price]]-SylipTable[[#This Row],[Unit Cost]]</f>
        <v>73.44</v>
      </c>
      <c r="O52" s="7">
        <v>247956.32</v>
      </c>
      <c r="P52" s="7">
        <v>81320.960000000006</v>
      </c>
      <c r="Q52" s="7">
        <v>166635.35999999999</v>
      </c>
    </row>
    <row r="53" spans="1:17" x14ac:dyDescent="0.3">
      <c r="A53" t="s">
        <v>31</v>
      </c>
      <c r="B53" t="s">
        <v>85</v>
      </c>
      <c r="C53" t="s">
        <v>33</v>
      </c>
      <c r="D53" t="s">
        <v>25</v>
      </c>
      <c r="E53" t="s">
        <v>30</v>
      </c>
      <c r="F53" s="5">
        <v>41504</v>
      </c>
      <c r="G53" s="6">
        <f t="shared" si="1"/>
        <v>2013</v>
      </c>
      <c r="H53">
        <v>918419539</v>
      </c>
      <c r="I53" s="5">
        <v>41535</v>
      </c>
      <c r="J53" s="6">
        <f t="shared" si="0"/>
        <v>2013</v>
      </c>
      <c r="K53" s="7">
        <v>9606</v>
      </c>
      <c r="L53" s="7">
        <v>9.33</v>
      </c>
      <c r="M53" s="7">
        <v>6.92</v>
      </c>
      <c r="N53" s="7">
        <f>SylipTable[[#This Row],[Unit Price]]-SylipTable[[#This Row],[Unit Cost]]</f>
        <v>2.41</v>
      </c>
      <c r="O53" s="7">
        <v>89623.98</v>
      </c>
      <c r="P53" s="7">
        <v>66473.52</v>
      </c>
      <c r="Q53" s="7">
        <v>23150.46</v>
      </c>
    </row>
    <row r="54" spans="1:17" x14ac:dyDescent="0.3">
      <c r="A54" t="s">
        <v>74</v>
      </c>
      <c r="B54" t="s">
        <v>86</v>
      </c>
      <c r="C54" t="s">
        <v>24</v>
      </c>
      <c r="D54" t="s">
        <v>25</v>
      </c>
      <c r="E54" t="s">
        <v>38</v>
      </c>
      <c r="F54" s="5">
        <v>41358</v>
      </c>
      <c r="G54" s="6">
        <f t="shared" si="1"/>
        <v>2013</v>
      </c>
      <c r="H54">
        <v>844530045</v>
      </c>
      <c r="I54" s="5">
        <v>41361</v>
      </c>
      <c r="J54" s="6">
        <f t="shared" si="0"/>
        <v>2013</v>
      </c>
      <c r="K54" s="7">
        <v>4063</v>
      </c>
      <c r="L54" s="7">
        <v>205.7</v>
      </c>
      <c r="M54" s="7">
        <v>117.11</v>
      </c>
      <c r="N54" s="7">
        <f>SylipTable[[#This Row],[Unit Price]]-SylipTable[[#This Row],[Unit Cost]]</f>
        <v>88.589999999999989</v>
      </c>
      <c r="O54" s="7">
        <v>835759.1</v>
      </c>
      <c r="P54" s="7">
        <v>475817.93</v>
      </c>
      <c r="Q54" s="7">
        <v>359941.17</v>
      </c>
    </row>
    <row r="55" spans="1:17" x14ac:dyDescent="0.3">
      <c r="A55" t="s">
        <v>31</v>
      </c>
      <c r="B55" t="s">
        <v>87</v>
      </c>
      <c r="C55" t="s">
        <v>29</v>
      </c>
      <c r="D55" t="s">
        <v>20</v>
      </c>
      <c r="E55" t="s">
        <v>38</v>
      </c>
      <c r="F55" s="5">
        <v>40873</v>
      </c>
      <c r="G55" s="6">
        <f t="shared" si="1"/>
        <v>2011</v>
      </c>
      <c r="H55">
        <v>441888415</v>
      </c>
      <c r="I55" s="5">
        <v>40915</v>
      </c>
      <c r="J55" s="6">
        <f t="shared" si="0"/>
        <v>2012</v>
      </c>
      <c r="K55" s="7">
        <v>3457</v>
      </c>
      <c r="L55" s="7">
        <v>651.21</v>
      </c>
      <c r="M55" s="7">
        <v>524.96</v>
      </c>
      <c r="N55" s="7">
        <f>SylipTable[[#This Row],[Unit Price]]-SylipTable[[#This Row],[Unit Cost]]</f>
        <v>126.25</v>
      </c>
      <c r="O55" s="7">
        <v>2251232.9700000002</v>
      </c>
      <c r="P55" s="7">
        <v>1814786.72</v>
      </c>
      <c r="Q55" s="7">
        <v>436446.25</v>
      </c>
    </row>
    <row r="56" spans="1:17" x14ac:dyDescent="0.3">
      <c r="A56" t="s">
        <v>31</v>
      </c>
      <c r="B56" t="s">
        <v>32</v>
      </c>
      <c r="C56" t="s">
        <v>33</v>
      </c>
      <c r="D56" t="s">
        <v>20</v>
      </c>
      <c r="E56" t="s">
        <v>21</v>
      </c>
      <c r="F56" s="5">
        <v>41534</v>
      </c>
      <c r="G56" s="6">
        <f t="shared" si="1"/>
        <v>2013</v>
      </c>
      <c r="H56">
        <v>508980977</v>
      </c>
      <c r="I56" s="5">
        <v>41571</v>
      </c>
      <c r="J56" s="6">
        <f t="shared" si="0"/>
        <v>2013</v>
      </c>
      <c r="K56" s="7">
        <v>7637</v>
      </c>
      <c r="L56" s="7">
        <v>9.33</v>
      </c>
      <c r="M56" s="7">
        <v>6.92</v>
      </c>
      <c r="N56" s="7">
        <f>SylipTable[[#This Row],[Unit Price]]-SylipTable[[#This Row],[Unit Cost]]</f>
        <v>2.41</v>
      </c>
      <c r="O56" s="7">
        <v>71253.210000000006</v>
      </c>
      <c r="P56" s="7">
        <v>52848.04</v>
      </c>
      <c r="Q56" s="7">
        <v>18405.169999999998</v>
      </c>
    </row>
    <row r="57" spans="1:17" x14ac:dyDescent="0.3">
      <c r="A57" t="s">
        <v>31</v>
      </c>
      <c r="B57" t="s">
        <v>88</v>
      </c>
      <c r="C57" t="s">
        <v>47</v>
      </c>
      <c r="D57" t="s">
        <v>25</v>
      </c>
      <c r="E57" t="s">
        <v>26</v>
      </c>
      <c r="F57" s="5">
        <v>41068</v>
      </c>
      <c r="G57" s="6">
        <f t="shared" si="1"/>
        <v>2012</v>
      </c>
      <c r="H57">
        <v>114606559</v>
      </c>
      <c r="I57" s="5">
        <v>41087</v>
      </c>
      <c r="J57" s="6">
        <f t="shared" si="0"/>
        <v>2012</v>
      </c>
      <c r="K57" s="7">
        <v>3482</v>
      </c>
      <c r="L57" s="7">
        <v>109.28</v>
      </c>
      <c r="M57" s="7">
        <v>35.840000000000003</v>
      </c>
      <c r="N57" s="7">
        <f>SylipTable[[#This Row],[Unit Price]]-SylipTable[[#This Row],[Unit Cost]]</f>
        <v>73.44</v>
      </c>
      <c r="O57" s="7">
        <v>380512.96</v>
      </c>
      <c r="P57" s="7">
        <v>124794.88</v>
      </c>
      <c r="Q57" s="7">
        <v>255718.08</v>
      </c>
    </row>
    <row r="58" spans="1:17" x14ac:dyDescent="0.3">
      <c r="A58" t="s">
        <v>17</v>
      </c>
      <c r="B58" t="s">
        <v>89</v>
      </c>
      <c r="C58" t="s">
        <v>47</v>
      </c>
      <c r="D58" t="s">
        <v>20</v>
      </c>
      <c r="E58" t="s">
        <v>26</v>
      </c>
      <c r="F58" s="5">
        <v>40359</v>
      </c>
      <c r="G58" s="6">
        <f t="shared" si="1"/>
        <v>2010</v>
      </c>
      <c r="H58">
        <v>647876489</v>
      </c>
      <c r="I58" s="5">
        <v>40391</v>
      </c>
      <c r="J58" s="6">
        <f t="shared" si="0"/>
        <v>2010</v>
      </c>
      <c r="K58" s="7">
        <v>9905</v>
      </c>
      <c r="L58" s="7">
        <v>109.28</v>
      </c>
      <c r="M58" s="7">
        <v>35.840000000000003</v>
      </c>
      <c r="N58" s="7">
        <f>SylipTable[[#This Row],[Unit Price]]-SylipTable[[#This Row],[Unit Cost]]</f>
        <v>73.44</v>
      </c>
      <c r="O58" s="7">
        <v>1082418.3999999999</v>
      </c>
      <c r="P58" s="7">
        <v>354995.20000000001</v>
      </c>
      <c r="Q58" s="7">
        <v>727423.2</v>
      </c>
    </row>
    <row r="59" spans="1:17" x14ac:dyDescent="0.3">
      <c r="A59" t="s">
        <v>27</v>
      </c>
      <c r="B59" t="s">
        <v>90</v>
      </c>
      <c r="C59" t="s">
        <v>53</v>
      </c>
      <c r="D59" t="s">
        <v>20</v>
      </c>
      <c r="E59" t="s">
        <v>21</v>
      </c>
      <c r="F59" s="5">
        <v>42058</v>
      </c>
      <c r="G59" s="6">
        <f t="shared" si="1"/>
        <v>2015</v>
      </c>
      <c r="H59">
        <v>868214595</v>
      </c>
      <c r="I59" s="5">
        <v>42065</v>
      </c>
      <c r="J59" s="6">
        <f t="shared" si="0"/>
        <v>2015</v>
      </c>
      <c r="K59" s="7">
        <v>2847</v>
      </c>
      <c r="L59" s="7">
        <v>437.2</v>
      </c>
      <c r="M59" s="7">
        <v>263.33</v>
      </c>
      <c r="N59" s="7">
        <f>SylipTable[[#This Row],[Unit Price]]-SylipTable[[#This Row],[Unit Cost]]</f>
        <v>173.87</v>
      </c>
      <c r="O59" s="7">
        <v>1244708.3999999999</v>
      </c>
      <c r="P59" s="7">
        <v>749700.51</v>
      </c>
      <c r="Q59" s="7">
        <v>495007.89</v>
      </c>
    </row>
    <row r="60" spans="1:17" x14ac:dyDescent="0.3">
      <c r="A60" t="s">
        <v>27</v>
      </c>
      <c r="B60" t="s">
        <v>91</v>
      </c>
      <c r="C60" t="s">
        <v>37</v>
      </c>
      <c r="D60" t="s">
        <v>25</v>
      </c>
      <c r="E60" t="s">
        <v>30</v>
      </c>
      <c r="F60" s="5">
        <v>40913</v>
      </c>
      <c r="G60" s="6">
        <f t="shared" si="1"/>
        <v>2012</v>
      </c>
      <c r="H60">
        <v>955357205</v>
      </c>
      <c r="I60" s="5">
        <v>40953</v>
      </c>
      <c r="J60" s="6">
        <f t="shared" si="0"/>
        <v>2012</v>
      </c>
      <c r="K60" s="7">
        <v>282</v>
      </c>
      <c r="L60" s="7">
        <v>668.27</v>
      </c>
      <c r="M60" s="7">
        <v>502.54</v>
      </c>
      <c r="N60" s="7">
        <f>SylipTable[[#This Row],[Unit Price]]-SylipTable[[#This Row],[Unit Cost]]</f>
        <v>165.72999999999996</v>
      </c>
      <c r="O60" s="7">
        <v>188452.14</v>
      </c>
      <c r="P60" s="7">
        <v>141716.28</v>
      </c>
      <c r="Q60" s="7">
        <v>46735.86</v>
      </c>
    </row>
    <row r="61" spans="1:17" x14ac:dyDescent="0.3">
      <c r="A61" t="s">
        <v>31</v>
      </c>
      <c r="B61" t="s">
        <v>72</v>
      </c>
      <c r="C61" t="s">
        <v>53</v>
      </c>
      <c r="D61" t="s">
        <v>20</v>
      </c>
      <c r="E61" t="s">
        <v>21</v>
      </c>
      <c r="F61" s="5">
        <v>41736</v>
      </c>
      <c r="G61" s="6">
        <f t="shared" si="1"/>
        <v>2014</v>
      </c>
      <c r="H61">
        <v>259353148</v>
      </c>
      <c r="I61" s="5">
        <v>41748</v>
      </c>
      <c r="J61" s="6">
        <f t="shared" si="0"/>
        <v>2014</v>
      </c>
      <c r="K61" s="7">
        <v>7215</v>
      </c>
      <c r="L61" s="7">
        <v>437.2</v>
      </c>
      <c r="M61" s="7">
        <v>263.33</v>
      </c>
      <c r="N61" s="7">
        <f>SylipTable[[#This Row],[Unit Price]]-SylipTable[[#This Row],[Unit Cost]]</f>
        <v>173.87</v>
      </c>
      <c r="O61" s="7">
        <v>3154398</v>
      </c>
      <c r="P61" s="7">
        <v>1899925.95</v>
      </c>
      <c r="Q61" s="7">
        <v>1254472.05</v>
      </c>
    </row>
    <row r="62" spans="1:17" x14ac:dyDescent="0.3">
      <c r="A62" t="s">
        <v>17</v>
      </c>
      <c r="B62" t="s">
        <v>70</v>
      </c>
      <c r="C62" t="s">
        <v>24</v>
      </c>
      <c r="D62" t="s">
        <v>20</v>
      </c>
      <c r="E62" t="s">
        <v>21</v>
      </c>
      <c r="F62" s="5">
        <v>41434</v>
      </c>
      <c r="G62" s="6">
        <f t="shared" si="1"/>
        <v>2013</v>
      </c>
      <c r="H62">
        <v>450563752</v>
      </c>
      <c r="I62" s="5">
        <v>41457</v>
      </c>
      <c r="J62" s="6">
        <f t="shared" si="0"/>
        <v>2013</v>
      </c>
      <c r="K62" s="7">
        <v>682</v>
      </c>
      <c r="L62" s="7">
        <v>205.7</v>
      </c>
      <c r="M62" s="7">
        <v>117.11</v>
      </c>
      <c r="N62" s="7">
        <f>SylipTable[[#This Row],[Unit Price]]-SylipTable[[#This Row],[Unit Cost]]</f>
        <v>88.589999999999989</v>
      </c>
      <c r="O62" s="7">
        <v>140287.4</v>
      </c>
      <c r="P62" s="7">
        <v>79869.02</v>
      </c>
      <c r="Q62" s="7">
        <v>60418.38</v>
      </c>
    </row>
    <row r="63" spans="1:17" x14ac:dyDescent="0.3">
      <c r="A63" t="s">
        <v>27</v>
      </c>
      <c r="B63" t="s">
        <v>92</v>
      </c>
      <c r="C63" t="s">
        <v>19</v>
      </c>
      <c r="D63" t="s">
        <v>25</v>
      </c>
      <c r="E63" t="s">
        <v>30</v>
      </c>
      <c r="F63" s="5">
        <v>41451</v>
      </c>
      <c r="G63" s="6">
        <f t="shared" si="1"/>
        <v>2013</v>
      </c>
      <c r="H63">
        <v>569662845</v>
      </c>
      <c r="I63" s="5">
        <v>41456</v>
      </c>
      <c r="J63" s="6">
        <f t="shared" si="0"/>
        <v>2013</v>
      </c>
      <c r="K63" s="7">
        <v>4750</v>
      </c>
      <c r="L63" s="7">
        <v>255.28</v>
      </c>
      <c r="M63" s="7">
        <v>159.41999999999999</v>
      </c>
      <c r="N63" s="7">
        <f>SylipTable[[#This Row],[Unit Price]]-SylipTable[[#This Row],[Unit Cost]]</f>
        <v>95.860000000000014</v>
      </c>
      <c r="O63" s="7">
        <v>1212580</v>
      </c>
      <c r="P63" s="7">
        <v>757245</v>
      </c>
      <c r="Q63" s="7">
        <v>455335</v>
      </c>
    </row>
    <row r="64" spans="1:17" x14ac:dyDescent="0.3">
      <c r="A64" t="s">
        <v>31</v>
      </c>
      <c r="B64" t="s">
        <v>54</v>
      </c>
      <c r="C64" t="s">
        <v>29</v>
      </c>
      <c r="D64" t="s">
        <v>25</v>
      </c>
      <c r="E64" t="s">
        <v>38</v>
      </c>
      <c r="F64" s="5">
        <v>40854</v>
      </c>
      <c r="G64" s="6">
        <f t="shared" si="1"/>
        <v>2011</v>
      </c>
      <c r="H64">
        <v>177636754</v>
      </c>
      <c r="I64" s="5">
        <v>40862</v>
      </c>
      <c r="J64" s="6">
        <f t="shared" si="0"/>
        <v>2011</v>
      </c>
      <c r="K64" s="7">
        <v>5518</v>
      </c>
      <c r="L64" s="7">
        <v>651.21</v>
      </c>
      <c r="M64" s="7">
        <v>524.96</v>
      </c>
      <c r="N64" s="7">
        <f>SylipTable[[#This Row],[Unit Price]]-SylipTable[[#This Row],[Unit Cost]]</f>
        <v>126.25</v>
      </c>
      <c r="O64" s="7">
        <v>3593376.78</v>
      </c>
      <c r="P64" s="7">
        <v>2896729.28</v>
      </c>
      <c r="Q64" s="7">
        <v>696647.5</v>
      </c>
    </row>
    <row r="65" spans="1:17" x14ac:dyDescent="0.3">
      <c r="A65" t="s">
        <v>74</v>
      </c>
      <c r="B65" t="s">
        <v>93</v>
      </c>
      <c r="C65" t="s">
        <v>47</v>
      </c>
      <c r="D65" t="s">
        <v>20</v>
      </c>
      <c r="E65" t="s">
        <v>21</v>
      </c>
      <c r="F65" s="5">
        <v>40481</v>
      </c>
      <c r="G65" s="6">
        <f t="shared" si="1"/>
        <v>2010</v>
      </c>
      <c r="H65">
        <v>705784308</v>
      </c>
      <c r="I65" s="5">
        <v>40499</v>
      </c>
      <c r="J65" s="6">
        <f t="shared" si="0"/>
        <v>2010</v>
      </c>
      <c r="K65" s="7">
        <v>6116</v>
      </c>
      <c r="L65" s="7">
        <v>109.28</v>
      </c>
      <c r="M65" s="7">
        <v>35.840000000000003</v>
      </c>
      <c r="N65" s="7">
        <f>SylipTable[[#This Row],[Unit Price]]-SylipTable[[#This Row],[Unit Cost]]</f>
        <v>73.44</v>
      </c>
      <c r="O65" s="7">
        <v>668356.48</v>
      </c>
      <c r="P65" s="7">
        <v>219197.44</v>
      </c>
      <c r="Q65" s="7">
        <v>449159.04</v>
      </c>
    </row>
    <row r="66" spans="1:17" x14ac:dyDescent="0.3">
      <c r="A66" t="s">
        <v>22</v>
      </c>
      <c r="B66" t="s">
        <v>94</v>
      </c>
      <c r="C66" t="s">
        <v>53</v>
      </c>
      <c r="D66" t="s">
        <v>20</v>
      </c>
      <c r="E66" t="s">
        <v>21</v>
      </c>
      <c r="F66" s="5">
        <v>41560</v>
      </c>
      <c r="G66" s="6">
        <f t="shared" si="1"/>
        <v>2013</v>
      </c>
      <c r="H66">
        <v>505716836</v>
      </c>
      <c r="I66" s="5">
        <v>41594</v>
      </c>
      <c r="J66" s="6">
        <f t="shared" si="0"/>
        <v>2013</v>
      </c>
      <c r="K66" s="7">
        <v>1705</v>
      </c>
      <c r="L66" s="7">
        <v>437.2</v>
      </c>
      <c r="M66" s="7">
        <v>263.33</v>
      </c>
      <c r="N66" s="7">
        <f>SylipTable[[#This Row],[Unit Price]]-SylipTable[[#This Row],[Unit Cost]]</f>
        <v>173.87</v>
      </c>
      <c r="O66" s="7">
        <v>745426</v>
      </c>
      <c r="P66" s="7">
        <v>448977.65</v>
      </c>
      <c r="Q66" s="7">
        <v>296448.34999999998</v>
      </c>
    </row>
    <row r="67" spans="1:17" x14ac:dyDescent="0.3">
      <c r="A67" t="s">
        <v>31</v>
      </c>
      <c r="B67" t="s">
        <v>34</v>
      </c>
      <c r="C67" t="s">
        <v>53</v>
      </c>
      <c r="D67" t="s">
        <v>20</v>
      </c>
      <c r="E67" t="s">
        <v>21</v>
      </c>
      <c r="F67" s="5">
        <v>41558</v>
      </c>
      <c r="G67" s="6">
        <f t="shared" si="1"/>
        <v>2013</v>
      </c>
      <c r="H67">
        <v>699358165</v>
      </c>
      <c r="I67" s="5">
        <v>41603</v>
      </c>
      <c r="J67" s="6">
        <f t="shared" ref="J67:J101" si="2">YEAR(I67)</f>
        <v>2013</v>
      </c>
      <c r="K67" s="7">
        <v>4477</v>
      </c>
      <c r="L67" s="7">
        <v>437.2</v>
      </c>
      <c r="M67" s="7">
        <v>263.33</v>
      </c>
      <c r="N67" s="7">
        <f>SylipTable[[#This Row],[Unit Price]]-SylipTable[[#This Row],[Unit Cost]]</f>
        <v>173.87</v>
      </c>
      <c r="O67" s="7">
        <v>1957344.4</v>
      </c>
      <c r="P67" s="7">
        <v>1178928.4099999999</v>
      </c>
      <c r="Q67" s="7">
        <v>778415.99</v>
      </c>
    </row>
    <row r="68" spans="1:17" x14ac:dyDescent="0.3">
      <c r="A68" t="s">
        <v>31</v>
      </c>
      <c r="B68" t="s">
        <v>95</v>
      </c>
      <c r="C68" t="s">
        <v>42</v>
      </c>
      <c r="D68" t="s">
        <v>20</v>
      </c>
      <c r="E68" t="s">
        <v>30</v>
      </c>
      <c r="F68" s="5">
        <v>41098</v>
      </c>
      <c r="G68" s="6">
        <f t="shared" ref="G68:G101" si="3">YEAR(F68)</f>
        <v>2012</v>
      </c>
      <c r="H68">
        <v>228944623</v>
      </c>
      <c r="I68" s="5">
        <v>41099</v>
      </c>
      <c r="J68" s="6">
        <f t="shared" si="2"/>
        <v>2012</v>
      </c>
      <c r="K68" s="7">
        <v>8656</v>
      </c>
      <c r="L68" s="7">
        <v>81.73</v>
      </c>
      <c r="M68" s="7">
        <v>56.67</v>
      </c>
      <c r="N68" s="7">
        <f>SylipTable[[#This Row],[Unit Price]]-SylipTable[[#This Row],[Unit Cost]]</f>
        <v>25.060000000000002</v>
      </c>
      <c r="O68" s="7">
        <v>707454.88</v>
      </c>
      <c r="P68" s="7">
        <v>490535.52</v>
      </c>
      <c r="Q68" s="7">
        <v>216919.36</v>
      </c>
    </row>
    <row r="69" spans="1:17" x14ac:dyDescent="0.3">
      <c r="A69" t="s">
        <v>22</v>
      </c>
      <c r="B69" t="s">
        <v>96</v>
      </c>
      <c r="C69" t="s">
        <v>47</v>
      </c>
      <c r="D69" t="s">
        <v>20</v>
      </c>
      <c r="E69" t="s">
        <v>38</v>
      </c>
      <c r="F69" s="5">
        <v>42576</v>
      </c>
      <c r="G69" s="6">
        <f t="shared" si="3"/>
        <v>2016</v>
      </c>
      <c r="H69">
        <v>807025039</v>
      </c>
      <c r="I69" s="5">
        <v>42620</v>
      </c>
      <c r="J69" s="6">
        <f t="shared" si="2"/>
        <v>2016</v>
      </c>
      <c r="K69" s="7">
        <v>5498</v>
      </c>
      <c r="L69" s="7">
        <v>109.28</v>
      </c>
      <c r="M69" s="7">
        <v>35.840000000000003</v>
      </c>
      <c r="N69" s="7">
        <f>SylipTable[[#This Row],[Unit Price]]-SylipTable[[#This Row],[Unit Cost]]</f>
        <v>73.44</v>
      </c>
      <c r="O69" s="7">
        <v>600821.43999999994</v>
      </c>
      <c r="P69" s="7">
        <v>197048.32000000001</v>
      </c>
      <c r="Q69" s="7">
        <v>403773.12</v>
      </c>
    </row>
    <row r="70" spans="1:17" x14ac:dyDescent="0.3">
      <c r="A70" t="s">
        <v>27</v>
      </c>
      <c r="B70" t="s">
        <v>97</v>
      </c>
      <c r="C70" t="s">
        <v>29</v>
      </c>
      <c r="D70" t="s">
        <v>20</v>
      </c>
      <c r="E70" t="s">
        <v>21</v>
      </c>
      <c r="F70" s="5">
        <v>40475</v>
      </c>
      <c r="G70" s="6">
        <f t="shared" si="3"/>
        <v>2010</v>
      </c>
      <c r="H70">
        <v>166460740</v>
      </c>
      <c r="I70" s="5">
        <v>40499</v>
      </c>
      <c r="J70" s="6">
        <f t="shared" si="2"/>
        <v>2010</v>
      </c>
      <c r="K70" s="7">
        <v>8287</v>
      </c>
      <c r="L70" s="7">
        <v>651.21</v>
      </c>
      <c r="M70" s="7">
        <v>524.96</v>
      </c>
      <c r="N70" s="7">
        <f>SylipTable[[#This Row],[Unit Price]]-SylipTable[[#This Row],[Unit Cost]]</f>
        <v>126.25</v>
      </c>
      <c r="O70" s="7">
        <v>5396577.2699999996</v>
      </c>
      <c r="P70" s="7">
        <v>4350343.5199999996</v>
      </c>
      <c r="Q70" s="7">
        <v>1046233.75</v>
      </c>
    </row>
    <row r="71" spans="1:17" x14ac:dyDescent="0.3">
      <c r="A71" t="s">
        <v>31</v>
      </c>
      <c r="B71" t="s">
        <v>98</v>
      </c>
      <c r="C71" t="s">
        <v>47</v>
      </c>
      <c r="D71" t="s">
        <v>20</v>
      </c>
      <c r="E71" t="s">
        <v>30</v>
      </c>
      <c r="F71" s="5">
        <v>42119</v>
      </c>
      <c r="G71" s="6">
        <f t="shared" si="3"/>
        <v>2015</v>
      </c>
      <c r="H71">
        <v>610425555</v>
      </c>
      <c r="I71" s="5">
        <v>42152</v>
      </c>
      <c r="J71" s="6">
        <f t="shared" si="2"/>
        <v>2015</v>
      </c>
      <c r="K71" s="7">
        <v>7342</v>
      </c>
      <c r="L71" s="7">
        <v>109.28</v>
      </c>
      <c r="M71" s="7">
        <v>35.840000000000003</v>
      </c>
      <c r="N71" s="7">
        <f>SylipTable[[#This Row],[Unit Price]]-SylipTable[[#This Row],[Unit Cost]]</f>
        <v>73.44</v>
      </c>
      <c r="O71" s="7">
        <v>802333.76</v>
      </c>
      <c r="P71" s="7">
        <v>263137.28000000003</v>
      </c>
      <c r="Q71" s="7">
        <v>539196.48</v>
      </c>
    </row>
    <row r="72" spans="1:17" x14ac:dyDescent="0.3">
      <c r="A72" t="s">
        <v>44</v>
      </c>
      <c r="B72" t="s">
        <v>56</v>
      </c>
      <c r="C72" t="s">
        <v>29</v>
      </c>
      <c r="D72" t="s">
        <v>25</v>
      </c>
      <c r="E72" t="s">
        <v>38</v>
      </c>
      <c r="F72" s="5">
        <v>41387</v>
      </c>
      <c r="G72" s="6">
        <f t="shared" si="3"/>
        <v>2013</v>
      </c>
      <c r="H72">
        <v>462405812</v>
      </c>
      <c r="I72" s="5">
        <v>41414</v>
      </c>
      <c r="J72" s="6">
        <f t="shared" si="2"/>
        <v>2013</v>
      </c>
      <c r="K72" s="7">
        <v>5010</v>
      </c>
      <c r="L72" s="7">
        <v>651.21</v>
      </c>
      <c r="M72" s="7">
        <v>524.96</v>
      </c>
      <c r="N72" s="7">
        <f>SylipTable[[#This Row],[Unit Price]]-SylipTable[[#This Row],[Unit Cost]]</f>
        <v>126.25</v>
      </c>
      <c r="O72" s="7">
        <v>3262562.1</v>
      </c>
      <c r="P72" s="7">
        <v>2630049.6</v>
      </c>
      <c r="Q72" s="7">
        <v>632512.5</v>
      </c>
    </row>
    <row r="73" spans="1:17" x14ac:dyDescent="0.3">
      <c r="A73" t="s">
        <v>74</v>
      </c>
      <c r="B73" t="s">
        <v>93</v>
      </c>
      <c r="C73" t="s">
        <v>33</v>
      </c>
      <c r="D73" t="s">
        <v>25</v>
      </c>
      <c r="E73" t="s">
        <v>30</v>
      </c>
      <c r="F73" s="5">
        <v>42230</v>
      </c>
      <c r="G73" s="6">
        <f t="shared" si="3"/>
        <v>2015</v>
      </c>
      <c r="H73">
        <v>816200339</v>
      </c>
      <c r="I73" s="5">
        <v>42277</v>
      </c>
      <c r="J73" s="6">
        <f t="shared" si="2"/>
        <v>2015</v>
      </c>
      <c r="K73" s="7">
        <v>673</v>
      </c>
      <c r="L73" s="7">
        <v>9.33</v>
      </c>
      <c r="M73" s="7">
        <v>6.92</v>
      </c>
      <c r="N73" s="7">
        <f>SylipTable[[#This Row],[Unit Price]]-SylipTable[[#This Row],[Unit Cost]]</f>
        <v>2.41</v>
      </c>
      <c r="O73" s="7">
        <v>6279.09</v>
      </c>
      <c r="P73" s="7">
        <v>4657.16</v>
      </c>
      <c r="Q73" s="7">
        <v>1621.93</v>
      </c>
    </row>
    <row r="74" spans="1:17" x14ac:dyDescent="0.3">
      <c r="A74" t="s">
        <v>31</v>
      </c>
      <c r="B74" t="s">
        <v>99</v>
      </c>
      <c r="C74" t="s">
        <v>55</v>
      </c>
      <c r="D74" t="s">
        <v>25</v>
      </c>
      <c r="E74" t="s">
        <v>26</v>
      </c>
      <c r="F74" s="5">
        <v>40689</v>
      </c>
      <c r="G74" s="6">
        <f t="shared" si="3"/>
        <v>2011</v>
      </c>
      <c r="H74">
        <v>585920464</v>
      </c>
      <c r="I74" s="5">
        <v>40739</v>
      </c>
      <c r="J74" s="6">
        <f t="shared" si="2"/>
        <v>2011</v>
      </c>
      <c r="K74" s="7">
        <v>5741</v>
      </c>
      <c r="L74" s="7">
        <v>47.45</v>
      </c>
      <c r="M74" s="7">
        <v>31.79</v>
      </c>
      <c r="N74" s="7">
        <f>SylipTable[[#This Row],[Unit Price]]-SylipTable[[#This Row],[Unit Cost]]</f>
        <v>15.660000000000004</v>
      </c>
      <c r="O74" s="7">
        <v>272410.45</v>
      </c>
      <c r="P74" s="7">
        <v>182506.39</v>
      </c>
      <c r="Q74" s="7">
        <v>89904.06</v>
      </c>
    </row>
    <row r="75" spans="1:17" x14ac:dyDescent="0.3">
      <c r="A75" t="s">
        <v>31</v>
      </c>
      <c r="B75" t="s">
        <v>72</v>
      </c>
      <c r="C75" t="s">
        <v>24</v>
      </c>
      <c r="D75" t="s">
        <v>25</v>
      </c>
      <c r="E75" t="s">
        <v>21</v>
      </c>
      <c r="F75" s="5">
        <v>42875</v>
      </c>
      <c r="G75" s="6">
        <f t="shared" si="3"/>
        <v>2017</v>
      </c>
      <c r="H75">
        <v>555990016</v>
      </c>
      <c r="I75" s="5">
        <v>42903</v>
      </c>
      <c r="J75" s="6">
        <f t="shared" si="2"/>
        <v>2017</v>
      </c>
      <c r="K75" s="7">
        <v>8656</v>
      </c>
      <c r="L75" s="7">
        <v>205.7</v>
      </c>
      <c r="M75" s="7">
        <v>117.11</v>
      </c>
      <c r="N75" s="7">
        <f>SylipTable[[#This Row],[Unit Price]]-SylipTable[[#This Row],[Unit Cost]]</f>
        <v>88.589999999999989</v>
      </c>
      <c r="O75" s="7">
        <v>1780539.2</v>
      </c>
      <c r="P75" s="7">
        <v>1013704.16</v>
      </c>
      <c r="Q75" s="7">
        <v>766835.04</v>
      </c>
    </row>
    <row r="76" spans="1:17" x14ac:dyDescent="0.3">
      <c r="A76" t="s">
        <v>74</v>
      </c>
      <c r="B76" t="s">
        <v>100</v>
      </c>
      <c r="C76" t="s">
        <v>53</v>
      </c>
      <c r="D76" t="s">
        <v>20</v>
      </c>
      <c r="E76" t="s">
        <v>30</v>
      </c>
      <c r="F76" s="5">
        <v>41460</v>
      </c>
      <c r="G76" s="6">
        <f t="shared" si="3"/>
        <v>2013</v>
      </c>
      <c r="H76">
        <v>231145322</v>
      </c>
      <c r="I76" s="5">
        <v>41502</v>
      </c>
      <c r="J76" s="6">
        <f t="shared" si="2"/>
        <v>2013</v>
      </c>
      <c r="K76" s="7">
        <v>9892</v>
      </c>
      <c r="L76" s="7">
        <v>437.2</v>
      </c>
      <c r="M76" s="7">
        <v>263.33</v>
      </c>
      <c r="N76" s="7">
        <f>SylipTable[[#This Row],[Unit Price]]-SylipTable[[#This Row],[Unit Cost]]</f>
        <v>173.87</v>
      </c>
      <c r="O76" s="7">
        <v>4324782.4000000004</v>
      </c>
      <c r="P76" s="7">
        <v>2604860.36</v>
      </c>
      <c r="Q76" s="7">
        <v>1719922.04</v>
      </c>
    </row>
    <row r="77" spans="1:17" x14ac:dyDescent="0.3">
      <c r="A77" t="s">
        <v>101</v>
      </c>
      <c r="B77" t="s">
        <v>102</v>
      </c>
      <c r="C77" t="s">
        <v>37</v>
      </c>
      <c r="D77" t="s">
        <v>20</v>
      </c>
      <c r="E77" t="s">
        <v>26</v>
      </c>
      <c r="F77" s="5">
        <v>41949</v>
      </c>
      <c r="G77" s="6">
        <f t="shared" si="3"/>
        <v>2014</v>
      </c>
      <c r="H77">
        <v>986435210</v>
      </c>
      <c r="I77" s="5">
        <v>41985</v>
      </c>
      <c r="J77" s="6">
        <f t="shared" si="2"/>
        <v>2014</v>
      </c>
      <c r="K77" s="7">
        <v>6954</v>
      </c>
      <c r="L77" s="7">
        <v>668.27</v>
      </c>
      <c r="M77" s="7">
        <v>502.54</v>
      </c>
      <c r="N77" s="7">
        <f>SylipTable[[#This Row],[Unit Price]]-SylipTable[[#This Row],[Unit Cost]]</f>
        <v>165.72999999999996</v>
      </c>
      <c r="O77" s="7">
        <v>4647149.58</v>
      </c>
      <c r="P77" s="7">
        <v>3494663.16</v>
      </c>
      <c r="Q77" s="7">
        <v>1152486.42</v>
      </c>
    </row>
    <row r="78" spans="1:17" x14ac:dyDescent="0.3">
      <c r="A78" t="s">
        <v>17</v>
      </c>
      <c r="B78" t="s">
        <v>103</v>
      </c>
      <c r="C78" t="s">
        <v>55</v>
      </c>
      <c r="D78" t="s">
        <v>25</v>
      </c>
      <c r="E78" t="s">
        <v>26</v>
      </c>
      <c r="F78" s="5">
        <v>41940</v>
      </c>
      <c r="G78" s="6">
        <f t="shared" si="3"/>
        <v>2014</v>
      </c>
      <c r="H78">
        <v>217221009</v>
      </c>
      <c r="I78" s="5">
        <v>41958</v>
      </c>
      <c r="J78" s="6">
        <f t="shared" si="2"/>
        <v>2014</v>
      </c>
      <c r="K78" s="7">
        <v>9379</v>
      </c>
      <c r="L78" s="7">
        <v>47.45</v>
      </c>
      <c r="M78" s="7">
        <v>31.79</v>
      </c>
      <c r="N78" s="7">
        <f>SylipTable[[#This Row],[Unit Price]]-SylipTable[[#This Row],[Unit Cost]]</f>
        <v>15.660000000000004</v>
      </c>
      <c r="O78" s="7">
        <v>445033.55</v>
      </c>
      <c r="P78" s="7">
        <v>298158.40999999997</v>
      </c>
      <c r="Q78" s="7">
        <v>146875.14000000001</v>
      </c>
    </row>
    <row r="79" spans="1:17" x14ac:dyDescent="0.3">
      <c r="A79" t="s">
        <v>44</v>
      </c>
      <c r="B79" t="s">
        <v>104</v>
      </c>
      <c r="C79" t="s">
        <v>40</v>
      </c>
      <c r="D79" t="s">
        <v>20</v>
      </c>
      <c r="E79" t="s">
        <v>26</v>
      </c>
      <c r="F79" s="5">
        <v>40801</v>
      </c>
      <c r="G79" s="6">
        <f t="shared" si="3"/>
        <v>2011</v>
      </c>
      <c r="H79">
        <v>789176547</v>
      </c>
      <c r="I79" s="5">
        <v>40839</v>
      </c>
      <c r="J79" s="6">
        <f t="shared" si="2"/>
        <v>2011</v>
      </c>
      <c r="K79" s="7">
        <v>3732</v>
      </c>
      <c r="L79" s="7">
        <v>154.06</v>
      </c>
      <c r="M79" s="7">
        <v>90.93</v>
      </c>
      <c r="N79" s="7">
        <f>SylipTable[[#This Row],[Unit Price]]-SylipTable[[#This Row],[Unit Cost]]</f>
        <v>63.129999999999995</v>
      </c>
      <c r="O79" s="7">
        <v>574951.92000000004</v>
      </c>
      <c r="P79" s="7">
        <v>339350.76</v>
      </c>
      <c r="Q79" s="7">
        <v>235601.16</v>
      </c>
    </row>
    <row r="80" spans="1:17" x14ac:dyDescent="0.3">
      <c r="A80" t="s">
        <v>27</v>
      </c>
      <c r="B80" t="s">
        <v>105</v>
      </c>
      <c r="C80" t="s">
        <v>19</v>
      </c>
      <c r="D80" t="s">
        <v>20</v>
      </c>
      <c r="E80" t="s">
        <v>21</v>
      </c>
      <c r="F80" s="5">
        <v>41058</v>
      </c>
      <c r="G80" s="6">
        <f t="shared" si="3"/>
        <v>2012</v>
      </c>
      <c r="H80">
        <v>688288152</v>
      </c>
      <c r="I80" s="5">
        <v>41062</v>
      </c>
      <c r="J80" s="6">
        <f t="shared" si="2"/>
        <v>2012</v>
      </c>
      <c r="K80" s="7">
        <v>8614</v>
      </c>
      <c r="L80" s="7">
        <v>255.28</v>
      </c>
      <c r="M80" s="7">
        <v>159.41999999999999</v>
      </c>
      <c r="N80" s="7">
        <f>SylipTable[[#This Row],[Unit Price]]-SylipTable[[#This Row],[Unit Cost]]</f>
        <v>95.860000000000014</v>
      </c>
      <c r="O80" s="7">
        <v>2198981.92</v>
      </c>
      <c r="P80" s="7">
        <v>1373243.88</v>
      </c>
      <c r="Q80" s="7">
        <v>825738.04</v>
      </c>
    </row>
    <row r="81" spans="1:17" x14ac:dyDescent="0.3">
      <c r="A81" t="s">
        <v>17</v>
      </c>
      <c r="B81" t="s">
        <v>106</v>
      </c>
      <c r="C81" t="s">
        <v>53</v>
      </c>
      <c r="D81" t="s">
        <v>25</v>
      </c>
      <c r="E81" t="s">
        <v>21</v>
      </c>
      <c r="F81" s="5">
        <v>41475</v>
      </c>
      <c r="G81" s="6">
        <f t="shared" si="3"/>
        <v>2013</v>
      </c>
      <c r="H81">
        <v>670854651</v>
      </c>
      <c r="I81" s="5">
        <v>41493</v>
      </c>
      <c r="J81" s="6">
        <f t="shared" si="2"/>
        <v>2013</v>
      </c>
      <c r="K81" s="7">
        <v>9654</v>
      </c>
      <c r="L81" s="7">
        <v>437.2</v>
      </c>
      <c r="M81" s="7">
        <v>263.33</v>
      </c>
      <c r="N81" s="7">
        <f>SylipTable[[#This Row],[Unit Price]]-SylipTable[[#This Row],[Unit Cost]]</f>
        <v>173.87</v>
      </c>
      <c r="O81" s="7">
        <v>4220728.8</v>
      </c>
      <c r="P81" s="7">
        <v>2542187.8199999998</v>
      </c>
      <c r="Q81" s="7">
        <v>1678540.98</v>
      </c>
    </row>
    <row r="82" spans="1:17" x14ac:dyDescent="0.3">
      <c r="A82" t="s">
        <v>27</v>
      </c>
      <c r="B82" t="s">
        <v>107</v>
      </c>
      <c r="C82" t="s">
        <v>37</v>
      </c>
      <c r="D82" t="s">
        <v>20</v>
      </c>
      <c r="E82" t="s">
        <v>30</v>
      </c>
      <c r="F82" s="5">
        <v>41203</v>
      </c>
      <c r="G82" s="6">
        <f t="shared" si="3"/>
        <v>2012</v>
      </c>
      <c r="H82">
        <v>213487374</v>
      </c>
      <c r="I82" s="5">
        <v>41243</v>
      </c>
      <c r="J82" s="6">
        <f t="shared" si="2"/>
        <v>2012</v>
      </c>
      <c r="K82" s="7">
        <v>4513</v>
      </c>
      <c r="L82" s="7">
        <v>668.27</v>
      </c>
      <c r="M82" s="7">
        <v>502.54</v>
      </c>
      <c r="N82" s="7">
        <f>SylipTable[[#This Row],[Unit Price]]-SylipTable[[#This Row],[Unit Cost]]</f>
        <v>165.72999999999996</v>
      </c>
      <c r="O82" s="7">
        <v>3015902.51</v>
      </c>
      <c r="P82" s="7">
        <v>2267963.02</v>
      </c>
      <c r="Q82" s="7">
        <v>747939.49</v>
      </c>
    </row>
    <row r="83" spans="1:17" x14ac:dyDescent="0.3">
      <c r="A83" t="s">
        <v>74</v>
      </c>
      <c r="B83" t="s">
        <v>108</v>
      </c>
      <c r="C83" t="s">
        <v>47</v>
      </c>
      <c r="D83" t="s">
        <v>25</v>
      </c>
      <c r="E83" t="s">
        <v>30</v>
      </c>
      <c r="F83" s="5">
        <v>41170</v>
      </c>
      <c r="G83" s="6">
        <f t="shared" si="3"/>
        <v>2012</v>
      </c>
      <c r="H83">
        <v>663110148</v>
      </c>
      <c r="I83" s="5">
        <v>41190</v>
      </c>
      <c r="J83" s="6">
        <f t="shared" si="2"/>
        <v>2012</v>
      </c>
      <c r="K83" s="7">
        <v>7884</v>
      </c>
      <c r="L83" s="7">
        <v>109.28</v>
      </c>
      <c r="M83" s="7">
        <v>35.840000000000003</v>
      </c>
      <c r="N83" s="7">
        <f>SylipTable[[#This Row],[Unit Price]]-SylipTable[[#This Row],[Unit Cost]]</f>
        <v>73.44</v>
      </c>
      <c r="O83" s="7">
        <v>861563.52</v>
      </c>
      <c r="P83" s="7">
        <v>282562.56</v>
      </c>
      <c r="Q83" s="7">
        <v>579000.96</v>
      </c>
    </row>
    <row r="84" spans="1:17" x14ac:dyDescent="0.3">
      <c r="A84" t="s">
        <v>74</v>
      </c>
      <c r="B84" t="s">
        <v>109</v>
      </c>
      <c r="C84" t="s">
        <v>53</v>
      </c>
      <c r="D84" t="s">
        <v>25</v>
      </c>
      <c r="E84" t="s">
        <v>21</v>
      </c>
      <c r="F84" s="5">
        <v>42689</v>
      </c>
      <c r="G84" s="6">
        <f t="shared" si="3"/>
        <v>2016</v>
      </c>
      <c r="H84">
        <v>286959302</v>
      </c>
      <c r="I84" s="5">
        <v>42712</v>
      </c>
      <c r="J84" s="6">
        <f t="shared" si="2"/>
        <v>2016</v>
      </c>
      <c r="K84" s="7">
        <v>6489</v>
      </c>
      <c r="L84" s="7">
        <v>437.2</v>
      </c>
      <c r="M84" s="7">
        <v>263.33</v>
      </c>
      <c r="N84" s="7">
        <f>SylipTable[[#This Row],[Unit Price]]-SylipTable[[#This Row],[Unit Cost]]</f>
        <v>173.87</v>
      </c>
      <c r="O84" s="7">
        <v>2836990.8</v>
      </c>
      <c r="P84" s="7">
        <v>1708748.37</v>
      </c>
      <c r="Q84" s="7">
        <v>1128242.43</v>
      </c>
    </row>
    <row r="85" spans="1:17" x14ac:dyDescent="0.3">
      <c r="A85" t="s">
        <v>31</v>
      </c>
      <c r="B85" t="s">
        <v>110</v>
      </c>
      <c r="C85" t="s">
        <v>61</v>
      </c>
      <c r="D85" t="s">
        <v>25</v>
      </c>
      <c r="E85" t="s">
        <v>30</v>
      </c>
      <c r="F85" s="5">
        <v>40547</v>
      </c>
      <c r="G85" s="6">
        <f t="shared" si="3"/>
        <v>2011</v>
      </c>
      <c r="H85">
        <v>122583663</v>
      </c>
      <c r="I85" s="5">
        <v>40548</v>
      </c>
      <c r="J85" s="6">
        <f t="shared" si="2"/>
        <v>2011</v>
      </c>
      <c r="K85" s="7">
        <v>4085</v>
      </c>
      <c r="L85" s="7">
        <v>152.58000000000001</v>
      </c>
      <c r="M85" s="7">
        <v>97.44</v>
      </c>
      <c r="N85" s="7">
        <f>SylipTable[[#This Row],[Unit Price]]-SylipTable[[#This Row],[Unit Cost]]</f>
        <v>55.140000000000015</v>
      </c>
      <c r="O85" s="7">
        <v>623289.30000000005</v>
      </c>
      <c r="P85" s="7">
        <v>398042.4</v>
      </c>
      <c r="Q85" s="7">
        <v>225246.9</v>
      </c>
    </row>
    <row r="86" spans="1:17" x14ac:dyDescent="0.3">
      <c r="A86" t="s">
        <v>31</v>
      </c>
      <c r="B86" t="s">
        <v>111</v>
      </c>
      <c r="C86" t="s">
        <v>40</v>
      </c>
      <c r="D86" t="s">
        <v>25</v>
      </c>
      <c r="E86" t="s">
        <v>30</v>
      </c>
      <c r="F86" s="5">
        <v>40986</v>
      </c>
      <c r="G86" s="6">
        <f t="shared" si="3"/>
        <v>2012</v>
      </c>
      <c r="H86">
        <v>827844560</v>
      </c>
      <c r="I86" s="5">
        <v>41006</v>
      </c>
      <c r="J86" s="6">
        <f t="shared" si="2"/>
        <v>2012</v>
      </c>
      <c r="K86" s="7">
        <v>6457</v>
      </c>
      <c r="L86" s="7">
        <v>154.06</v>
      </c>
      <c r="M86" s="7">
        <v>90.93</v>
      </c>
      <c r="N86" s="7">
        <f>SylipTable[[#This Row],[Unit Price]]-SylipTable[[#This Row],[Unit Cost]]</f>
        <v>63.129999999999995</v>
      </c>
      <c r="O86" s="7">
        <v>994765.42</v>
      </c>
      <c r="P86" s="7">
        <v>587135.01</v>
      </c>
      <c r="Q86" s="7">
        <v>407630.41</v>
      </c>
    </row>
    <row r="87" spans="1:17" x14ac:dyDescent="0.3">
      <c r="A87" t="s">
        <v>101</v>
      </c>
      <c r="B87" t="s">
        <v>102</v>
      </c>
      <c r="C87" t="s">
        <v>42</v>
      </c>
      <c r="D87" t="s">
        <v>20</v>
      </c>
      <c r="E87" t="s">
        <v>30</v>
      </c>
      <c r="F87" s="5">
        <v>40956</v>
      </c>
      <c r="G87" s="6">
        <f t="shared" si="3"/>
        <v>2012</v>
      </c>
      <c r="H87">
        <v>430915820</v>
      </c>
      <c r="I87" s="5">
        <v>40988</v>
      </c>
      <c r="J87" s="6">
        <f t="shared" si="2"/>
        <v>2012</v>
      </c>
      <c r="K87" s="7">
        <v>6422</v>
      </c>
      <c r="L87" s="7">
        <v>81.73</v>
      </c>
      <c r="M87" s="7">
        <v>56.67</v>
      </c>
      <c r="N87" s="7">
        <f>SylipTable[[#This Row],[Unit Price]]-SylipTable[[#This Row],[Unit Cost]]</f>
        <v>25.060000000000002</v>
      </c>
      <c r="O87" s="7">
        <v>524870.06000000006</v>
      </c>
      <c r="P87" s="7">
        <v>363934.74</v>
      </c>
      <c r="Q87" s="7">
        <v>160935.32</v>
      </c>
    </row>
    <row r="88" spans="1:17" x14ac:dyDescent="0.3">
      <c r="A88" t="s">
        <v>31</v>
      </c>
      <c r="B88" t="s">
        <v>32</v>
      </c>
      <c r="C88" t="s">
        <v>55</v>
      </c>
      <c r="D88" t="s">
        <v>20</v>
      </c>
      <c r="E88" t="s">
        <v>26</v>
      </c>
      <c r="F88" s="5">
        <v>40559</v>
      </c>
      <c r="G88" s="6">
        <f t="shared" si="3"/>
        <v>2011</v>
      </c>
      <c r="H88">
        <v>180283772</v>
      </c>
      <c r="I88" s="5">
        <v>40564</v>
      </c>
      <c r="J88" s="6">
        <f t="shared" si="2"/>
        <v>2011</v>
      </c>
      <c r="K88" s="7">
        <v>8829</v>
      </c>
      <c r="L88" s="7">
        <v>47.45</v>
      </c>
      <c r="M88" s="7">
        <v>31.79</v>
      </c>
      <c r="N88" s="7">
        <f>SylipTable[[#This Row],[Unit Price]]-SylipTable[[#This Row],[Unit Cost]]</f>
        <v>15.660000000000004</v>
      </c>
      <c r="O88" s="7">
        <v>418936.05</v>
      </c>
      <c r="P88" s="7">
        <v>280673.90999999997</v>
      </c>
      <c r="Q88" s="7">
        <v>138262.14000000001</v>
      </c>
    </row>
    <row r="89" spans="1:17" x14ac:dyDescent="0.3">
      <c r="A89" t="s">
        <v>31</v>
      </c>
      <c r="B89" t="s">
        <v>67</v>
      </c>
      <c r="C89" t="s">
        <v>19</v>
      </c>
      <c r="D89" t="s">
        <v>20</v>
      </c>
      <c r="E89" t="s">
        <v>38</v>
      </c>
      <c r="F89" s="5">
        <v>41673</v>
      </c>
      <c r="G89" s="6">
        <f t="shared" si="3"/>
        <v>2014</v>
      </c>
      <c r="H89">
        <v>494747245</v>
      </c>
      <c r="I89" s="5">
        <v>41718</v>
      </c>
      <c r="J89" s="6">
        <f t="shared" si="2"/>
        <v>2014</v>
      </c>
      <c r="K89" s="7">
        <v>5559</v>
      </c>
      <c r="L89" s="7">
        <v>255.28</v>
      </c>
      <c r="M89" s="7">
        <v>159.41999999999999</v>
      </c>
      <c r="N89" s="7">
        <f>SylipTable[[#This Row],[Unit Price]]-SylipTable[[#This Row],[Unit Cost]]</f>
        <v>95.860000000000014</v>
      </c>
      <c r="O89" s="7">
        <v>1419101.52</v>
      </c>
      <c r="P89" s="7">
        <v>886215.78</v>
      </c>
      <c r="Q89" s="7">
        <v>532885.74</v>
      </c>
    </row>
    <row r="90" spans="1:17" x14ac:dyDescent="0.3">
      <c r="A90" t="s">
        <v>74</v>
      </c>
      <c r="B90" t="s">
        <v>112</v>
      </c>
      <c r="C90" t="s">
        <v>33</v>
      </c>
      <c r="D90" t="s">
        <v>25</v>
      </c>
      <c r="E90" t="s">
        <v>38</v>
      </c>
      <c r="F90" s="5">
        <v>41029</v>
      </c>
      <c r="G90" s="6">
        <f t="shared" si="3"/>
        <v>2012</v>
      </c>
      <c r="H90">
        <v>513417565</v>
      </c>
      <c r="I90" s="5">
        <v>41047</v>
      </c>
      <c r="J90" s="6">
        <f t="shared" si="2"/>
        <v>2012</v>
      </c>
      <c r="K90" s="7">
        <v>522</v>
      </c>
      <c r="L90" s="7">
        <v>9.33</v>
      </c>
      <c r="M90" s="7">
        <v>6.92</v>
      </c>
      <c r="N90" s="7">
        <f>SylipTable[[#This Row],[Unit Price]]-SylipTable[[#This Row],[Unit Cost]]</f>
        <v>2.41</v>
      </c>
      <c r="O90" s="7">
        <v>4870.26</v>
      </c>
      <c r="P90" s="7">
        <v>3612.24</v>
      </c>
      <c r="Q90" s="7">
        <v>1258.02</v>
      </c>
    </row>
    <row r="91" spans="1:17" x14ac:dyDescent="0.3">
      <c r="A91" t="s">
        <v>27</v>
      </c>
      <c r="B91" t="s">
        <v>113</v>
      </c>
      <c r="C91" t="s">
        <v>55</v>
      </c>
      <c r="D91" t="s">
        <v>20</v>
      </c>
      <c r="E91" t="s">
        <v>26</v>
      </c>
      <c r="F91" s="5">
        <v>42666</v>
      </c>
      <c r="G91" s="6">
        <f t="shared" si="3"/>
        <v>2016</v>
      </c>
      <c r="H91">
        <v>345718562</v>
      </c>
      <c r="I91" s="5">
        <v>42699</v>
      </c>
      <c r="J91" s="6">
        <f t="shared" si="2"/>
        <v>2016</v>
      </c>
      <c r="K91" s="7">
        <v>4660</v>
      </c>
      <c r="L91" s="7">
        <v>47.45</v>
      </c>
      <c r="M91" s="7">
        <v>31.79</v>
      </c>
      <c r="N91" s="7">
        <f>SylipTable[[#This Row],[Unit Price]]-SylipTable[[#This Row],[Unit Cost]]</f>
        <v>15.660000000000004</v>
      </c>
      <c r="O91" s="7">
        <v>221117</v>
      </c>
      <c r="P91" s="7">
        <v>148141.4</v>
      </c>
      <c r="Q91" s="7">
        <v>72975.600000000006</v>
      </c>
    </row>
    <row r="92" spans="1:17" x14ac:dyDescent="0.3">
      <c r="A92" t="s">
        <v>31</v>
      </c>
      <c r="B92" t="s">
        <v>87</v>
      </c>
      <c r="C92" t="s">
        <v>29</v>
      </c>
      <c r="D92" t="s">
        <v>20</v>
      </c>
      <c r="E92" t="s">
        <v>21</v>
      </c>
      <c r="F92" s="5">
        <v>42710</v>
      </c>
      <c r="G92" s="6">
        <f t="shared" si="3"/>
        <v>2016</v>
      </c>
      <c r="H92">
        <v>621386563</v>
      </c>
      <c r="I92" s="5">
        <v>42718</v>
      </c>
      <c r="J92" s="6">
        <f t="shared" si="2"/>
        <v>2016</v>
      </c>
      <c r="K92" s="7">
        <v>948</v>
      </c>
      <c r="L92" s="7">
        <v>651.21</v>
      </c>
      <c r="M92" s="7">
        <v>524.96</v>
      </c>
      <c r="N92" s="7">
        <f>SylipTable[[#This Row],[Unit Price]]-SylipTable[[#This Row],[Unit Cost]]</f>
        <v>126.25</v>
      </c>
      <c r="O92" s="7">
        <v>617347.07999999996</v>
      </c>
      <c r="P92" s="7">
        <v>497662.08</v>
      </c>
      <c r="Q92" s="7">
        <v>119685</v>
      </c>
    </row>
    <row r="93" spans="1:17" x14ac:dyDescent="0.3">
      <c r="A93" t="s">
        <v>17</v>
      </c>
      <c r="B93" t="s">
        <v>70</v>
      </c>
      <c r="C93" t="s">
        <v>55</v>
      </c>
      <c r="D93" t="s">
        <v>20</v>
      </c>
      <c r="E93" t="s">
        <v>21</v>
      </c>
      <c r="F93" s="5">
        <v>41827</v>
      </c>
      <c r="G93" s="6">
        <f t="shared" si="3"/>
        <v>2014</v>
      </c>
      <c r="H93">
        <v>240470397</v>
      </c>
      <c r="I93" s="5">
        <v>41831</v>
      </c>
      <c r="J93" s="6">
        <f t="shared" si="2"/>
        <v>2014</v>
      </c>
      <c r="K93" s="7">
        <v>9389</v>
      </c>
      <c r="L93" s="7">
        <v>47.45</v>
      </c>
      <c r="M93" s="7">
        <v>31.79</v>
      </c>
      <c r="N93" s="7">
        <f>SylipTable[[#This Row],[Unit Price]]-SylipTable[[#This Row],[Unit Cost]]</f>
        <v>15.660000000000004</v>
      </c>
      <c r="O93" s="7">
        <v>445508.05</v>
      </c>
      <c r="P93" s="7">
        <v>298476.31</v>
      </c>
      <c r="Q93" s="7">
        <v>147031.74</v>
      </c>
    </row>
    <row r="94" spans="1:17" x14ac:dyDescent="0.3">
      <c r="A94" t="s">
        <v>74</v>
      </c>
      <c r="B94" t="s">
        <v>78</v>
      </c>
      <c r="C94" t="s">
        <v>29</v>
      </c>
      <c r="D94" t="s">
        <v>25</v>
      </c>
      <c r="E94" t="s">
        <v>38</v>
      </c>
      <c r="F94" s="5">
        <v>41073</v>
      </c>
      <c r="G94" s="6">
        <f t="shared" si="3"/>
        <v>2012</v>
      </c>
      <c r="H94">
        <v>423331391</v>
      </c>
      <c r="I94" s="5">
        <v>41114</v>
      </c>
      <c r="J94" s="6">
        <f t="shared" si="2"/>
        <v>2012</v>
      </c>
      <c r="K94" s="7">
        <v>2021</v>
      </c>
      <c r="L94" s="7">
        <v>651.21</v>
      </c>
      <c r="M94" s="7">
        <v>524.96</v>
      </c>
      <c r="N94" s="7">
        <f>SylipTable[[#This Row],[Unit Price]]-SylipTable[[#This Row],[Unit Cost]]</f>
        <v>126.25</v>
      </c>
      <c r="O94" s="7">
        <v>1316095.4099999999</v>
      </c>
      <c r="P94" s="7">
        <v>1060944.1599999999</v>
      </c>
      <c r="Q94" s="7">
        <v>255151.25</v>
      </c>
    </row>
    <row r="95" spans="1:17" x14ac:dyDescent="0.3">
      <c r="A95" t="s">
        <v>27</v>
      </c>
      <c r="B95" t="s">
        <v>114</v>
      </c>
      <c r="C95" t="s">
        <v>53</v>
      </c>
      <c r="D95" t="s">
        <v>25</v>
      </c>
      <c r="E95" t="s">
        <v>21</v>
      </c>
      <c r="F95" s="5">
        <v>40508</v>
      </c>
      <c r="G95" s="6">
        <f t="shared" si="3"/>
        <v>2010</v>
      </c>
      <c r="H95">
        <v>660643374</v>
      </c>
      <c r="I95" s="5">
        <v>40537</v>
      </c>
      <c r="J95" s="6">
        <f t="shared" si="2"/>
        <v>2010</v>
      </c>
      <c r="K95" s="7">
        <v>7910</v>
      </c>
      <c r="L95" s="7">
        <v>437.2</v>
      </c>
      <c r="M95" s="7">
        <v>263.33</v>
      </c>
      <c r="N95" s="7">
        <f>SylipTable[[#This Row],[Unit Price]]-SylipTable[[#This Row],[Unit Cost]]</f>
        <v>173.87</v>
      </c>
      <c r="O95" s="7">
        <v>3458252</v>
      </c>
      <c r="P95" s="7">
        <v>2082940.3</v>
      </c>
      <c r="Q95" s="7">
        <v>1375311.7</v>
      </c>
    </row>
    <row r="96" spans="1:17" x14ac:dyDescent="0.3">
      <c r="A96" t="s">
        <v>22</v>
      </c>
      <c r="B96" t="s">
        <v>115</v>
      </c>
      <c r="C96" t="s">
        <v>55</v>
      </c>
      <c r="D96" t="s">
        <v>20</v>
      </c>
      <c r="E96" t="s">
        <v>26</v>
      </c>
      <c r="F96" s="5">
        <v>40582</v>
      </c>
      <c r="G96" s="6">
        <f t="shared" si="3"/>
        <v>2011</v>
      </c>
      <c r="H96">
        <v>963392674</v>
      </c>
      <c r="I96" s="5">
        <v>40623</v>
      </c>
      <c r="J96" s="6">
        <f t="shared" si="2"/>
        <v>2011</v>
      </c>
      <c r="K96" s="7">
        <v>8156</v>
      </c>
      <c r="L96" s="7">
        <v>47.45</v>
      </c>
      <c r="M96" s="7">
        <v>31.79</v>
      </c>
      <c r="N96" s="7">
        <f>SylipTable[[#This Row],[Unit Price]]-SylipTable[[#This Row],[Unit Cost]]</f>
        <v>15.660000000000004</v>
      </c>
      <c r="O96" s="7">
        <v>387002.2</v>
      </c>
      <c r="P96" s="7">
        <v>259279.24</v>
      </c>
      <c r="Q96" s="7">
        <v>127722.96</v>
      </c>
    </row>
    <row r="97" spans="1:17" x14ac:dyDescent="0.3">
      <c r="A97" t="s">
        <v>31</v>
      </c>
      <c r="B97" t="s">
        <v>66</v>
      </c>
      <c r="C97" t="s">
        <v>47</v>
      </c>
      <c r="D97" t="s">
        <v>25</v>
      </c>
      <c r="E97" t="s">
        <v>38</v>
      </c>
      <c r="F97" s="5">
        <v>40750</v>
      </c>
      <c r="G97" s="6">
        <f t="shared" si="3"/>
        <v>2011</v>
      </c>
      <c r="H97">
        <v>512878119</v>
      </c>
      <c r="I97" s="5">
        <v>40789</v>
      </c>
      <c r="J97" s="6">
        <f t="shared" si="2"/>
        <v>2011</v>
      </c>
      <c r="K97" s="7">
        <v>888</v>
      </c>
      <c r="L97" s="7">
        <v>109.28</v>
      </c>
      <c r="M97" s="7">
        <v>35.840000000000003</v>
      </c>
      <c r="N97" s="7">
        <f>SylipTable[[#This Row],[Unit Price]]-SylipTable[[#This Row],[Unit Cost]]</f>
        <v>73.44</v>
      </c>
      <c r="O97" s="7">
        <v>97040.639999999999</v>
      </c>
      <c r="P97" s="7">
        <v>31825.919999999998</v>
      </c>
      <c r="Q97" s="7">
        <v>65214.720000000001</v>
      </c>
    </row>
    <row r="98" spans="1:17" x14ac:dyDescent="0.3">
      <c r="A98" t="s">
        <v>44</v>
      </c>
      <c r="B98" t="s">
        <v>116</v>
      </c>
      <c r="C98" t="s">
        <v>33</v>
      </c>
      <c r="D98" t="s">
        <v>20</v>
      </c>
      <c r="E98" t="s">
        <v>30</v>
      </c>
      <c r="F98" s="5">
        <v>40858</v>
      </c>
      <c r="G98" s="6">
        <f t="shared" si="3"/>
        <v>2011</v>
      </c>
      <c r="H98">
        <v>810711038</v>
      </c>
      <c r="I98" s="5">
        <v>40905</v>
      </c>
      <c r="J98" s="6">
        <f t="shared" si="2"/>
        <v>2011</v>
      </c>
      <c r="K98" s="7">
        <v>6267</v>
      </c>
      <c r="L98" s="7">
        <v>9.33</v>
      </c>
      <c r="M98" s="7">
        <v>6.92</v>
      </c>
      <c r="N98" s="7">
        <f>SylipTable[[#This Row],[Unit Price]]-SylipTable[[#This Row],[Unit Cost]]</f>
        <v>2.41</v>
      </c>
      <c r="O98" s="7">
        <v>58471.11</v>
      </c>
      <c r="P98" s="7">
        <v>43367.64</v>
      </c>
      <c r="Q98" s="7">
        <v>15103.47</v>
      </c>
    </row>
    <row r="99" spans="1:17" x14ac:dyDescent="0.3">
      <c r="A99" t="s">
        <v>31</v>
      </c>
      <c r="B99" t="s">
        <v>87</v>
      </c>
      <c r="C99" t="s">
        <v>40</v>
      </c>
      <c r="D99" t="s">
        <v>20</v>
      </c>
      <c r="E99" t="s">
        <v>26</v>
      </c>
      <c r="F99" s="5">
        <v>42522</v>
      </c>
      <c r="G99" s="6">
        <f t="shared" si="3"/>
        <v>2016</v>
      </c>
      <c r="H99">
        <v>728815257</v>
      </c>
      <c r="I99" s="5">
        <v>42550</v>
      </c>
      <c r="J99" s="6">
        <f t="shared" si="2"/>
        <v>2016</v>
      </c>
      <c r="K99" s="7">
        <v>1485</v>
      </c>
      <c r="L99" s="7">
        <v>154.06</v>
      </c>
      <c r="M99" s="7">
        <v>90.93</v>
      </c>
      <c r="N99" s="7">
        <f>SylipTable[[#This Row],[Unit Price]]-SylipTable[[#This Row],[Unit Cost]]</f>
        <v>63.129999999999995</v>
      </c>
      <c r="O99" s="7">
        <v>228779.1</v>
      </c>
      <c r="P99" s="7">
        <v>135031.04999999999</v>
      </c>
      <c r="Q99" s="7">
        <v>93748.05</v>
      </c>
    </row>
    <row r="100" spans="1:17" x14ac:dyDescent="0.3">
      <c r="A100" t="s">
        <v>101</v>
      </c>
      <c r="B100" t="s">
        <v>102</v>
      </c>
      <c r="C100" t="s">
        <v>42</v>
      </c>
      <c r="D100" t="s">
        <v>20</v>
      </c>
      <c r="E100" t="s">
        <v>38</v>
      </c>
      <c r="F100" s="5">
        <v>42215</v>
      </c>
      <c r="G100" s="6">
        <f t="shared" si="3"/>
        <v>2015</v>
      </c>
      <c r="H100">
        <v>559427106</v>
      </c>
      <c r="I100" s="5">
        <v>42224</v>
      </c>
      <c r="J100" s="6">
        <f t="shared" si="2"/>
        <v>2015</v>
      </c>
      <c r="K100" s="7">
        <v>5767</v>
      </c>
      <c r="L100" s="7">
        <v>81.73</v>
      </c>
      <c r="M100" s="7">
        <v>56.67</v>
      </c>
      <c r="N100" s="7">
        <f>SylipTable[[#This Row],[Unit Price]]-SylipTable[[#This Row],[Unit Cost]]</f>
        <v>25.060000000000002</v>
      </c>
      <c r="O100" s="7">
        <v>471336.91</v>
      </c>
      <c r="P100" s="7">
        <v>326815.89</v>
      </c>
      <c r="Q100" s="7">
        <v>144521.01999999999</v>
      </c>
    </row>
    <row r="101" spans="1:17" x14ac:dyDescent="0.3">
      <c r="A101" t="s">
        <v>31</v>
      </c>
      <c r="B101" t="s">
        <v>117</v>
      </c>
      <c r="C101" t="s">
        <v>37</v>
      </c>
      <c r="D101" t="s">
        <v>20</v>
      </c>
      <c r="E101" t="s">
        <v>30</v>
      </c>
      <c r="F101" s="5">
        <v>40949</v>
      </c>
      <c r="G101" s="6">
        <f t="shared" si="3"/>
        <v>2012</v>
      </c>
      <c r="H101">
        <v>665095412</v>
      </c>
      <c r="I101" s="5">
        <v>40954</v>
      </c>
      <c r="J101" s="6">
        <f t="shared" si="2"/>
        <v>2012</v>
      </c>
      <c r="K101" s="7">
        <v>5367</v>
      </c>
      <c r="L101" s="7">
        <v>668.27</v>
      </c>
      <c r="M101" s="7">
        <v>502.54</v>
      </c>
      <c r="N101" s="7">
        <f>SylipTable[[#This Row],[Unit Price]]-SylipTable[[#This Row],[Unit Cost]]</f>
        <v>165.72999999999996</v>
      </c>
      <c r="O101" s="7">
        <v>3586605.09</v>
      </c>
      <c r="P101" s="7">
        <v>2697132.18</v>
      </c>
      <c r="Q101" s="7">
        <v>889472.91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714A-5325-4E27-9FA5-5198F3B290A2}">
  <dimension ref="A1:Q101"/>
  <sheetViews>
    <sheetView topLeftCell="C1" workbookViewId="0">
      <selection activeCell="O2" sqref="O2:O101"/>
    </sheetView>
  </sheetViews>
  <sheetFormatPr defaultRowHeight="14.4" x14ac:dyDescent="0.3"/>
  <cols>
    <col min="6" max="6" width="14.33203125" customWidth="1"/>
    <col min="8" max="8" width="13.109375" customWidth="1"/>
    <col min="9" max="9" width="12.21875" customWidth="1"/>
    <col min="11" max="11" width="9.88671875" customWidth="1"/>
    <col min="12" max="13" width="9.6640625" customWidth="1"/>
    <col min="14" max="14" width="11.77734375" customWidth="1"/>
    <col min="15" max="15" width="14.33203125" customWidth="1"/>
    <col min="16" max="16" width="14.5546875" customWidth="1"/>
    <col min="17" max="17" width="12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5">
        <v>40326</v>
      </c>
      <c r="G2" s="6">
        <f>YEAR(F2)</f>
        <v>2010</v>
      </c>
      <c r="H2">
        <v>669165933</v>
      </c>
      <c r="I2" s="5">
        <v>40356</v>
      </c>
      <c r="J2" s="6">
        <f>YEAR(I2)</f>
        <v>2010</v>
      </c>
      <c r="K2" s="7">
        <v>9925</v>
      </c>
      <c r="L2" s="7">
        <v>255.28</v>
      </c>
      <c r="M2" s="7">
        <v>159.41999999999999</v>
      </c>
      <c r="N2" s="7">
        <f>SylipTable3[[#This Row],[Unit Price]]-SylipTable3[[#This Row],[Unit Cost]]</f>
        <v>95.860000000000014</v>
      </c>
      <c r="O2" s="7">
        <v>2533654</v>
      </c>
      <c r="P2" s="7">
        <v>1582243.5</v>
      </c>
      <c r="Q2" s="7">
        <v>951410.5</v>
      </c>
    </row>
    <row r="3" spans="1:17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5">
        <v>41143</v>
      </c>
      <c r="G3" s="6">
        <f>YEAR(F3)</f>
        <v>2012</v>
      </c>
      <c r="H3">
        <v>963881480</v>
      </c>
      <c r="I3" s="5">
        <v>41167</v>
      </c>
      <c r="J3" s="6">
        <f t="shared" ref="J3:J66" si="0">YEAR(I3)</f>
        <v>2012</v>
      </c>
      <c r="K3" s="7">
        <v>2804</v>
      </c>
      <c r="L3" s="7">
        <v>205.7</v>
      </c>
      <c r="M3" s="7">
        <v>117.11</v>
      </c>
      <c r="N3" s="7">
        <f>SylipTable3[[#This Row],[Unit Price]]-SylipTable3[[#This Row],[Unit Cost]]</f>
        <v>88.589999999999989</v>
      </c>
      <c r="O3" s="7">
        <v>576782.80000000005</v>
      </c>
      <c r="P3" s="7">
        <v>328376.44</v>
      </c>
      <c r="Q3" s="7">
        <v>248406.36</v>
      </c>
    </row>
    <row r="4" spans="1:17" x14ac:dyDescent="0.3">
      <c r="A4" t="s">
        <v>27</v>
      </c>
      <c r="B4" t="s">
        <v>28</v>
      </c>
      <c r="C4" t="s">
        <v>29</v>
      </c>
      <c r="D4" t="s">
        <v>20</v>
      </c>
      <c r="E4" t="s">
        <v>30</v>
      </c>
      <c r="F4" s="5">
        <v>41761</v>
      </c>
      <c r="G4" s="6">
        <f t="shared" ref="G4:G67" si="1">YEAR(F4)</f>
        <v>2014</v>
      </c>
      <c r="H4">
        <v>341417157</v>
      </c>
      <c r="I4" s="5">
        <v>41767</v>
      </c>
      <c r="J4" s="6">
        <f t="shared" si="0"/>
        <v>2014</v>
      </c>
      <c r="K4" s="7">
        <v>1779</v>
      </c>
      <c r="L4" s="7">
        <v>651.21</v>
      </c>
      <c r="M4" s="7">
        <v>524.96</v>
      </c>
      <c r="N4" s="7">
        <f>SylipTable3[[#This Row],[Unit Price]]-SylipTable3[[#This Row],[Unit Cost]]</f>
        <v>126.25</v>
      </c>
      <c r="O4" s="7">
        <v>1158502.5900000001</v>
      </c>
      <c r="P4" s="7">
        <v>933903.84</v>
      </c>
      <c r="Q4" s="7">
        <v>224598.75</v>
      </c>
    </row>
    <row r="5" spans="1:17" x14ac:dyDescent="0.3">
      <c r="A5" t="s">
        <v>31</v>
      </c>
      <c r="B5" t="s">
        <v>32</v>
      </c>
      <c r="C5" t="s">
        <v>33</v>
      </c>
      <c r="D5" t="s">
        <v>25</v>
      </c>
      <c r="E5" t="s">
        <v>26</v>
      </c>
      <c r="F5" s="5">
        <v>41810</v>
      </c>
      <c r="G5" s="6">
        <f t="shared" si="1"/>
        <v>2014</v>
      </c>
      <c r="H5">
        <v>514321792</v>
      </c>
      <c r="I5" s="5">
        <v>41825</v>
      </c>
      <c r="J5" s="6">
        <f t="shared" si="0"/>
        <v>2014</v>
      </c>
      <c r="K5" s="7">
        <v>8102</v>
      </c>
      <c r="L5" s="7">
        <v>9.33</v>
      </c>
      <c r="M5" s="7">
        <v>6.92</v>
      </c>
      <c r="N5" s="7">
        <f>SylipTable3[[#This Row],[Unit Price]]-SylipTable3[[#This Row],[Unit Cost]]</f>
        <v>2.41</v>
      </c>
      <c r="O5" s="7">
        <v>75591.66</v>
      </c>
      <c r="P5" s="7">
        <v>56065.84</v>
      </c>
      <c r="Q5" s="7">
        <v>19525.82</v>
      </c>
    </row>
    <row r="6" spans="1:17" x14ac:dyDescent="0.3">
      <c r="A6" t="s">
        <v>31</v>
      </c>
      <c r="B6" t="s">
        <v>34</v>
      </c>
      <c r="C6" t="s">
        <v>29</v>
      </c>
      <c r="D6" t="s">
        <v>20</v>
      </c>
      <c r="E6" t="s">
        <v>30</v>
      </c>
      <c r="F6" s="5">
        <v>41306</v>
      </c>
      <c r="G6" s="6">
        <f t="shared" si="1"/>
        <v>2013</v>
      </c>
      <c r="H6">
        <v>115456712</v>
      </c>
      <c r="I6" s="5">
        <v>41311</v>
      </c>
      <c r="J6" s="6">
        <f t="shared" si="0"/>
        <v>2013</v>
      </c>
      <c r="K6" s="7">
        <v>5062</v>
      </c>
      <c r="L6" s="7"/>
      <c r="M6" s="7">
        <v>524.96</v>
      </c>
      <c r="N6" s="7">
        <f>SylipTable3[[#This Row],[Unit Price]]-SylipTable3[[#This Row],[Unit Cost]]</f>
        <v>-524.96</v>
      </c>
      <c r="O6" s="7">
        <v>3296425.02</v>
      </c>
      <c r="P6" s="7">
        <v>2657347.52</v>
      </c>
      <c r="Q6" s="7">
        <v>639077.5</v>
      </c>
    </row>
    <row r="7" spans="1:17" x14ac:dyDescent="0.3">
      <c r="A7" t="s">
        <v>17</v>
      </c>
      <c r="B7" t="s">
        <v>35</v>
      </c>
      <c r="C7" t="s">
        <v>19</v>
      </c>
      <c r="D7" t="s">
        <v>25</v>
      </c>
      <c r="E7" t="s">
        <v>26</v>
      </c>
      <c r="F7" s="5">
        <v>42039</v>
      </c>
      <c r="G7" s="6">
        <f t="shared" si="1"/>
        <v>2015</v>
      </c>
      <c r="H7">
        <v>547995746</v>
      </c>
      <c r="I7" s="5">
        <v>42056</v>
      </c>
      <c r="J7" s="6">
        <f t="shared" si="0"/>
        <v>2015</v>
      </c>
      <c r="K7" s="7">
        <v>2974</v>
      </c>
      <c r="L7" s="7">
        <v>255.28</v>
      </c>
      <c r="M7" s="7">
        <v>159.41999999999999</v>
      </c>
      <c r="N7" s="7">
        <f>SylipTable3[[#This Row],[Unit Price]]-SylipTable3[[#This Row],[Unit Cost]]</f>
        <v>95.860000000000014</v>
      </c>
      <c r="O7" s="7">
        <v>759202.72</v>
      </c>
      <c r="P7" s="7">
        <v>474115.08</v>
      </c>
      <c r="Q7" s="7">
        <v>285087.64</v>
      </c>
    </row>
    <row r="8" spans="1:17" x14ac:dyDescent="0.3">
      <c r="A8" t="s">
        <v>31</v>
      </c>
      <c r="B8" t="s">
        <v>36</v>
      </c>
      <c r="C8" t="s">
        <v>37</v>
      </c>
      <c r="D8" t="s">
        <v>20</v>
      </c>
      <c r="E8" t="s">
        <v>38</v>
      </c>
      <c r="F8" s="5">
        <v>40656</v>
      </c>
      <c r="G8" s="6">
        <f t="shared" si="1"/>
        <v>2011</v>
      </c>
      <c r="H8">
        <v>135425221</v>
      </c>
      <c r="I8" s="5">
        <v>40660</v>
      </c>
      <c r="J8" s="6">
        <f t="shared" si="0"/>
        <v>2011</v>
      </c>
      <c r="K8" s="7">
        <v>4187</v>
      </c>
      <c r="L8" s="7">
        <v>668.27</v>
      </c>
      <c r="M8" s="7">
        <v>502.54</v>
      </c>
      <c r="N8" s="7">
        <f>SylipTable3[[#This Row],[Unit Price]]-SylipTable3[[#This Row],[Unit Cost]]</f>
        <v>165.72999999999996</v>
      </c>
      <c r="O8" s="7">
        <v>2798046.49</v>
      </c>
      <c r="P8" s="7">
        <v>2104134.98</v>
      </c>
      <c r="Q8" s="7">
        <v>693911.51</v>
      </c>
    </row>
    <row r="9" spans="1:17" x14ac:dyDescent="0.3">
      <c r="A9" t="s">
        <v>31</v>
      </c>
      <c r="B9" t="s">
        <v>39</v>
      </c>
      <c r="C9" t="s">
        <v>40</v>
      </c>
      <c r="D9" t="s">
        <v>25</v>
      </c>
      <c r="E9" t="s">
        <v>21</v>
      </c>
      <c r="F9" s="5">
        <v>41107</v>
      </c>
      <c r="G9" s="6">
        <f t="shared" si="1"/>
        <v>2012</v>
      </c>
      <c r="H9">
        <v>871543967</v>
      </c>
      <c r="I9" s="5">
        <v>41117</v>
      </c>
      <c r="J9" s="6">
        <f t="shared" si="0"/>
        <v>2012</v>
      </c>
      <c r="K9" s="7">
        <v>8082</v>
      </c>
      <c r="L9" s="7">
        <v>154.06</v>
      </c>
      <c r="M9" s="7">
        <v>90.93</v>
      </c>
      <c r="N9" s="7">
        <f>SylipTable3[[#This Row],[Unit Price]]-SylipTable3[[#This Row],[Unit Cost]]</f>
        <v>63.129999999999995</v>
      </c>
      <c r="O9" s="7">
        <v>1245112.92</v>
      </c>
      <c r="P9" s="7">
        <v>734896.26</v>
      </c>
      <c r="Q9" s="7">
        <v>510216.66</v>
      </c>
    </row>
    <row r="10" spans="1:17" x14ac:dyDescent="0.3">
      <c r="A10" t="s">
        <v>31</v>
      </c>
      <c r="B10" t="s">
        <v>41</v>
      </c>
      <c r="C10" t="s">
        <v>42</v>
      </c>
      <c r="D10" t="s">
        <v>20</v>
      </c>
      <c r="E10" t="s">
        <v>38</v>
      </c>
      <c r="F10" s="5">
        <v>42199</v>
      </c>
      <c r="G10" s="6">
        <f t="shared" si="1"/>
        <v>2015</v>
      </c>
      <c r="H10">
        <v>770463311</v>
      </c>
      <c r="I10" s="5">
        <v>42241</v>
      </c>
      <c r="J10" s="6">
        <f t="shared" si="0"/>
        <v>2015</v>
      </c>
      <c r="K10" s="7">
        <v>6070</v>
      </c>
      <c r="L10" s="7">
        <v>81.73</v>
      </c>
      <c r="M10" s="7">
        <v>56.67</v>
      </c>
      <c r="N10" s="7">
        <f>SylipTable3[[#This Row],[Unit Price]]-SylipTable3[[#This Row],[Unit Cost]]</f>
        <v>25.060000000000002</v>
      </c>
      <c r="O10" s="7">
        <v>496101.1</v>
      </c>
      <c r="P10" s="7">
        <v>343986.9</v>
      </c>
      <c r="Q10" s="7">
        <v>152114.20000000001</v>
      </c>
    </row>
    <row r="11" spans="1:17" x14ac:dyDescent="0.3">
      <c r="A11" t="s">
        <v>31</v>
      </c>
      <c r="B11" t="s">
        <v>43</v>
      </c>
      <c r="C11" t="s">
        <v>24</v>
      </c>
      <c r="D11" t="s">
        <v>25</v>
      </c>
      <c r="E11" t="s">
        <v>21</v>
      </c>
      <c r="F11" s="5">
        <v>41747</v>
      </c>
      <c r="G11" s="6">
        <f t="shared" si="1"/>
        <v>2014</v>
      </c>
      <c r="H11">
        <v>616607081</v>
      </c>
      <c r="I11" s="5">
        <v>41789</v>
      </c>
      <c r="J11" s="6">
        <f t="shared" si="0"/>
        <v>2014</v>
      </c>
      <c r="K11" s="7">
        <v>6593</v>
      </c>
      <c r="L11" s="7">
        <v>205.7</v>
      </c>
      <c r="M11" s="7">
        <v>117.11</v>
      </c>
      <c r="N11" s="7">
        <f>SylipTable3[[#This Row],[Unit Price]]-SylipTable3[[#This Row],[Unit Cost]]</f>
        <v>88.589999999999989</v>
      </c>
      <c r="O11" s="7">
        <v>1356180.1</v>
      </c>
      <c r="P11" s="7">
        <v>772106.23</v>
      </c>
      <c r="Q11" s="7">
        <v>584073.87</v>
      </c>
    </row>
    <row r="12" spans="1:17" x14ac:dyDescent="0.3">
      <c r="A12" t="s">
        <v>44</v>
      </c>
      <c r="B12" t="s">
        <v>45</v>
      </c>
      <c r="C12" t="s">
        <v>40</v>
      </c>
      <c r="D12" t="s">
        <v>25</v>
      </c>
      <c r="E12" t="s">
        <v>21</v>
      </c>
      <c r="F12" s="5">
        <v>40718</v>
      </c>
      <c r="G12" s="6">
        <f t="shared" si="1"/>
        <v>2011</v>
      </c>
      <c r="H12">
        <v>814711606</v>
      </c>
      <c r="I12" s="5">
        <v>40736</v>
      </c>
      <c r="J12" s="6">
        <f t="shared" si="0"/>
        <v>2011</v>
      </c>
      <c r="K12" s="7">
        <v>124</v>
      </c>
      <c r="L12" s="7">
        <v>154.06</v>
      </c>
      <c r="M12" s="7">
        <v>90.93</v>
      </c>
      <c r="N12" s="7">
        <f>SylipTable3[[#This Row],[Unit Price]]-SylipTable3[[#This Row],[Unit Cost]]</f>
        <v>63.129999999999995</v>
      </c>
      <c r="O12" s="7">
        <v>19103.439999999999</v>
      </c>
      <c r="P12" s="7">
        <v>11275.32</v>
      </c>
      <c r="Q12" s="7">
        <v>7828.12</v>
      </c>
    </row>
    <row r="13" spans="1:17" x14ac:dyDescent="0.3">
      <c r="A13" t="s">
        <v>31</v>
      </c>
      <c r="B13" t="s">
        <v>46</v>
      </c>
      <c r="C13" t="s">
        <v>47</v>
      </c>
      <c r="D13" t="s">
        <v>20</v>
      </c>
      <c r="E13" t="s">
        <v>21</v>
      </c>
      <c r="F13" s="5">
        <v>41853</v>
      </c>
      <c r="G13" s="6">
        <f t="shared" si="1"/>
        <v>2014</v>
      </c>
      <c r="H13">
        <v>939825713</v>
      </c>
      <c r="I13" s="5">
        <v>41870</v>
      </c>
      <c r="J13" s="6">
        <f t="shared" si="0"/>
        <v>2014</v>
      </c>
      <c r="K13" s="7">
        <v>4168</v>
      </c>
      <c r="L13" s="7">
        <v>109.28</v>
      </c>
      <c r="M13" s="7">
        <v>35.840000000000003</v>
      </c>
      <c r="N13" s="7">
        <f>SylipTable3[[#This Row],[Unit Price]]-SylipTable3[[#This Row],[Unit Cost]]</f>
        <v>73.44</v>
      </c>
      <c r="O13" s="7">
        <v>455479.03999999998</v>
      </c>
      <c r="P13" s="7">
        <v>149381.12</v>
      </c>
      <c r="Q13" s="7">
        <v>306097.91999999998</v>
      </c>
    </row>
    <row r="14" spans="1:17" x14ac:dyDescent="0.3">
      <c r="A14" t="s">
        <v>44</v>
      </c>
      <c r="B14" t="s">
        <v>48</v>
      </c>
      <c r="C14" t="s">
        <v>47</v>
      </c>
      <c r="D14" t="s">
        <v>25</v>
      </c>
      <c r="E14" t="s">
        <v>30</v>
      </c>
      <c r="F14" s="5">
        <v>42748</v>
      </c>
      <c r="G14" s="6">
        <f t="shared" si="1"/>
        <v>2017</v>
      </c>
      <c r="H14">
        <v>187310731</v>
      </c>
      <c r="I14" s="5">
        <v>42795</v>
      </c>
      <c r="J14" s="6">
        <f t="shared" si="0"/>
        <v>2017</v>
      </c>
      <c r="K14" s="7">
        <v>8263</v>
      </c>
      <c r="L14" s="7">
        <v>109.28</v>
      </c>
      <c r="M14" s="7">
        <v>35.840000000000003</v>
      </c>
      <c r="N14" s="7">
        <f>SylipTable3[[#This Row],[Unit Price]]-SylipTable3[[#This Row],[Unit Cost]]</f>
        <v>73.44</v>
      </c>
      <c r="O14" s="7">
        <v>902980.64</v>
      </c>
      <c r="P14" s="7">
        <v>296145.91999999998</v>
      </c>
      <c r="Q14" s="7">
        <v>606834.72</v>
      </c>
    </row>
    <row r="15" spans="1:17" x14ac:dyDescent="0.3">
      <c r="A15" t="s">
        <v>22</v>
      </c>
      <c r="B15" t="s">
        <v>49</v>
      </c>
      <c r="C15" t="s">
        <v>37</v>
      </c>
      <c r="D15" t="s">
        <v>20</v>
      </c>
      <c r="E15" t="s">
        <v>21</v>
      </c>
      <c r="F15" s="5">
        <v>42774</v>
      </c>
      <c r="G15" s="6">
        <f t="shared" si="1"/>
        <v>2017</v>
      </c>
      <c r="H15">
        <v>522840487</v>
      </c>
      <c r="I15" s="5">
        <v>42779</v>
      </c>
      <c r="J15" s="6">
        <f t="shared" si="0"/>
        <v>2017</v>
      </c>
      <c r="K15" s="7">
        <v>8974</v>
      </c>
      <c r="L15" s="7">
        <v>668.27</v>
      </c>
      <c r="M15" s="7">
        <v>502.54</v>
      </c>
      <c r="N15" s="7">
        <f>SylipTable3[[#This Row],[Unit Price]]-SylipTable3[[#This Row],[Unit Cost]]</f>
        <v>165.72999999999996</v>
      </c>
      <c r="O15" s="7">
        <v>5997054.9800000004</v>
      </c>
      <c r="P15" s="7">
        <v>4509793.96</v>
      </c>
      <c r="Q15" s="7">
        <v>1487261.02</v>
      </c>
    </row>
    <row r="16" spans="1:17" x14ac:dyDescent="0.3">
      <c r="A16" t="s">
        <v>44</v>
      </c>
      <c r="B16" t="s">
        <v>50</v>
      </c>
      <c r="C16" t="s">
        <v>42</v>
      </c>
      <c r="D16" t="s">
        <v>20</v>
      </c>
      <c r="E16" t="s">
        <v>26</v>
      </c>
      <c r="F16" s="5">
        <v>41689</v>
      </c>
      <c r="G16" s="6">
        <f t="shared" si="1"/>
        <v>2014</v>
      </c>
      <c r="H16">
        <v>832401311</v>
      </c>
      <c r="I16" s="5">
        <v>41693</v>
      </c>
      <c r="J16" s="6">
        <f t="shared" si="0"/>
        <v>2014</v>
      </c>
      <c r="K16" s="7">
        <v>4901</v>
      </c>
      <c r="L16" s="7">
        <v>81.73</v>
      </c>
      <c r="M16" s="7">
        <v>56.67</v>
      </c>
      <c r="N16" s="7">
        <f>SylipTable3[[#This Row],[Unit Price]]-SylipTable3[[#This Row],[Unit Cost]]</f>
        <v>25.060000000000002</v>
      </c>
      <c r="O16" s="7">
        <v>400558.73</v>
      </c>
      <c r="P16" s="7">
        <v>277739.67</v>
      </c>
      <c r="Q16" s="7">
        <v>122819.06</v>
      </c>
    </row>
    <row r="17" spans="1:17" x14ac:dyDescent="0.3">
      <c r="A17" t="s">
        <v>27</v>
      </c>
      <c r="B17" t="s">
        <v>51</v>
      </c>
      <c r="C17" t="s">
        <v>47</v>
      </c>
      <c r="D17" t="s">
        <v>25</v>
      </c>
      <c r="E17" t="s">
        <v>38</v>
      </c>
      <c r="F17" s="5">
        <v>41022</v>
      </c>
      <c r="G17" s="6">
        <f t="shared" si="1"/>
        <v>2012</v>
      </c>
      <c r="H17">
        <v>972292029</v>
      </c>
      <c r="I17" s="5">
        <v>41063</v>
      </c>
      <c r="J17" s="6">
        <f t="shared" si="0"/>
        <v>2012</v>
      </c>
      <c r="K17" s="7">
        <v>1673</v>
      </c>
      <c r="L17" s="7">
        <v>109.28</v>
      </c>
      <c r="M17" s="7">
        <v>35.840000000000003</v>
      </c>
      <c r="N17" s="7">
        <f>SylipTable3[[#This Row],[Unit Price]]-SylipTable3[[#This Row],[Unit Cost]]</f>
        <v>73.44</v>
      </c>
      <c r="O17" s="7">
        <v>182825.44</v>
      </c>
      <c r="P17" s="7">
        <v>59960.32</v>
      </c>
      <c r="Q17" s="7">
        <v>122865.12</v>
      </c>
    </row>
    <row r="18" spans="1:17" x14ac:dyDescent="0.3">
      <c r="A18" t="s">
        <v>44</v>
      </c>
      <c r="B18" t="s">
        <v>52</v>
      </c>
      <c r="C18" t="s">
        <v>53</v>
      </c>
      <c r="D18" t="s">
        <v>20</v>
      </c>
      <c r="E18" t="s">
        <v>38</v>
      </c>
      <c r="F18" s="5">
        <v>42693</v>
      </c>
      <c r="G18" s="6">
        <f t="shared" si="1"/>
        <v>2016</v>
      </c>
      <c r="H18">
        <v>419123971</v>
      </c>
      <c r="I18" s="5">
        <v>42722</v>
      </c>
      <c r="J18" s="6">
        <f t="shared" si="0"/>
        <v>2016</v>
      </c>
      <c r="K18" s="7">
        <v>6952</v>
      </c>
      <c r="L18" s="7">
        <v>437.2</v>
      </c>
      <c r="M18" s="7">
        <v>263.33</v>
      </c>
      <c r="N18" s="7">
        <f>SylipTable3[[#This Row],[Unit Price]]-SylipTable3[[#This Row],[Unit Cost]]</f>
        <v>173.87</v>
      </c>
      <c r="O18" s="7">
        <v>3039414.4</v>
      </c>
      <c r="P18" s="7">
        <v>1830670.16</v>
      </c>
      <c r="Q18" s="7">
        <v>1208744.24</v>
      </c>
    </row>
    <row r="19" spans="1:17" x14ac:dyDescent="0.3">
      <c r="A19" t="s">
        <v>31</v>
      </c>
      <c r="B19" t="s">
        <v>54</v>
      </c>
      <c r="C19" t="s">
        <v>55</v>
      </c>
      <c r="D19" t="s">
        <v>20</v>
      </c>
      <c r="E19" t="s">
        <v>26</v>
      </c>
      <c r="F19" s="5">
        <v>42095</v>
      </c>
      <c r="G19" s="6">
        <f t="shared" si="1"/>
        <v>2015</v>
      </c>
      <c r="H19">
        <v>519820964</v>
      </c>
      <c r="I19" s="5">
        <v>42112</v>
      </c>
      <c r="J19" s="6">
        <f t="shared" si="0"/>
        <v>2015</v>
      </c>
      <c r="K19" s="7">
        <v>5430</v>
      </c>
      <c r="L19" s="7">
        <v>47.45</v>
      </c>
      <c r="M19" s="7">
        <v>31.79</v>
      </c>
      <c r="N19" s="7">
        <f>SylipTable3[[#This Row],[Unit Price]]-SylipTable3[[#This Row],[Unit Cost]]</f>
        <v>15.660000000000004</v>
      </c>
      <c r="O19" s="7">
        <v>257653.5</v>
      </c>
      <c r="P19" s="7">
        <v>172619.7</v>
      </c>
      <c r="Q19" s="7">
        <v>85033.8</v>
      </c>
    </row>
    <row r="20" spans="1:17" x14ac:dyDescent="0.3">
      <c r="A20" t="s">
        <v>44</v>
      </c>
      <c r="B20" t="s">
        <v>56</v>
      </c>
      <c r="C20" t="s">
        <v>37</v>
      </c>
      <c r="D20" t="s">
        <v>20</v>
      </c>
      <c r="E20" t="s">
        <v>30</v>
      </c>
      <c r="F20" s="5">
        <v>40542</v>
      </c>
      <c r="G20" s="6">
        <f t="shared" si="1"/>
        <v>2010</v>
      </c>
      <c r="H20">
        <v>441619336</v>
      </c>
      <c r="I20" s="5">
        <v>40563</v>
      </c>
      <c r="J20" s="6">
        <f t="shared" si="0"/>
        <v>2011</v>
      </c>
      <c r="K20" s="7">
        <v>3830</v>
      </c>
      <c r="L20" s="7">
        <v>668.27</v>
      </c>
      <c r="M20" s="7">
        <v>502.54</v>
      </c>
      <c r="N20" s="7">
        <f>SylipTable3[[#This Row],[Unit Price]]-SylipTable3[[#This Row],[Unit Cost]]</f>
        <v>165.72999999999996</v>
      </c>
      <c r="O20" s="7">
        <v>2559474.1</v>
      </c>
      <c r="P20" s="7">
        <v>1924728.2</v>
      </c>
      <c r="Q20" s="7">
        <v>634745.9</v>
      </c>
    </row>
    <row r="21" spans="1:17" x14ac:dyDescent="0.3">
      <c r="A21" t="s">
        <v>17</v>
      </c>
      <c r="B21" t="s">
        <v>57</v>
      </c>
      <c r="C21" t="s">
        <v>58</v>
      </c>
      <c r="D21" t="s">
        <v>25</v>
      </c>
      <c r="E21" t="s">
        <v>30</v>
      </c>
      <c r="F21" s="5">
        <v>41121</v>
      </c>
      <c r="G21" s="6">
        <f t="shared" si="1"/>
        <v>2012</v>
      </c>
      <c r="H21">
        <v>322067916</v>
      </c>
      <c r="I21" s="5">
        <v>41163</v>
      </c>
      <c r="J21" s="6">
        <f t="shared" si="0"/>
        <v>2012</v>
      </c>
      <c r="K21" s="7">
        <v>5908</v>
      </c>
      <c r="L21" s="7">
        <v>421.89</v>
      </c>
      <c r="M21" s="7">
        <v>364.69</v>
      </c>
      <c r="N21" s="7">
        <f>SylipTable3[[#This Row],[Unit Price]]-SylipTable3[[#This Row],[Unit Cost]]</f>
        <v>57.199999999999989</v>
      </c>
      <c r="O21" s="7">
        <v>2492526.12</v>
      </c>
      <c r="P21" s="7">
        <v>2154588.52</v>
      </c>
      <c r="Q21" s="7">
        <v>337937.6</v>
      </c>
    </row>
    <row r="22" spans="1:17" x14ac:dyDescent="0.3">
      <c r="A22" t="s">
        <v>27</v>
      </c>
      <c r="B22" t="s">
        <v>59</v>
      </c>
      <c r="C22" t="s">
        <v>19</v>
      </c>
      <c r="D22" t="s">
        <v>25</v>
      </c>
      <c r="E22" t="s">
        <v>30</v>
      </c>
      <c r="F22" s="5">
        <v>41773</v>
      </c>
      <c r="G22" s="6">
        <f t="shared" si="1"/>
        <v>2014</v>
      </c>
      <c r="H22">
        <v>819028031</v>
      </c>
      <c r="I22" s="5">
        <v>41818</v>
      </c>
      <c r="J22" s="6">
        <f t="shared" si="0"/>
        <v>2014</v>
      </c>
      <c r="K22" s="7">
        <v>7450</v>
      </c>
      <c r="L22" s="7">
        <v>255.28</v>
      </c>
      <c r="M22" s="7">
        <v>159.41999999999999</v>
      </c>
      <c r="N22" s="7">
        <f>SylipTable3[[#This Row],[Unit Price]]-SylipTable3[[#This Row],[Unit Cost]]</f>
        <v>95.860000000000014</v>
      </c>
      <c r="O22" s="7">
        <v>1901836</v>
      </c>
      <c r="P22" s="7">
        <v>1187679</v>
      </c>
      <c r="Q22" s="7">
        <v>714157</v>
      </c>
    </row>
    <row r="23" spans="1:17" x14ac:dyDescent="0.3">
      <c r="A23" t="s">
        <v>27</v>
      </c>
      <c r="B23" t="s">
        <v>60</v>
      </c>
      <c r="C23" t="s">
        <v>19</v>
      </c>
      <c r="D23" t="s">
        <v>25</v>
      </c>
      <c r="E23" t="s">
        <v>21</v>
      </c>
      <c r="F23" s="5">
        <v>42216</v>
      </c>
      <c r="G23" s="6">
        <f t="shared" si="1"/>
        <v>2015</v>
      </c>
      <c r="H23">
        <v>860673511</v>
      </c>
      <c r="I23" s="5">
        <v>42250</v>
      </c>
      <c r="J23" s="6">
        <f t="shared" si="0"/>
        <v>2015</v>
      </c>
      <c r="K23" s="7">
        <v>1273</v>
      </c>
      <c r="L23" s="7">
        <v>255.28</v>
      </c>
      <c r="M23" s="7">
        <v>159.41999999999999</v>
      </c>
      <c r="N23" s="7">
        <f>SylipTable3[[#This Row],[Unit Price]]-SylipTable3[[#This Row],[Unit Cost]]</f>
        <v>95.860000000000014</v>
      </c>
      <c r="O23" s="7">
        <v>324971.44</v>
      </c>
      <c r="P23" s="7">
        <v>202941.66</v>
      </c>
      <c r="Q23" s="7">
        <v>122029.78</v>
      </c>
    </row>
    <row r="24" spans="1:17" x14ac:dyDescent="0.3">
      <c r="A24" t="s">
        <v>22</v>
      </c>
      <c r="B24" t="s">
        <v>49</v>
      </c>
      <c r="C24" t="s">
        <v>61</v>
      </c>
      <c r="D24" t="s">
        <v>25</v>
      </c>
      <c r="E24" t="s">
        <v>30</v>
      </c>
      <c r="F24" s="5">
        <v>42551</v>
      </c>
      <c r="G24" s="6">
        <f t="shared" si="1"/>
        <v>2016</v>
      </c>
      <c r="H24">
        <v>795490682</v>
      </c>
      <c r="I24" s="5">
        <v>42577</v>
      </c>
      <c r="J24" s="6">
        <f t="shared" si="0"/>
        <v>2016</v>
      </c>
      <c r="K24" s="7">
        <v>2225</v>
      </c>
      <c r="L24" s="7">
        <v>152.58000000000001</v>
      </c>
      <c r="M24" s="7">
        <v>97.44</v>
      </c>
      <c r="N24" s="7">
        <f>SylipTable3[[#This Row],[Unit Price]]-SylipTable3[[#This Row],[Unit Cost]]</f>
        <v>55.140000000000015</v>
      </c>
      <c r="O24" s="7">
        <v>339490.5</v>
      </c>
      <c r="P24" s="7">
        <v>216804</v>
      </c>
      <c r="Q24" s="7">
        <v>122686.5</v>
      </c>
    </row>
    <row r="25" spans="1:17" x14ac:dyDescent="0.3">
      <c r="A25" t="s">
        <v>17</v>
      </c>
      <c r="B25" t="s">
        <v>62</v>
      </c>
      <c r="C25" t="s">
        <v>33</v>
      </c>
      <c r="D25" t="s">
        <v>25</v>
      </c>
      <c r="E25" t="s">
        <v>21</v>
      </c>
      <c r="F25" s="5">
        <v>41890</v>
      </c>
      <c r="G25" s="6">
        <f t="shared" si="1"/>
        <v>2014</v>
      </c>
      <c r="H25">
        <v>142278373</v>
      </c>
      <c r="I25" s="5">
        <v>41916</v>
      </c>
      <c r="J25" s="6">
        <f t="shared" si="0"/>
        <v>2014</v>
      </c>
      <c r="K25" s="7">
        <v>2187</v>
      </c>
      <c r="L25" s="7">
        <v>9.33</v>
      </c>
      <c r="M25" s="7">
        <v>6.92</v>
      </c>
      <c r="N25" s="7">
        <f>SylipTable3[[#This Row],[Unit Price]]-SylipTable3[[#This Row],[Unit Cost]]</f>
        <v>2.41</v>
      </c>
      <c r="O25" s="7">
        <v>20404.71</v>
      </c>
      <c r="P25" s="7">
        <v>15134.04</v>
      </c>
      <c r="Q25" s="7">
        <v>5270.67</v>
      </c>
    </row>
    <row r="26" spans="1:17" x14ac:dyDescent="0.3">
      <c r="A26" t="s">
        <v>27</v>
      </c>
      <c r="B26" t="s">
        <v>63</v>
      </c>
      <c r="C26" t="s">
        <v>42</v>
      </c>
      <c r="D26" t="s">
        <v>25</v>
      </c>
      <c r="E26" t="s">
        <v>30</v>
      </c>
      <c r="F26" s="5">
        <v>42497</v>
      </c>
      <c r="G26" s="6">
        <f t="shared" si="1"/>
        <v>2016</v>
      </c>
      <c r="H26">
        <v>740147912</v>
      </c>
      <c r="I26" s="5">
        <v>42500</v>
      </c>
      <c r="J26" s="6">
        <f t="shared" si="0"/>
        <v>2016</v>
      </c>
      <c r="K26" s="7">
        <v>5070</v>
      </c>
      <c r="L26" s="7">
        <v>81.73</v>
      </c>
      <c r="M26" s="7">
        <v>56.67</v>
      </c>
      <c r="N26" s="7">
        <f>SylipTable3[[#This Row],[Unit Price]]-SylipTable3[[#This Row],[Unit Cost]]</f>
        <v>25.060000000000002</v>
      </c>
      <c r="O26" s="7">
        <v>414371.1</v>
      </c>
      <c r="P26" s="7">
        <v>287316.90000000002</v>
      </c>
      <c r="Q26" s="7">
        <v>127054.2</v>
      </c>
    </row>
    <row r="27" spans="1:17" x14ac:dyDescent="0.3">
      <c r="A27" t="s">
        <v>27</v>
      </c>
      <c r="B27" t="s">
        <v>64</v>
      </c>
      <c r="C27" t="s">
        <v>53</v>
      </c>
      <c r="D27" t="s">
        <v>25</v>
      </c>
      <c r="E27" t="s">
        <v>21</v>
      </c>
      <c r="F27" s="5">
        <v>42877</v>
      </c>
      <c r="G27" s="6">
        <f t="shared" si="1"/>
        <v>2017</v>
      </c>
      <c r="H27">
        <v>898523128</v>
      </c>
      <c r="I27" s="5">
        <v>42891</v>
      </c>
      <c r="J27" s="6">
        <f t="shared" si="0"/>
        <v>2017</v>
      </c>
      <c r="K27" s="7">
        <v>1815</v>
      </c>
      <c r="L27" s="7">
        <v>437.2</v>
      </c>
      <c r="M27" s="7">
        <v>263.33</v>
      </c>
      <c r="N27" s="7">
        <f>SylipTable3[[#This Row],[Unit Price]]-SylipTable3[[#This Row],[Unit Cost]]</f>
        <v>173.87</v>
      </c>
      <c r="O27" s="7">
        <v>793518</v>
      </c>
      <c r="P27" s="7">
        <v>477943.95</v>
      </c>
      <c r="Q27" s="7">
        <v>315574.05</v>
      </c>
    </row>
    <row r="28" spans="1:17" x14ac:dyDescent="0.3">
      <c r="A28" t="s">
        <v>17</v>
      </c>
      <c r="B28" t="s">
        <v>65</v>
      </c>
      <c r="C28" t="s">
        <v>33</v>
      </c>
      <c r="D28" t="s">
        <v>25</v>
      </c>
      <c r="E28" t="s">
        <v>38</v>
      </c>
      <c r="F28" s="5">
        <v>41925</v>
      </c>
      <c r="G28" s="6">
        <f t="shared" si="1"/>
        <v>2014</v>
      </c>
      <c r="H28">
        <v>347140347</v>
      </c>
      <c r="I28" s="5">
        <v>41953</v>
      </c>
      <c r="J28" s="6">
        <f t="shared" si="0"/>
        <v>2014</v>
      </c>
      <c r="K28" s="7">
        <v>5398</v>
      </c>
      <c r="L28" s="7">
        <v>9.33</v>
      </c>
      <c r="M28" s="7">
        <v>6.92</v>
      </c>
      <c r="N28" s="7">
        <f>SylipTable3[[#This Row],[Unit Price]]-SylipTable3[[#This Row],[Unit Cost]]</f>
        <v>2.41</v>
      </c>
      <c r="O28" s="7">
        <v>50363.34</v>
      </c>
      <c r="P28" s="7">
        <v>37354.160000000003</v>
      </c>
      <c r="Q28" s="7">
        <v>13009.18</v>
      </c>
    </row>
    <row r="29" spans="1:17" x14ac:dyDescent="0.3">
      <c r="A29" t="s">
        <v>31</v>
      </c>
      <c r="B29" t="s">
        <v>66</v>
      </c>
      <c r="C29" t="s">
        <v>33</v>
      </c>
      <c r="D29" t="s">
        <v>25</v>
      </c>
      <c r="E29" t="s">
        <v>30</v>
      </c>
      <c r="F29" s="5">
        <v>40305</v>
      </c>
      <c r="G29" s="6">
        <f t="shared" si="1"/>
        <v>2010</v>
      </c>
      <c r="H29">
        <v>686048400</v>
      </c>
      <c r="I29" s="5">
        <v>40308</v>
      </c>
      <c r="J29" s="6">
        <f t="shared" si="0"/>
        <v>2010</v>
      </c>
      <c r="K29" s="7">
        <v>5822</v>
      </c>
      <c r="L29" s="7">
        <v>9.33</v>
      </c>
      <c r="M29" s="7">
        <v>6.92</v>
      </c>
      <c r="N29" s="7">
        <f>SylipTable3[[#This Row],[Unit Price]]-SylipTable3[[#This Row],[Unit Cost]]</f>
        <v>2.41</v>
      </c>
      <c r="O29" s="7">
        <v>54319.26</v>
      </c>
      <c r="P29" s="7">
        <v>40288.239999999998</v>
      </c>
      <c r="Q29" s="7">
        <v>14031.02</v>
      </c>
    </row>
    <row r="30" spans="1:17" x14ac:dyDescent="0.3">
      <c r="A30" t="s">
        <v>27</v>
      </c>
      <c r="B30" t="s">
        <v>59</v>
      </c>
      <c r="C30" t="s">
        <v>55</v>
      </c>
      <c r="D30" t="s">
        <v>20</v>
      </c>
      <c r="E30" t="s">
        <v>26</v>
      </c>
      <c r="F30" s="5">
        <v>41838</v>
      </c>
      <c r="G30" s="6">
        <f t="shared" si="1"/>
        <v>2014</v>
      </c>
      <c r="H30">
        <v>435608613</v>
      </c>
      <c r="I30" s="5">
        <v>41850</v>
      </c>
      <c r="J30" s="6">
        <f t="shared" si="0"/>
        <v>2014</v>
      </c>
      <c r="K30" s="7">
        <v>5124</v>
      </c>
      <c r="L30" s="7">
        <v>47.45</v>
      </c>
      <c r="M30" s="7">
        <v>31.79</v>
      </c>
      <c r="N30" s="7">
        <f>SylipTable3[[#This Row],[Unit Price]]-SylipTable3[[#This Row],[Unit Cost]]</f>
        <v>15.660000000000004</v>
      </c>
      <c r="O30" s="7">
        <v>243133.8</v>
      </c>
      <c r="P30" s="7">
        <v>162891.96</v>
      </c>
      <c r="Q30" s="7">
        <v>80241.84</v>
      </c>
    </row>
    <row r="31" spans="1:17" x14ac:dyDescent="0.3">
      <c r="A31" t="s">
        <v>31</v>
      </c>
      <c r="B31" t="s">
        <v>67</v>
      </c>
      <c r="C31" t="s">
        <v>37</v>
      </c>
      <c r="D31" t="s">
        <v>20</v>
      </c>
      <c r="E31" t="s">
        <v>30</v>
      </c>
      <c r="F31" s="5">
        <v>41055</v>
      </c>
      <c r="G31" s="6">
        <f t="shared" si="1"/>
        <v>2012</v>
      </c>
      <c r="H31">
        <v>886494815</v>
      </c>
      <c r="I31" s="5">
        <v>41069</v>
      </c>
      <c r="J31" s="6">
        <f t="shared" si="0"/>
        <v>2012</v>
      </c>
      <c r="K31" s="7">
        <v>2370</v>
      </c>
      <c r="L31" s="7">
        <v>668.27</v>
      </c>
      <c r="M31" s="7">
        <v>502.54</v>
      </c>
      <c r="N31" s="7">
        <f>SylipTable3[[#This Row],[Unit Price]]-SylipTable3[[#This Row],[Unit Cost]]</f>
        <v>165.72999999999996</v>
      </c>
      <c r="O31" s="7">
        <v>1583799.9</v>
      </c>
      <c r="P31" s="7">
        <v>1191019.8</v>
      </c>
      <c r="Q31" s="7">
        <v>392780.1</v>
      </c>
    </row>
    <row r="32" spans="1:17" x14ac:dyDescent="0.3">
      <c r="A32" t="s">
        <v>27</v>
      </c>
      <c r="B32" t="s">
        <v>68</v>
      </c>
      <c r="C32" t="s">
        <v>53</v>
      </c>
      <c r="D32" t="s">
        <v>20</v>
      </c>
      <c r="E32" t="s">
        <v>38</v>
      </c>
      <c r="F32" s="5">
        <v>41169</v>
      </c>
      <c r="G32" s="6">
        <f t="shared" si="1"/>
        <v>2012</v>
      </c>
      <c r="H32">
        <v>249693334</v>
      </c>
      <c r="I32" s="5">
        <v>41202</v>
      </c>
      <c r="J32" s="6">
        <f t="shared" si="0"/>
        <v>2012</v>
      </c>
      <c r="K32" s="7">
        <v>8661</v>
      </c>
      <c r="L32" s="7">
        <v>437.2</v>
      </c>
      <c r="M32" s="7">
        <v>263.33</v>
      </c>
      <c r="N32" s="7">
        <f>SylipTable3[[#This Row],[Unit Price]]-SylipTable3[[#This Row],[Unit Cost]]</f>
        <v>173.87</v>
      </c>
      <c r="O32" s="7">
        <v>3786589.2</v>
      </c>
      <c r="P32" s="7">
        <v>2280701.13</v>
      </c>
      <c r="Q32" s="7">
        <v>1505888.07</v>
      </c>
    </row>
    <row r="33" spans="1:17" x14ac:dyDescent="0.3">
      <c r="A33" t="s">
        <v>31</v>
      </c>
      <c r="B33" t="s">
        <v>69</v>
      </c>
      <c r="C33" t="s">
        <v>42</v>
      </c>
      <c r="D33" t="s">
        <v>20</v>
      </c>
      <c r="E33" t="s">
        <v>26</v>
      </c>
      <c r="F33" s="5">
        <v>41637</v>
      </c>
      <c r="G33" s="6">
        <f t="shared" si="1"/>
        <v>2013</v>
      </c>
      <c r="H33">
        <v>406502997</v>
      </c>
      <c r="I33" s="5">
        <v>41667</v>
      </c>
      <c r="J33" s="6">
        <f t="shared" si="0"/>
        <v>2014</v>
      </c>
      <c r="K33" s="7">
        <v>2125</v>
      </c>
      <c r="L33" s="7">
        <v>81.73</v>
      </c>
      <c r="M33" s="7">
        <v>56.67</v>
      </c>
      <c r="N33" s="7">
        <f>SylipTable3[[#This Row],[Unit Price]]-SylipTable3[[#This Row],[Unit Cost]]</f>
        <v>25.060000000000002</v>
      </c>
      <c r="O33" s="7">
        <v>173676.25</v>
      </c>
      <c r="P33" s="7">
        <v>120423.75</v>
      </c>
      <c r="Q33" s="7">
        <v>53252.5</v>
      </c>
    </row>
    <row r="34" spans="1:17" x14ac:dyDescent="0.3">
      <c r="A34" t="s">
        <v>17</v>
      </c>
      <c r="B34" t="s">
        <v>70</v>
      </c>
      <c r="C34" t="s">
        <v>29</v>
      </c>
      <c r="D34" t="s">
        <v>25</v>
      </c>
      <c r="E34" t="s">
        <v>26</v>
      </c>
      <c r="F34" s="5">
        <v>42304</v>
      </c>
      <c r="G34" s="6">
        <f t="shared" si="1"/>
        <v>2015</v>
      </c>
      <c r="H34">
        <v>158535134</v>
      </c>
      <c r="I34" s="5">
        <v>42333</v>
      </c>
      <c r="J34" s="6">
        <f t="shared" si="0"/>
        <v>2015</v>
      </c>
      <c r="K34" s="7">
        <v>2924</v>
      </c>
      <c r="L34" s="7">
        <v>651.21</v>
      </c>
      <c r="M34" s="7">
        <v>524.96</v>
      </c>
      <c r="N34" s="7">
        <f>SylipTable3[[#This Row],[Unit Price]]-SylipTable3[[#This Row],[Unit Cost]]</f>
        <v>126.25</v>
      </c>
      <c r="O34" s="7">
        <v>1904138.04</v>
      </c>
      <c r="P34" s="7">
        <v>1534983.04</v>
      </c>
      <c r="Q34" s="7">
        <v>369155</v>
      </c>
    </row>
    <row r="35" spans="1:17" x14ac:dyDescent="0.3">
      <c r="A35" t="s">
        <v>44</v>
      </c>
      <c r="B35" t="s">
        <v>71</v>
      </c>
      <c r="C35" t="s">
        <v>37</v>
      </c>
      <c r="D35" t="s">
        <v>20</v>
      </c>
      <c r="E35" t="s">
        <v>21</v>
      </c>
      <c r="F35" s="5">
        <v>42020</v>
      </c>
      <c r="G35" s="6">
        <f t="shared" si="1"/>
        <v>2015</v>
      </c>
      <c r="H35">
        <v>177713572</v>
      </c>
      <c r="I35" s="5">
        <v>42064</v>
      </c>
      <c r="J35" s="6">
        <f t="shared" si="0"/>
        <v>2015</v>
      </c>
      <c r="K35" s="7">
        <v>8250</v>
      </c>
      <c r="L35" s="7">
        <v>668.27</v>
      </c>
      <c r="M35" s="7">
        <v>502.54</v>
      </c>
      <c r="N35" s="7">
        <f>SylipTable3[[#This Row],[Unit Price]]-SylipTable3[[#This Row],[Unit Cost]]</f>
        <v>165.72999999999996</v>
      </c>
      <c r="O35" s="7">
        <v>5513227.5</v>
      </c>
      <c r="P35" s="7">
        <v>4145955</v>
      </c>
      <c r="Q35" s="7">
        <v>1367272.5</v>
      </c>
    </row>
    <row r="36" spans="1:17" x14ac:dyDescent="0.3">
      <c r="A36" t="s">
        <v>31</v>
      </c>
      <c r="B36" t="s">
        <v>72</v>
      </c>
      <c r="C36" t="s">
        <v>61</v>
      </c>
      <c r="D36" t="s">
        <v>25</v>
      </c>
      <c r="E36" t="s">
        <v>38</v>
      </c>
      <c r="F36" s="5">
        <v>42791</v>
      </c>
      <c r="G36" s="6">
        <f t="shared" si="1"/>
        <v>2017</v>
      </c>
      <c r="H36">
        <v>756274640</v>
      </c>
      <c r="I36" s="5">
        <v>42791</v>
      </c>
      <c r="J36" s="6">
        <f t="shared" si="0"/>
        <v>2017</v>
      </c>
      <c r="K36" s="7">
        <v>7327</v>
      </c>
      <c r="L36" s="7">
        <v>152.58000000000001</v>
      </c>
      <c r="M36" s="7">
        <v>97.44</v>
      </c>
      <c r="N36" s="7">
        <f>SylipTable3[[#This Row],[Unit Price]]-SylipTable3[[#This Row],[Unit Cost]]</f>
        <v>55.140000000000015</v>
      </c>
      <c r="O36" s="7">
        <v>1117953.6599999999</v>
      </c>
      <c r="P36" s="7">
        <v>713942.88</v>
      </c>
      <c r="Q36" s="7">
        <v>404010.78</v>
      </c>
    </row>
    <row r="37" spans="1:17" x14ac:dyDescent="0.3">
      <c r="A37" t="s">
        <v>22</v>
      </c>
      <c r="B37" t="s">
        <v>73</v>
      </c>
      <c r="C37" t="s">
        <v>42</v>
      </c>
      <c r="D37" t="s">
        <v>20</v>
      </c>
      <c r="E37" t="s">
        <v>30</v>
      </c>
      <c r="F37" s="5">
        <v>42863</v>
      </c>
      <c r="G37" s="6">
        <f t="shared" si="1"/>
        <v>2017</v>
      </c>
      <c r="H37">
        <v>456767165</v>
      </c>
      <c r="I37" s="5">
        <v>42876</v>
      </c>
      <c r="J37" s="6">
        <f t="shared" si="0"/>
        <v>2017</v>
      </c>
      <c r="K37" s="7">
        <v>6409</v>
      </c>
      <c r="L37" s="7">
        <v>81.73</v>
      </c>
      <c r="M37" s="7">
        <v>56.67</v>
      </c>
      <c r="N37" s="7">
        <f>SylipTable3[[#This Row],[Unit Price]]-SylipTable3[[#This Row],[Unit Cost]]</f>
        <v>25.060000000000002</v>
      </c>
      <c r="O37" s="7">
        <v>523807.57</v>
      </c>
      <c r="P37" s="7">
        <v>363198.03</v>
      </c>
      <c r="Q37" s="7">
        <v>160609.54</v>
      </c>
    </row>
    <row r="38" spans="1:17" x14ac:dyDescent="0.3">
      <c r="A38" t="s">
        <v>74</v>
      </c>
      <c r="B38" t="s">
        <v>75</v>
      </c>
      <c r="C38" t="s">
        <v>33</v>
      </c>
      <c r="D38" t="s">
        <v>25</v>
      </c>
      <c r="E38" t="s">
        <v>30</v>
      </c>
      <c r="F38" s="5">
        <v>40869</v>
      </c>
      <c r="G38" s="6">
        <f t="shared" si="1"/>
        <v>2011</v>
      </c>
      <c r="H38">
        <v>162052476</v>
      </c>
      <c r="I38" s="5">
        <v>40880</v>
      </c>
      <c r="J38" s="6">
        <f t="shared" si="0"/>
        <v>2011</v>
      </c>
      <c r="K38" s="7">
        <v>3784</v>
      </c>
      <c r="L38" s="7">
        <v>9.33</v>
      </c>
      <c r="M38" s="7">
        <v>6.92</v>
      </c>
      <c r="N38" s="7">
        <f>SylipTable3[[#This Row],[Unit Price]]-SylipTable3[[#This Row],[Unit Cost]]</f>
        <v>2.41</v>
      </c>
      <c r="O38" s="7">
        <v>35304.720000000001</v>
      </c>
      <c r="P38" s="7">
        <v>26185.279999999999</v>
      </c>
      <c r="Q38" s="7">
        <v>9119.44</v>
      </c>
    </row>
    <row r="39" spans="1:17" x14ac:dyDescent="0.3">
      <c r="A39" t="s">
        <v>31</v>
      </c>
      <c r="B39" t="s">
        <v>67</v>
      </c>
      <c r="C39" t="s">
        <v>58</v>
      </c>
      <c r="D39" t="s">
        <v>25</v>
      </c>
      <c r="E39" t="s">
        <v>38</v>
      </c>
      <c r="F39" s="5">
        <v>42749</v>
      </c>
      <c r="G39" s="6">
        <f t="shared" si="1"/>
        <v>2017</v>
      </c>
      <c r="H39">
        <v>825304400</v>
      </c>
      <c r="I39" s="5">
        <v>42758</v>
      </c>
      <c r="J39" s="6">
        <f t="shared" si="0"/>
        <v>2017</v>
      </c>
      <c r="K39" s="7">
        <v>4767</v>
      </c>
      <c r="L39" s="7">
        <v>421.89</v>
      </c>
      <c r="M39" s="7">
        <v>364.69</v>
      </c>
      <c r="N39" s="7">
        <f>SylipTable3[[#This Row],[Unit Price]]-SylipTable3[[#This Row],[Unit Cost]]</f>
        <v>57.199999999999989</v>
      </c>
      <c r="O39" s="7">
        <v>2011149.63</v>
      </c>
      <c r="P39" s="7">
        <v>1738477.23</v>
      </c>
      <c r="Q39" s="7">
        <v>272672.40000000002</v>
      </c>
    </row>
    <row r="40" spans="1:17" x14ac:dyDescent="0.3">
      <c r="A40" t="s">
        <v>44</v>
      </c>
      <c r="B40" t="s">
        <v>76</v>
      </c>
      <c r="C40" t="s">
        <v>29</v>
      </c>
      <c r="D40" t="s">
        <v>25</v>
      </c>
      <c r="E40" t="s">
        <v>30</v>
      </c>
      <c r="F40" s="5">
        <v>41000</v>
      </c>
      <c r="G40" s="6">
        <f t="shared" si="1"/>
        <v>2012</v>
      </c>
      <c r="H40">
        <v>320009267</v>
      </c>
      <c r="I40" s="5">
        <v>41037</v>
      </c>
      <c r="J40" s="6">
        <f t="shared" si="0"/>
        <v>2012</v>
      </c>
      <c r="K40" s="7">
        <v>6708</v>
      </c>
      <c r="L40" s="7">
        <v>651.21</v>
      </c>
      <c r="M40" s="7">
        <v>524.96</v>
      </c>
      <c r="N40" s="7">
        <f>SylipTable3[[#This Row],[Unit Price]]-SylipTable3[[#This Row],[Unit Cost]]</f>
        <v>126.25</v>
      </c>
      <c r="O40" s="7">
        <v>4368316.68</v>
      </c>
      <c r="P40" s="7">
        <v>3521431.68</v>
      </c>
      <c r="Q40" s="7">
        <v>846885</v>
      </c>
    </row>
    <row r="41" spans="1:17" x14ac:dyDescent="0.3">
      <c r="A41" t="s">
        <v>27</v>
      </c>
      <c r="B41" t="s">
        <v>51</v>
      </c>
      <c r="C41" t="s">
        <v>29</v>
      </c>
      <c r="D41" t="s">
        <v>25</v>
      </c>
      <c r="E41" t="s">
        <v>38</v>
      </c>
      <c r="F41" s="5">
        <v>40955</v>
      </c>
      <c r="G41" s="6">
        <f t="shared" si="1"/>
        <v>2012</v>
      </c>
      <c r="H41">
        <v>189965903</v>
      </c>
      <c r="I41" s="5">
        <v>40967</v>
      </c>
      <c r="J41" s="6">
        <f t="shared" si="0"/>
        <v>2012</v>
      </c>
      <c r="K41" s="7">
        <v>3987</v>
      </c>
      <c r="L41" s="7">
        <v>651.21</v>
      </c>
      <c r="M41" s="7">
        <v>524.96</v>
      </c>
      <c r="N41" s="7">
        <f>SylipTable3[[#This Row],[Unit Price]]-SylipTable3[[#This Row],[Unit Cost]]</f>
        <v>126.25</v>
      </c>
      <c r="O41" s="7">
        <v>2596374.27</v>
      </c>
      <c r="P41" s="7">
        <v>2093015.52</v>
      </c>
      <c r="Q41" s="7">
        <v>503358.75</v>
      </c>
    </row>
    <row r="42" spans="1:17" x14ac:dyDescent="0.3">
      <c r="A42" t="s">
        <v>31</v>
      </c>
      <c r="B42" t="s">
        <v>77</v>
      </c>
      <c r="C42" t="s">
        <v>42</v>
      </c>
      <c r="D42" t="s">
        <v>25</v>
      </c>
      <c r="E42" t="s">
        <v>21</v>
      </c>
      <c r="F42" s="5">
        <v>42805</v>
      </c>
      <c r="G42" s="6">
        <f t="shared" si="1"/>
        <v>2017</v>
      </c>
      <c r="H42">
        <v>699285638</v>
      </c>
      <c r="I42" s="5">
        <v>42822</v>
      </c>
      <c r="J42" s="6">
        <f t="shared" si="0"/>
        <v>2017</v>
      </c>
      <c r="K42" s="7">
        <v>3015</v>
      </c>
      <c r="L42" s="7">
        <v>81.73</v>
      </c>
      <c r="M42" s="7">
        <v>56.67</v>
      </c>
      <c r="N42" s="7">
        <f>SylipTable3[[#This Row],[Unit Price]]-SylipTable3[[#This Row],[Unit Cost]]</f>
        <v>25.060000000000002</v>
      </c>
      <c r="O42" s="7">
        <v>246415.95</v>
      </c>
      <c r="P42" s="7">
        <v>170860.05</v>
      </c>
      <c r="Q42" s="7">
        <v>75555.899999999994</v>
      </c>
    </row>
    <row r="43" spans="1:17" x14ac:dyDescent="0.3">
      <c r="A43" t="s">
        <v>74</v>
      </c>
      <c r="B43" t="s">
        <v>78</v>
      </c>
      <c r="C43" t="s">
        <v>53</v>
      </c>
      <c r="D43" t="s">
        <v>25</v>
      </c>
      <c r="E43" t="s">
        <v>38</v>
      </c>
      <c r="F43" s="5">
        <v>40215</v>
      </c>
      <c r="G43" s="6">
        <f t="shared" si="1"/>
        <v>2010</v>
      </c>
      <c r="H43">
        <v>382392299</v>
      </c>
      <c r="I43" s="5">
        <v>40234</v>
      </c>
      <c r="J43" s="6">
        <f t="shared" si="0"/>
        <v>2010</v>
      </c>
      <c r="K43" s="7">
        <v>7234</v>
      </c>
      <c r="L43" s="7">
        <v>437.2</v>
      </c>
      <c r="M43" s="7">
        <v>263.33</v>
      </c>
      <c r="N43" s="7">
        <f>SylipTable3[[#This Row],[Unit Price]]-SylipTable3[[#This Row],[Unit Cost]]</f>
        <v>173.87</v>
      </c>
      <c r="O43" s="7">
        <v>3162704.8</v>
      </c>
      <c r="P43" s="7">
        <v>1904929.22</v>
      </c>
      <c r="Q43" s="7">
        <v>1257775.58</v>
      </c>
    </row>
    <row r="44" spans="1:17" x14ac:dyDescent="0.3">
      <c r="A44" t="s">
        <v>31</v>
      </c>
      <c r="B44" t="s">
        <v>67</v>
      </c>
      <c r="C44" t="s">
        <v>24</v>
      </c>
      <c r="D44" t="s">
        <v>20</v>
      </c>
      <c r="E44" t="s">
        <v>21</v>
      </c>
      <c r="F44" s="5">
        <v>41067</v>
      </c>
      <c r="G44" s="6">
        <f t="shared" si="1"/>
        <v>2012</v>
      </c>
      <c r="H44">
        <v>994022214</v>
      </c>
      <c r="I44" s="5">
        <v>41068</v>
      </c>
      <c r="J44" s="6">
        <f t="shared" si="0"/>
        <v>2012</v>
      </c>
      <c r="K44" s="7">
        <v>2117</v>
      </c>
      <c r="L44" s="7">
        <v>205.7</v>
      </c>
      <c r="M44" s="7">
        <v>117.11</v>
      </c>
      <c r="N44" s="7">
        <f>SylipTable3[[#This Row],[Unit Price]]-SylipTable3[[#This Row],[Unit Cost]]</f>
        <v>88.589999999999989</v>
      </c>
      <c r="O44" s="7">
        <v>435466.9</v>
      </c>
      <c r="P44" s="7">
        <v>247921.87</v>
      </c>
      <c r="Q44" s="7">
        <v>187545.03</v>
      </c>
    </row>
    <row r="45" spans="1:17" x14ac:dyDescent="0.3">
      <c r="A45" t="s">
        <v>27</v>
      </c>
      <c r="B45" t="s">
        <v>79</v>
      </c>
      <c r="C45" t="s">
        <v>40</v>
      </c>
      <c r="D45" t="s">
        <v>25</v>
      </c>
      <c r="E45" t="s">
        <v>21</v>
      </c>
      <c r="F45" s="5">
        <v>41188</v>
      </c>
      <c r="G45" s="6">
        <f t="shared" si="1"/>
        <v>2012</v>
      </c>
      <c r="H45">
        <v>759224212</v>
      </c>
      <c r="I45" s="5">
        <v>41223</v>
      </c>
      <c r="J45" s="6">
        <f t="shared" si="0"/>
        <v>2012</v>
      </c>
      <c r="K45" s="7">
        <v>171</v>
      </c>
      <c r="L45" s="7">
        <v>154.06</v>
      </c>
      <c r="M45" s="7">
        <v>90.93</v>
      </c>
      <c r="N45" s="7">
        <f>SylipTable3[[#This Row],[Unit Price]]-SylipTable3[[#This Row],[Unit Cost]]</f>
        <v>63.129999999999995</v>
      </c>
      <c r="O45" s="7">
        <v>26344.26</v>
      </c>
      <c r="P45" s="7">
        <v>15549.03</v>
      </c>
      <c r="Q45" s="7">
        <v>10795.23</v>
      </c>
    </row>
    <row r="46" spans="1:17" x14ac:dyDescent="0.3">
      <c r="A46" t="s">
        <v>44</v>
      </c>
      <c r="B46" t="s">
        <v>71</v>
      </c>
      <c r="C46" t="s">
        <v>47</v>
      </c>
      <c r="D46" t="s">
        <v>25</v>
      </c>
      <c r="E46" t="s">
        <v>21</v>
      </c>
      <c r="F46" s="5">
        <v>42322</v>
      </c>
      <c r="G46" s="6">
        <f t="shared" si="1"/>
        <v>2015</v>
      </c>
      <c r="H46">
        <v>223359620</v>
      </c>
      <c r="I46" s="5">
        <v>42326</v>
      </c>
      <c r="J46" s="6">
        <f t="shared" si="0"/>
        <v>2015</v>
      </c>
      <c r="K46" s="7">
        <v>5930</v>
      </c>
      <c r="L46" s="7">
        <v>109.28</v>
      </c>
      <c r="M46" s="7">
        <v>35.840000000000003</v>
      </c>
      <c r="N46" s="7">
        <f>SylipTable3[[#This Row],[Unit Price]]-SylipTable3[[#This Row],[Unit Cost]]</f>
        <v>73.44</v>
      </c>
      <c r="O46" s="7">
        <v>648030.4</v>
      </c>
      <c r="P46" s="7">
        <v>212531.20000000001</v>
      </c>
      <c r="Q46" s="7">
        <v>435499.2</v>
      </c>
    </row>
    <row r="47" spans="1:17" x14ac:dyDescent="0.3">
      <c r="A47" t="s">
        <v>31</v>
      </c>
      <c r="B47" t="s">
        <v>80</v>
      </c>
      <c r="C47" t="s">
        <v>24</v>
      </c>
      <c r="D47" t="s">
        <v>20</v>
      </c>
      <c r="E47" t="s">
        <v>21</v>
      </c>
      <c r="F47" s="5">
        <v>42458</v>
      </c>
      <c r="G47" s="6">
        <f t="shared" si="1"/>
        <v>2016</v>
      </c>
      <c r="H47">
        <v>902102267</v>
      </c>
      <c r="I47" s="5">
        <v>42489</v>
      </c>
      <c r="J47" s="6">
        <f t="shared" si="0"/>
        <v>2016</v>
      </c>
      <c r="K47" s="7">
        <v>962</v>
      </c>
      <c r="L47" s="7">
        <v>205.7</v>
      </c>
      <c r="M47" s="7">
        <v>117.11</v>
      </c>
      <c r="N47" s="7">
        <f>SylipTable3[[#This Row],[Unit Price]]-SylipTable3[[#This Row],[Unit Cost]]</f>
        <v>88.589999999999989</v>
      </c>
      <c r="O47" s="7">
        <v>197883.4</v>
      </c>
      <c r="P47" s="7">
        <v>112659.82</v>
      </c>
      <c r="Q47" s="7">
        <v>85223.58</v>
      </c>
    </row>
    <row r="48" spans="1:17" x14ac:dyDescent="0.3">
      <c r="A48" t="s">
        <v>27</v>
      </c>
      <c r="B48" t="s">
        <v>81</v>
      </c>
      <c r="C48" t="s">
        <v>53</v>
      </c>
      <c r="D48" t="s">
        <v>25</v>
      </c>
      <c r="E48" t="s">
        <v>26</v>
      </c>
      <c r="F48" s="5">
        <v>42735</v>
      </c>
      <c r="G48" s="6">
        <f t="shared" si="1"/>
        <v>2016</v>
      </c>
      <c r="H48">
        <v>331438481</v>
      </c>
      <c r="I48" s="5">
        <v>42735</v>
      </c>
      <c r="J48" s="6">
        <f t="shared" si="0"/>
        <v>2016</v>
      </c>
      <c r="K48" s="7">
        <v>8867</v>
      </c>
      <c r="L48" s="7">
        <v>437.2</v>
      </c>
      <c r="M48" s="7">
        <v>263.33</v>
      </c>
      <c r="N48" s="7">
        <f>SylipTable3[[#This Row],[Unit Price]]-SylipTable3[[#This Row],[Unit Cost]]</f>
        <v>173.87</v>
      </c>
      <c r="O48" s="7">
        <v>3876652.4</v>
      </c>
      <c r="P48" s="7">
        <v>2334947.11</v>
      </c>
      <c r="Q48" s="7">
        <v>1541705.29</v>
      </c>
    </row>
    <row r="49" spans="1:17" x14ac:dyDescent="0.3">
      <c r="A49" t="s">
        <v>27</v>
      </c>
      <c r="B49" t="s">
        <v>68</v>
      </c>
      <c r="C49" t="s">
        <v>42</v>
      </c>
      <c r="D49" t="s">
        <v>25</v>
      </c>
      <c r="E49" t="s">
        <v>38</v>
      </c>
      <c r="F49" s="5">
        <v>40535</v>
      </c>
      <c r="G49" s="6">
        <f t="shared" si="1"/>
        <v>2010</v>
      </c>
      <c r="H49">
        <v>617667090</v>
      </c>
      <c r="I49" s="5">
        <v>40574</v>
      </c>
      <c r="J49" s="6">
        <f t="shared" si="0"/>
        <v>2011</v>
      </c>
      <c r="K49" s="7">
        <v>273</v>
      </c>
      <c r="L49" s="7">
        <v>81.73</v>
      </c>
      <c r="M49" s="7">
        <v>56.67</v>
      </c>
      <c r="N49" s="7">
        <f>SylipTable3[[#This Row],[Unit Price]]-SylipTable3[[#This Row],[Unit Cost]]</f>
        <v>25.060000000000002</v>
      </c>
      <c r="O49" s="7">
        <v>22312.29</v>
      </c>
      <c r="P49" s="7">
        <v>15470.91</v>
      </c>
      <c r="Q49" s="7">
        <v>6841.38</v>
      </c>
    </row>
    <row r="50" spans="1:17" x14ac:dyDescent="0.3">
      <c r="A50" t="s">
        <v>27</v>
      </c>
      <c r="B50" t="s">
        <v>82</v>
      </c>
      <c r="C50" t="s">
        <v>47</v>
      </c>
      <c r="D50" t="s">
        <v>20</v>
      </c>
      <c r="E50" t="s">
        <v>26</v>
      </c>
      <c r="F50" s="5">
        <v>41926</v>
      </c>
      <c r="G50" s="6">
        <f t="shared" si="1"/>
        <v>2014</v>
      </c>
      <c r="H50">
        <v>787399423</v>
      </c>
      <c r="I50" s="5">
        <v>41957</v>
      </c>
      <c r="J50" s="6">
        <f t="shared" si="0"/>
        <v>2014</v>
      </c>
      <c r="K50" s="7">
        <v>7842</v>
      </c>
      <c r="L50" s="7">
        <v>109.28</v>
      </c>
      <c r="M50" s="7">
        <v>35.840000000000003</v>
      </c>
      <c r="N50" s="7">
        <f>SylipTable3[[#This Row],[Unit Price]]-SylipTable3[[#This Row],[Unit Cost]]</f>
        <v>73.44</v>
      </c>
      <c r="O50" s="7">
        <v>856973.76</v>
      </c>
      <c r="P50" s="7">
        <v>281057.28000000003</v>
      </c>
      <c r="Q50" s="7">
        <v>575916.48</v>
      </c>
    </row>
    <row r="51" spans="1:17" x14ac:dyDescent="0.3">
      <c r="A51" t="s">
        <v>31</v>
      </c>
      <c r="B51" t="s">
        <v>83</v>
      </c>
      <c r="C51" t="s">
        <v>29</v>
      </c>
      <c r="D51" t="s">
        <v>20</v>
      </c>
      <c r="E51" t="s">
        <v>26</v>
      </c>
      <c r="F51" s="5">
        <v>40919</v>
      </c>
      <c r="G51" s="6">
        <f t="shared" si="1"/>
        <v>2012</v>
      </c>
      <c r="H51">
        <v>837559306</v>
      </c>
      <c r="I51" s="5">
        <v>40921</v>
      </c>
      <c r="J51" s="6">
        <f t="shared" si="0"/>
        <v>2012</v>
      </c>
      <c r="K51" s="7">
        <v>1266</v>
      </c>
      <c r="L51" s="7">
        <v>651.21</v>
      </c>
      <c r="M51" s="7">
        <v>524.96</v>
      </c>
      <c r="N51" s="7">
        <f>SylipTable3[[#This Row],[Unit Price]]-SylipTable3[[#This Row],[Unit Cost]]</f>
        <v>126.25</v>
      </c>
      <c r="O51" s="7">
        <v>824431.86</v>
      </c>
      <c r="P51" s="7">
        <v>664599.36</v>
      </c>
      <c r="Q51" s="7">
        <v>159832.5</v>
      </c>
    </row>
    <row r="52" spans="1:17" x14ac:dyDescent="0.3">
      <c r="A52" t="s">
        <v>27</v>
      </c>
      <c r="B52" t="s">
        <v>84</v>
      </c>
      <c r="C52" t="s">
        <v>47</v>
      </c>
      <c r="D52" t="s">
        <v>25</v>
      </c>
      <c r="E52" t="s">
        <v>26</v>
      </c>
      <c r="F52" s="5">
        <v>40211</v>
      </c>
      <c r="G52" s="6">
        <f t="shared" si="1"/>
        <v>2010</v>
      </c>
      <c r="H52">
        <v>385383069</v>
      </c>
      <c r="I52" s="5">
        <v>40255</v>
      </c>
      <c r="J52" s="6">
        <f t="shared" si="0"/>
        <v>2010</v>
      </c>
      <c r="K52" s="7">
        <v>2269</v>
      </c>
      <c r="L52" s="7">
        <v>109.28</v>
      </c>
      <c r="M52" s="7">
        <v>35.840000000000003</v>
      </c>
      <c r="N52" s="7">
        <f>SylipTable3[[#This Row],[Unit Price]]-SylipTable3[[#This Row],[Unit Cost]]</f>
        <v>73.44</v>
      </c>
      <c r="O52" s="7">
        <v>247956.32</v>
      </c>
      <c r="P52" s="7">
        <v>81320.960000000006</v>
      </c>
      <c r="Q52" s="7">
        <v>166635.35999999999</v>
      </c>
    </row>
    <row r="53" spans="1:17" x14ac:dyDescent="0.3">
      <c r="A53" t="s">
        <v>31</v>
      </c>
      <c r="B53" t="s">
        <v>85</v>
      </c>
      <c r="C53" t="s">
        <v>33</v>
      </c>
      <c r="D53" t="s">
        <v>25</v>
      </c>
      <c r="E53" t="s">
        <v>30</v>
      </c>
      <c r="F53" s="5">
        <v>41504</v>
      </c>
      <c r="G53" s="6">
        <f t="shared" si="1"/>
        <v>2013</v>
      </c>
      <c r="H53">
        <v>918419539</v>
      </c>
      <c r="I53" s="5">
        <v>41535</v>
      </c>
      <c r="J53" s="6">
        <f t="shared" si="0"/>
        <v>2013</v>
      </c>
      <c r="K53" s="7">
        <v>9606</v>
      </c>
      <c r="L53" s="7">
        <v>9.33</v>
      </c>
      <c r="M53" s="7">
        <v>6.92</v>
      </c>
      <c r="N53" s="7">
        <f>SylipTable3[[#This Row],[Unit Price]]-SylipTable3[[#This Row],[Unit Cost]]</f>
        <v>2.41</v>
      </c>
      <c r="O53" s="7">
        <v>89623.98</v>
      </c>
      <c r="P53" s="7">
        <v>66473.52</v>
      </c>
      <c r="Q53" s="7">
        <v>23150.46</v>
      </c>
    </row>
    <row r="54" spans="1:17" x14ac:dyDescent="0.3">
      <c r="A54" t="s">
        <v>74</v>
      </c>
      <c r="B54" t="s">
        <v>86</v>
      </c>
      <c r="C54" t="s">
        <v>24</v>
      </c>
      <c r="D54" t="s">
        <v>25</v>
      </c>
      <c r="E54" t="s">
        <v>38</v>
      </c>
      <c r="F54" s="5">
        <v>41358</v>
      </c>
      <c r="G54" s="6">
        <f t="shared" si="1"/>
        <v>2013</v>
      </c>
      <c r="H54">
        <v>844530045</v>
      </c>
      <c r="I54" s="5">
        <v>41361</v>
      </c>
      <c r="J54" s="6">
        <f t="shared" si="0"/>
        <v>2013</v>
      </c>
      <c r="K54" s="7">
        <v>4063</v>
      </c>
      <c r="L54" s="7">
        <v>205.7</v>
      </c>
      <c r="M54" s="7">
        <v>117.11</v>
      </c>
      <c r="N54" s="7">
        <f>SylipTable3[[#This Row],[Unit Price]]-SylipTable3[[#This Row],[Unit Cost]]</f>
        <v>88.589999999999989</v>
      </c>
      <c r="O54" s="7">
        <v>835759.1</v>
      </c>
      <c r="P54" s="7">
        <v>475817.93</v>
      </c>
      <c r="Q54" s="7">
        <v>359941.17</v>
      </c>
    </row>
    <row r="55" spans="1:17" x14ac:dyDescent="0.3">
      <c r="A55" t="s">
        <v>31</v>
      </c>
      <c r="B55" t="s">
        <v>87</v>
      </c>
      <c r="C55" t="s">
        <v>29</v>
      </c>
      <c r="D55" t="s">
        <v>20</v>
      </c>
      <c r="E55" t="s">
        <v>38</v>
      </c>
      <c r="F55" s="5">
        <v>40873</v>
      </c>
      <c r="G55" s="6">
        <f t="shared" si="1"/>
        <v>2011</v>
      </c>
      <c r="H55">
        <v>441888415</v>
      </c>
      <c r="I55" s="5">
        <v>40915</v>
      </c>
      <c r="J55" s="6">
        <f t="shared" si="0"/>
        <v>2012</v>
      </c>
      <c r="K55" s="7">
        <v>3457</v>
      </c>
      <c r="L55" s="7">
        <v>651.21</v>
      </c>
      <c r="M55" s="7">
        <v>524.96</v>
      </c>
      <c r="N55" s="7">
        <f>SylipTable3[[#This Row],[Unit Price]]-SylipTable3[[#This Row],[Unit Cost]]</f>
        <v>126.25</v>
      </c>
      <c r="O55" s="7">
        <v>2251232.9700000002</v>
      </c>
      <c r="P55" s="7">
        <v>1814786.72</v>
      </c>
      <c r="Q55" s="7">
        <v>436446.25</v>
      </c>
    </row>
    <row r="56" spans="1:17" x14ac:dyDescent="0.3">
      <c r="A56" t="s">
        <v>31</v>
      </c>
      <c r="B56" t="s">
        <v>32</v>
      </c>
      <c r="C56" t="s">
        <v>33</v>
      </c>
      <c r="D56" t="s">
        <v>20</v>
      </c>
      <c r="E56" t="s">
        <v>21</v>
      </c>
      <c r="F56" s="5">
        <v>41534</v>
      </c>
      <c r="G56" s="6">
        <f t="shared" si="1"/>
        <v>2013</v>
      </c>
      <c r="H56">
        <v>508980977</v>
      </c>
      <c r="I56" s="5">
        <v>41571</v>
      </c>
      <c r="J56" s="6">
        <f t="shared" si="0"/>
        <v>2013</v>
      </c>
      <c r="K56" s="7">
        <v>7637</v>
      </c>
      <c r="L56" s="7">
        <v>9.33</v>
      </c>
      <c r="M56" s="7">
        <v>6.92</v>
      </c>
      <c r="N56" s="7">
        <f>SylipTable3[[#This Row],[Unit Price]]-SylipTable3[[#This Row],[Unit Cost]]</f>
        <v>2.41</v>
      </c>
      <c r="O56" s="7">
        <v>71253.210000000006</v>
      </c>
      <c r="P56" s="7">
        <v>52848.04</v>
      </c>
      <c r="Q56" s="7">
        <v>18405.169999999998</v>
      </c>
    </row>
    <row r="57" spans="1:17" x14ac:dyDescent="0.3">
      <c r="A57" t="s">
        <v>31</v>
      </c>
      <c r="B57" t="s">
        <v>88</v>
      </c>
      <c r="C57" t="s">
        <v>47</v>
      </c>
      <c r="D57" t="s">
        <v>25</v>
      </c>
      <c r="E57" t="s">
        <v>26</v>
      </c>
      <c r="F57" s="5">
        <v>41068</v>
      </c>
      <c r="G57" s="6">
        <f t="shared" si="1"/>
        <v>2012</v>
      </c>
      <c r="H57">
        <v>114606559</v>
      </c>
      <c r="I57" s="5">
        <v>41087</v>
      </c>
      <c r="J57" s="6">
        <f t="shared" si="0"/>
        <v>2012</v>
      </c>
      <c r="K57" s="7">
        <v>3482</v>
      </c>
      <c r="L57" s="7">
        <v>109.28</v>
      </c>
      <c r="M57" s="7">
        <v>35.840000000000003</v>
      </c>
      <c r="N57" s="7">
        <f>SylipTable3[[#This Row],[Unit Price]]-SylipTable3[[#This Row],[Unit Cost]]</f>
        <v>73.44</v>
      </c>
      <c r="O57" s="7">
        <v>380512.96</v>
      </c>
      <c r="P57" s="7">
        <v>124794.88</v>
      </c>
      <c r="Q57" s="7">
        <v>255718.08</v>
      </c>
    </row>
    <row r="58" spans="1:17" x14ac:dyDescent="0.3">
      <c r="A58" t="s">
        <v>17</v>
      </c>
      <c r="B58" t="s">
        <v>89</v>
      </c>
      <c r="C58" t="s">
        <v>47</v>
      </c>
      <c r="D58" t="s">
        <v>20</v>
      </c>
      <c r="E58" t="s">
        <v>26</v>
      </c>
      <c r="F58" s="5">
        <v>40359</v>
      </c>
      <c r="G58" s="6">
        <f t="shared" si="1"/>
        <v>2010</v>
      </c>
      <c r="H58">
        <v>647876489</v>
      </c>
      <c r="I58" s="5">
        <v>40391</v>
      </c>
      <c r="J58" s="6">
        <f t="shared" si="0"/>
        <v>2010</v>
      </c>
      <c r="K58" s="7">
        <v>9905</v>
      </c>
      <c r="L58" s="7">
        <v>109.28</v>
      </c>
      <c r="M58" s="7">
        <v>35.840000000000003</v>
      </c>
      <c r="N58" s="7">
        <f>SylipTable3[[#This Row],[Unit Price]]-SylipTable3[[#This Row],[Unit Cost]]</f>
        <v>73.44</v>
      </c>
      <c r="O58" s="7">
        <v>1082418.3999999999</v>
      </c>
      <c r="P58" s="7">
        <v>354995.20000000001</v>
      </c>
      <c r="Q58" s="7">
        <v>727423.2</v>
      </c>
    </row>
    <row r="59" spans="1:17" x14ac:dyDescent="0.3">
      <c r="A59" t="s">
        <v>27</v>
      </c>
      <c r="B59" t="s">
        <v>90</v>
      </c>
      <c r="C59" t="s">
        <v>53</v>
      </c>
      <c r="D59" t="s">
        <v>20</v>
      </c>
      <c r="E59" t="s">
        <v>21</v>
      </c>
      <c r="F59" s="5">
        <v>42058</v>
      </c>
      <c r="G59" s="6">
        <f t="shared" si="1"/>
        <v>2015</v>
      </c>
      <c r="H59">
        <v>868214595</v>
      </c>
      <c r="I59" s="5">
        <v>42065</v>
      </c>
      <c r="J59" s="6">
        <f t="shared" si="0"/>
        <v>2015</v>
      </c>
      <c r="K59" s="7">
        <v>2847</v>
      </c>
      <c r="L59" s="7">
        <v>437.2</v>
      </c>
      <c r="M59" s="7">
        <v>263.33</v>
      </c>
      <c r="N59" s="7">
        <f>SylipTable3[[#This Row],[Unit Price]]-SylipTable3[[#This Row],[Unit Cost]]</f>
        <v>173.87</v>
      </c>
      <c r="O59" s="7">
        <v>1244708.3999999999</v>
      </c>
      <c r="P59" s="7">
        <v>749700.51</v>
      </c>
      <c r="Q59" s="7">
        <v>495007.89</v>
      </c>
    </row>
    <row r="60" spans="1:17" x14ac:dyDescent="0.3">
      <c r="A60" t="s">
        <v>27</v>
      </c>
      <c r="B60" t="s">
        <v>91</v>
      </c>
      <c r="C60" t="s">
        <v>37</v>
      </c>
      <c r="D60" t="s">
        <v>25</v>
      </c>
      <c r="E60" t="s">
        <v>30</v>
      </c>
      <c r="F60" s="5">
        <v>40913</v>
      </c>
      <c r="G60" s="6">
        <f t="shared" si="1"/>
        <v>2012</v>
      </c>
      <c r="H60">
        <v>955357205</v>
      </c>
      <c r="I60" s="5">
        <v>40953</v>
      </c>
      <c r="J60" s="6">
        <f t="shared" si="0"/>
        <v>2012</v>
      </c>
      <c r="K60" s="7">
        <v>282</v>
      </c>
      <c r="L60" s="7">
        <v>668.27</v>
      </c>
      <c r="M60" s="7">
        <v>502.54</v>
      </c>
      <c r="N60" s="7">
        <f>SylipTable3[[#This Row],[Unit Price]]-SylipTable3[[#This Row],[Unit Cost]]</f>
        <v>165.72999999999996</v>
      </c>
      <c r="O60" s="7">
        <v>188452.14</v>
      </c>
      <c r="P60" s="7">
        <v>141716.28</v>
      </c>
      <c r="Q60" s="7">
        <v>46735.86</v>
      </c>
    </row>
    <row r="61" spans="1:17" x14ac:dyDescent="0.3">
      <c r="A61" t="s">
        <v>31</v>
      </c>
      <c r="B61" t="s">
        <v>72</v>
      </c>
      <c r="C61" t="s">
        <v>53</v>
      </c>
      <c r="D61" t="s">
        <v>20</v>
      </c>
      <c r="E61" t="s">
        <v>21</v>
      </c>
      <c r="F61" s="5">
        <v>41736</v>
      </c>
      <c r="G61" s="6">
        <f t="shared" si="1"/>
        <v>2014</v>
      </c>
      <c r="H61">
        <v>259353148</v>
      </c>
      <c r="I61" s="5">
        <v>41748</v>
      </c>
      <c r="J61" s="6">
        <f t="shared" si="0"/>
        <v>2014</v>
      </c>
      <c r="K61" s="7">
        <v>7215</v>
      </c>
      <c r="L61" s="7">
        <v>437.2</v>
      </c>
      <c r="M61" s="7">
        <v>263.33</v>
      </c>
      <c r="N61" s="7">
        <f>SylipTable3[[#This Row],[Unit Price]]-SylipTable3[[#This Row],[Unit Cost]]</f>
        <v>173.87</v>
      </c>
      <c r="O61" s="7">
        <v>3154398</v>
      </c>
      <c r="P61" s="7">
        <v>1899925.95</v>
      </c>
      <c r="Q61" s="7">
        <v>1254472.05</v>
      </c>
    </row>
    <row r="62" spans="1:17" x14ac:dyDescent="0.3">
      <c r="A62" t="s">
        <v>17</v>
      </c>
      <c r="B62" t="s">
        <v>70</v>
      </c>
      <c r="C62" t="s">
        <v>24</v>
      </c>
      <c r="D62" t="s">
        <v>20</v>
      </c>
      <c r="E62" t="s">
        <v>21</v>
      </c>
      <c r="F62" s="5">
        <v>41434</v>
      </c>
      <c r="G62" s="6">
        <f t="shared" si="1"/>
        <v>2013</v>
      </c>
      <c r="H62">
        <v>450563752</v>
      </c>
      <c r="I62" s="5">
        <v>41457</v>
      </c>
      <c r="J62" s="6">
        <f t="shared" si="0"/>
        <v>2013</v>
      </c>
      <c r="K62" s="7">
        <v>682</v>
      </c>
      <c r="L62" s="7">
        <v>205.7</v>
      </c>
      <c r="M62" s="7">
        <v>117.11</v>
      </c>
      <c r="N62" s="7">
        <f>SylipTable3[[#This Row],[Unit Price]]-SylipTable3[[#This Row],[Unit Cost]]</f>
        <v>88.589999999999989</v>
      </c>
      <c r="O62" s="7">
        <v>140287.4</v>
      </c>
      <c r="P62" s="7">
        <v>79869.02</v>
      </c>
      <c r="Q62" s="7">
        <v>60418.38</v>
      </c>
    </row>
    <row r="63" spans="1:17" x14ac:dyDescent="0.3">
      <c r="A63" t="s">
        <v>27</v>
      </c>
      <c r="B63" t="s">
        <v>92</v>
      </c>
      <c r="C63" t="s">
        <v>19</v>
      </c>
      <c r="D63" t="s">
        <v>25</v>
      </c>
      <c r="E63" t="s">
        <v>30</v>
      </c>
      <c r="F63" s="5">
        <v>41451</v>
      </c>
      <c r="G63" s="6">
        <f t="shared" si="1"/>
        <v>2013</v>
      </c>
      <c r="H63">
        <v>569662845</v>
      </c>
      <c r="I63" s="5">
        <v>41456</v>
      </c>
      <c r="J63" s="6">
        <f t="shared" si="0"/>
        <v>2013</v>
      </c>
      <c r="K63" s="7">
        <v>4750</v>
      </c>
      <c r="L63" s="7">
        <v>255.28</v>
      </c>
      <c r="M63" s="7">
        <v>159.41999999999999</v>
      </c>
      <c r="N63" s="7">
        <f>SylipTable3[[#This Row],[Unit Price]]-SylipTable3[[#This Row],[Unit Cost]]</f>
        <v>95.860000000000014</v>
      </c>
      <c r="O63" s="7">
        <v>1212580</v>
      </c>
      <c r="P63" s="7">
        <v>757245</v>
      </c>
      <c r="Q63" s="7">
        <v>455335</v>
      </c>
    </row>
    <row r="64" spans="1:17" x14ac:dyDescent="0.3">
      <c r="A64" t="s">
        <v>31</v>
      </c>
      <c r="B64" t="s">
        <v>54</v>
      </c>
      <c r="C64" t="s">
        <v>29</v>
      </c>
      <c r="D64" t="s">
        <v>25</v>
      </c>
      <c r="E64" t="s">
        <v>38</v>
      </c>
      <c r="F64" s="5">
        <v>40854</v>
      </c>
      <c r="G64" s="6">
        <f t="shared" si="1"/>
        <v>2011</v>
      </c>
      <c r="H64">
        <v>177636754</v>
      </c>
      <c r="I64" s="5">
        <v>40862</v>
      </c>
      <c r="J64" s="6">
        <f t="shared" si="0"/>
        <v>2011</v>
      </c>
      <c r="K64" s="7">
        <v>5518</v>
      </c>
      <c r="L64" s="7">
        <v>651.21</v>
      </c>
      <c r="M64" s="7">
        <v>524.96</v>
      </c>
      <c r="N64" s="7">
        <f>SylipTable3[[#This Row],[Unit Price]]-SylipTable3[[#This Row],[Unit Cost]]</f>
        <v>126.25</v>
      </c>
      <c r="O64" s="7">
        <v>3593376.78</v>
      </c>
      <c r="P64" s="7">
        <v>2896729.28</v>
      </c>
      <c r="Q64" s="7">
        <v>696647.5</v>
      </c>
    </row>
    <row r="65" spans="1:17" x14ac:dyDescent="0.3">
      <c r="A65" t="s">
        <v>74</v>
      </c>
      <c r="B65" t="s">
        <v>93</v>
      </c>
      <c r="C65" t="s">
        <v>47</v>
      </c>
      <c r="D65" t="s">
        <v>20</v>
      </c>
      <c r="E65" t="s">
        <v>21</v>
      </c>
      <c r="F65" s="5">
        <v>40481</v>
      </c>
      <c r="G65" s="6">
        <f t="shared" si="1"/>
        <v>2010</v>
      </c>
      <c r="H65">
        <v>705784308</v>
      </c>
      <c r="I65" s="5">
        <v>40499</v>
      </c>
      <c r="J65" s="6">
        <f t="shared" si="0"/>
        <v>2010</v>
      </c>
      <c r="K65" s="7">
        <v>6116</v>
      </c>
      <c r="L65" s="7">
        <v>109.28</v>
      </c>
      <c r="M65" s="7">
        <v>35.840000000000003</v>
      </c>
      <c r="N65" s="7">
        <f>SylipTable3[[#This Row],[Unit Price]]-SylipTable3[[#This Row],[Unit Cost]]</f>
        <v>73.44</v>
      </c>
      <c r="O65" s="7">
        <v>668356.48</v>
      </c>
      <c r="P65" s="7">
        <v>219197.44</v>
      </c>
      <c r="Q65" s="7">
        <v>449159.04</v>
      </c>
    </row>
    <row r="66" spans="1:17" x14ac:dyDescent="0.3">
      <c r="A66" t="s">
        <v>22</v>
      </c>
      <c r="B66" t="s">
        <v>94</v>
      </c>
      <c r="C66" t="s">
        <v>53</v>
      </c>
      <c r="D66" t="s">
        <v>20</v>
      </c>
      <c r="E66" t="s">
        <v>21</v>
      </c>
      <c r="F66" s="5">
        <v>41560</v>
      </c>
      <c r="G66" s="6">
        <f t="shared" si="1"/>
        <v>2013</v>
      </c>
      <c r="H66">
        <v>505716836</v>
      </c>
      <c r="I66" s="5">
        <v>41594</v>
      </c>
      <c r="J66" s="6">
        <f t="shared" si="0"/>
        <v>2013</v>
      </c>
      <c r="K66" s="7">
        <v>1705</v>
      </c>
      <c r="L66" s="7">
        <v>437.2</v>
      </c>
      <c r="M66" s="7">
        <v>263.33</v>
      </c>
      <c r="N66" s="7">
        <f>SylipTable3[[#This Row],[Unit Price]]-SylipTable3[[#This Row],[Unit Cost]]</f>
        <v>173.87</v>
      </c>
      <c r="O66" s="7">
        <v>745426</v>
      </c>
      <c r="P66" s="7">
        <v>448977.65</v>
      </c>
      <c r="Q66" s="7">
        <v>296448.34999999998</v>
      </c>
    </row>
    <row r="67" spans="1:17" x14ac:dyDescent="0.3">
      <c r="A67" t="s">
        <v>31</v>
      </c>
      <c r="B67" t="s">
        <v>34</v>
      </c>
      <c r="C67" t="s">
        <v>53</v>
      </c>
      <c r="D67" t="s">
        <v>20</v>
      </c>
      <c r="E67" t="s">
        <v>21</v>
      </c>
      <c r="F67" s="5">
        <v>41558</v>
      </c>
      <c r="G67" s="6">
        <f t="shared" si="1"/>
        <v>2013</v>
      </c>
      <c r="H67">
        <v>699358165</v>
      </c>
      <c r="I67" s="5">
        <v>41603</v>
      </c>
      <c r="J67" s="6">
        <f t="shared" ref="J67:J101" si="2">YEAR(I67)</f>
        <v>2013</v>
      </c>
      <c r="K67" s="7">
        <v>4477</v>
      </c>
      <c r="L67" s="7">
        <v>437.2</v>
      </c>
      <c r="M67" s="7">
        <v>263.33</v>
      </c>
      <c r="N67" s="7">
        <f>SylipTable3[[#This Row],[Unit Price]]-SylipTable3[[#This Row],[Unit Cost]]</f>
        <v>173.87</v>
      </c>
      <c r="O67" s="7">
        <v>1957344.4</v>
      </c>
      <c r="P67" s="7">
        <v>1178928.4099999999</v>
      </c>
      <c r="Q67" s="7">
        <v>778415.99</v>
      </c>
    </row>
    <row r="68" spans="1:17" x14ac:dyDescent="0.3">
      <c r="A68" t="s">
        <v>31</v>
      </c>
      <c r="B68" t="s">
        <v>95</v>
      </c>
      <c r="C68" t="s">
        <v>42</v>
      </c>
      <c r="D68" t="s">
        <v>20</v>
      </c>
      <c r="E68" t="s">
        <v>30</v>
      </c>
      <c r="F68" s="5">
        <v>41098</v>
      </c>
      <c r="G68" s="6">
        <f t="shared" ref="G68:G101" si="3">YEAR(F68)</f>
        <v>2012</v>
      </c>
      <c r="H68">
        <v>228944623</v>
      </c>
      <c r="I68" s="5">
        <v>41099</v>
      </c>
      <c r="J68" s="6">
        <f t="shared" si="2"/>
        <v>2012</v>
      </c>
      <c r="K68" s="7">
        <v>8656</v>
      </c>
      <c r="L68" s="7">
        <v>81.73</v>
      </c>
      <c r="M68" s="7">
        <v>56.67</v>
      </c>
      <c r="N68" s="7">
        <f>SylipTable3[[#This Row],[Unit Price]]-SylipTable3[[#This Row],[Unit Cost]]</f>
        <v>25.060000000000002</v>
      </c>
      <c r="O68" s="7">
        <v>707454.88</v>
      </c>
      <c r="P68" s="7">
        <v>490535.52</v>
      </c>
      <c r="Q68" s="7">
        <v>216919.36</v>
      </c>
    </row>
    <row r="69" spans="1:17" x14ac:dyDescent="0.3">
      <c r="A69" t="s">
        <v>22</v>
      </c>
      <c r="B69" t="s">
        <v>96</v>
      </c>
      <c r="C69" t="s">
        <v>47</v>
      </c>
      <c r="D69" t="s">
        <v>20</v>
      </c>
      <c r="E69" t="s">
        <v>38</v>
      </c>
      <c r="F69" s="5">
        <v>42576</v>
      </c>
      <c r="G69" s="6">
        <f t="shared" si="3"/>
        <v>2016</v>
      </c>
      <c r="H69">
        <v>807025039</v>
      </c>
      <c r="I69" s="5">
        <v>42620</v>
      </c>
      <c r="J69" s="6">
        <f t="shared" si="2"/>
        <v>2016</v>
      </c>
      <c r="K69" s="7">
        <v>5498</v>
      </c>
      <c r="L69" s="7">
        <v>109.28</v>
      </c>
      <c r="M69" s="7">
        <v>35.840000000000003</v>
      </c>
      <c r="N69" s="7">
        <f>SylipTable3[[#This Row],[Unit Price]]-SylipTable3[[#This Row],[Unit Cost]]</f>
        <v>73.44</v>
      </c>
      <c r="O69" s="7">
        <v>600821.43999999994</v>
      </c>
      <c r="P69" s="7">
        <v>197048.32000000001</v>
      </c>
      <c r="Q69" s="7">
        <v>403773.12</v>
      </c>
    </row>
    <row r="70" spans="1:17" x14ac:dyDescent="0.3">
      <c r="A70" t="s">
        <v>27</v>
      </c>
      <c r="B70" t="s">
        <v>97</v>
      </c>
      <c r="C70" t="s">
        <v>29</v>
      </c>
      <c r="D70" t="s">
        <v>20</v>
      </c>
      <c r="E70" t="s">
        <v>21</v>
      </c>
      <c r="F70" s="5">
        <v>40475</v>
      </c>
      <c r="G70" s="6">
        <f t="shared" si="3"/>
        <v>2010</v>
      </c>
      <c r="H70">
        <v>166460740</v>
      </c>
      <c r="I70" s="5">
        <v>40499</v>
      </c>
      <c r="J70" s="6">
        <f t="shared" si="2"/>
        <v>2010</v>
      </c>
      <c r="K70" s="7">
        <v>8287</v>
      </c>
      <c r="L70" s="7">
        <v>651.21</v>
      </c>
      <c r="M70" s="7">
        <v>524.96</v>
      </c>
      <c r="N70" s="7">
        <f>SylipTable3[[#This Row],[Unit Price]]-SylipTable3[[#This Row],[Unit Cost]]</f>
        <v>126.25</v>
      </c>
      <c r="O70" s="7">
        <v>5396577.2699999996</v>
      </c>
      <c r="P70" s="7">
        <v>4350343.5199999996</v>
      </c>
      <c r="Q70" s="7">
        <v>1046233.75</v>
      </c>
    </row>
    <row r="71" spans="1:17" x14ac:dyDescent="0.3">
      <c r="A71" t="s">
        <v>31</v>
      </c>
      <c r="B71" t="s">
        <v>98</v>
      </c>
      <c r="C71" t="s">
        <v>47</v>
      </c>
      <c r="D71" t="s">
        <v>20</v>
      </c>
      <c r="E71" t="s">
        <v>30</v>
      </c>
      <c r="F71" s="5">
        <v>42119</v>
      </c>
      <c r="G71" s="6">
        <f t="shared" si="3"/>
        <v>2015</v>
      </c>
      <c r="H71">
        <v>610425555</v>
      </c>
      <c r="I71" s="5">
        <v>42152</v>
      </c>
      <c r="J71" s="6">
        <f t="shared" si="2"/>
        <v>2015</v>
      </c>
      <c r="K71" s="7">
        <v>7342</v>
      </c>
      <c r="L71" s="7">
        <v>109.28</v>
      </c>
      <c r="M71" s="7">
        <v>35.840000000000003</v>
      </c>
      <c r="N71" s="7">
        <f>SylipTable3[[#This Row],[Unit Price]]-SylipTable3[[#This Row],[Unit Cost]]</f>
        <v>73.44</v>
      </c>
      <c r="O71" s="7">
        <v>802333.76</v>
      </c>
      <c r="P71" s="7">
        <v>263137.28000000003</v>
      </c>
      <c r="Q71" s="7">
        <v>539196.48</v>
      </c>
    </row>
    <row r="72" spans="1:17" x14ac:dyDescent="0.3">
      <c r="A72" t="s">
        <v>44</v>
      </c>
      <c r="B72" t="s">
        <v>56</v>
      </c>
      <c r="C72" t="s">
        <v>29</v>
      </c>
      <c r="D72" t="s">
        <v>25</v>
      </c>
      <c r="E72" t="s">
        <v>38</v>
      </c>
      <c r="F72" s="5">
        <v>41387</v>
      </c>
      <c r="G72" s="6">
        <f t="shared" si="3"/>
        <v>2013</v>
      </c>
      <c r="H72">
        <v>462405812</v>
      </c>
      <c r="I72" s="5">
        <v>41414</v>
      </c>
      <c r="J72" s="6">
        <f t="shared" si="2"/>
        <v>2013</v>
      </c>
      <c r="K72" s="7">
        <v>5010</v>
      </c>
      <c r="L72" s="7">
        <v>651.21</v>
      </c>
      <c r="M72" s="7">
        <v>524.96</v>
      </c>
      <c r="N72" s="7">
        <f>SylipTable3[[#This Row],[Unit Price]]-SylipTable3[[#This Row],[Unit Cost]]</f>
        <v>126.25</v>
      </c>
      <c r="O72" s="7">
        <v>3262562.1</v>
      </c>
      <c r="P72" s="7">
        <v>2630049.6</v>
      </c>
      <c r="Q72" s="7">
        <v>632512.5</v>
      </c>
    </row>
    <row r="73" spans="1:17" x14ac:dyDescent="0.3">
      <c r="A73" t="s">
        <v>74</v>
      </c>
      <c r="B73" t="s">
        <v>93</v>
      </c>
      <c r="C73" t="s">
        <v>33</v>
      </c>
      <c r="D73" t="s">
        <v>25</v>
      </c>
      <c r="E73" t="s">
        <v>30</v>
      </c>
      <c r="F73" s="5">
        <v>42230</v>
      </c>
      <c r="G73" s="6">
        <f t="shared" si="3"/>
        <v>2015</v>
      </c>
      <c r="H73">
        <v>816200339</v>
      </c>
      <c r="I73" s="5">
        <v>42277</v>
      </c>
      <c r="J73" s="6">
        <f t="shared" si="2"/>
        <v>2015</v>
      </c>
      <c r="K73" s="7">
        <v>673</v>
      </c>
      <c r="L73" s="7">
        <v>9.33</v>
      </c>
      <c r="M73" s="7">
        <v>6.92</v>
      </c>
      <c r="N73" s="7">
        <f>SylipTable3[[#This Row],[Unit Price]]-SylipTable3[[#This Row],[Unit Cost]]</f>
        <v>2.41</v>
      </c>
      <c r="O73" s="7">
        <v>6279.09</v>
      </c>
      <c r="P73" s="7">
        <v>4657.16</v>
      </c>
      <c r="Q73" s="7">
        <v>1621.93</v>
      </c>
    </row>
    <row r="74" spans="1:17" x14ac:dyDescent="0.3">
      <c r="A74" t="s">
        <v>31</v>
      </c>
      <c r="B74" t="s">
        <v>99</v>
      </c>
      <c r="C74" t="s">
        <v>55</v>
      </c>
      <c r="D74" t="s">
        <v>25</v>
      </c>
      <c r="E74" t="s">
        <v>26</v>
      </c>
      <c r="F74" s="5">
        <v>40689</v>
      </c>
      <c r="G74" s="6">
        <f t="shared" si="3"/>
        <v>2011</v>
      </c>
      <c r="H74">
        <v>585920464</v>
      </c>
      <c r="I74" s="5">
        <v>40739</v>
      </c>
      <c r="J74" s="6">
        <f t="shared" si="2"/>
        <v>2011</v>
      </c>
      <c r="K74" s="7">
        <v>5741</v>
      </c>
      <c r="L74" s="7">
        <v>47.45</v>
      </c>
      <c r="M74" s="7">
        <v>31.79</v>
      </c>
      <c r="N74" s="7">
        <f>SylipTable3[[#This Row],[Unit Price]]-SylipTable3[[#This Row],[Unit Cost]]</f>
        <v>15.660000000000004</v>
      </c>
      <c r="O74" s="7">
        <v>272410.45</v>
      </c>
      <c r="P74" s="7">
        <v>182506.39</v>
      </c>
      <c r="Q74" s="7">
        <v>89904.06</v>
      </c>
    </row>
    <row r="75" spans="1:17" x14ac:dyDescent="0.3">
      <c r="A75" t="s">
        <v>31</v>
      </c>
      <c r="B75" t="s">
        <v>72</v>
      </c>
      <c r="C75" t="s">
        <v>24</v>
      </c>
      <c r="D75" t="s">
        <v>25</v>
      </c>
      <c r="E75" t="s">
        <v>21</v>
      </c>
      <c r="F75" s="5">
        <v>42875</v>
      </c>
      <c r="G75" s="6">
        <f t="shared" si="3"/>
        <v>2017</v>
      </c>
      <c r="H75">
        <v>555990016</v>
      </c>
      <c r="I75" s="5">
        <v>42903</v>
      </c>
      <c r="J75" s="6">
        <f t="shared" si="2"/>
        <v>2017</v>
      </c>
      <c r="K75" s="7">
        <v>8656</v>
      </c>
      <c r="L75" s="7">
        <v>205.7</v>
      </c>
      <c r="M75" s="7">
        <v>117.11</v>
      </c>
      <c r="N75" s="7">
        <f>SylipTable3[[#This Row],[Unit Price]]-SylipTable3[[#This Row],[Unit Cost]]</f>
        <v>88.589999999999989</v>
      </c>
      <c r="O75" s="7">
        <v>1780539.2</v>
      </c>
      <c r="P75" s="7">
        <v>1013704.16</v>
      </c>
      <c r="Q75" s="7">
        <v>766835.04</v>
      </c>
    </row>
    <row r="76" spans="1:17" x14ac:dyDescent="0.3">
      <c r="A76" t="s">
        <v>74</v>
      </c>
      <c r="B76" t="s">
        <v>100</v>
      </c>
      <c r="C76" t="s">
        <v>53</v>
      </c>
      <c r="D76" t="s">
        <v>20</v>
      </c>
      <c r="E76" t="s">
        <v>30</v>
      </c>
      <c r="F76" s="5">
        <v>41460</v>
      </c>
      <c r="G76" s="6">
        <f t="shared" si="3"/>
        <v>2013</v>
      </c>
      <c r="H76">
        <v>231145322</v>
      </c>
      <c r="I76" s="5">
        <v>41502</v>
      </c>
      <c r="J76" s="6">
        <f t="shared" si="2"/>
        <v>2013</v>
      </c>
      <c r="K76" s="7">
        <v>9892</v>
      </c>
      <c r="L76" s="7">
        <v>437.2</v>
      </c>
      <c r="M76" s="7">
        <v>263.33</v>
      </c>
      <c r="N76" s="7">
        <f>SylipTable3[[#This Row],[Unit Price]]-SylipTable3[[#This Row],[Unit Cost]]</f>
        <v>173.87</v>
      </c>
      <c r="O76" s="7">
        <v>4324782.4000000004</v>
      </c>
      <c r="P76" s="7">
        <v>2604860.36</v>
      </c>
      <c r="Q76" s="7">
        <v>1719922.04</v>
      </c>
    </row>
    <row r="77" spans="1:17" x14ac:dyDescent="0.3">
      <c r="A77" t="s">
        <v>101</v>
      </c>
      <c r="B77" t="s">
        <v>102</v>
      </c>
      <c r="C77" t="s">
        <v>37</v>
      </c>
      <c r="D77" t="s">
        <v>20</v>
      </c>
      <c r="E77" t="s">
        <v>26</v>
      </c>
      <c r="F77" s="5">
        <v>41949</v>
      </c>
      <c r="G77" s="6">
        <f t="shared" si="3"/>
        <v>2014</v>
      </c>
      <c r="H77">
        <v>986435210</v>
      </c>
      <c r="I77" s="5">
        <v>41985</v>
      </c>
      <c r="J77" s="6">
        <f t="shared" si="2"/>
        <v>2014</v>
      </c>
      <c r="K77" s="7">
        <v>6954</v>
      </c>
      <c r="L77" s="7">
        <v>668.27</v>
      </c>
      <c r="M77" s="7">
        <v>502.54</v>
      </c>
      <c r="N77" s="7">
        <f>SylipTable3[[#This Row],[Unit Price]]-SylipTable3[[#This Row],[Unit Cost]]</f>
        <v>165.72999999999996</v>
      </c>
      <c r="O77" s="7">
        <v>4647149.58</v>
      </c>
      <c r="P77" s="7">
        <v>3494663.16</v>
      </c>
      <c r="Q77" s="7">
        <v>1152486.42</v>
      </c>
    </row>
    <row r="78" spans="1:17" x14ac:dyDescent="0.3">
      <c r="A78" t="s">
        <v>17</v>
      </c>
      <c r="B78" t="s">
        <v>103</v>
      </c>
      <c r="C78" t="s">
        <v>55</v>
      </c>
      <c r="D78" t="s">
        <v>25</v>
      </c>
      <c r="E78" t="s">
        <v>26</v>
      </c>
      <c r="F78" s="5">
        <v>41940</v>
      </c>
      <c r="G78" s="6">
        <f t="shared" si="3"/>
        <v>2014</v>
      </c>
      <c r="H78">
        <v>217221009</v>
      </c>
      <c r="I78" s="5">
        <v>41958</v>
      </c>
      <c r="J78" s="6">
        <f t="shared" si="2"/>
        <v>2014</v>
      </c>
      <c r="K78" s="7">
        <v>9379</v>
      </c>
      <c r="L78" s="7">
        <v>47.45</v>
      </c>
      <c r="M78" s="7">
        <v>31.79</v>
      </c>
      <c r="N78" s="7">
        <f>SylipTable3[[#This Row],[Unit Price]]-SylipTable3[[#This Row],[Unit Cost]]</f>
        <v>15.660000000000004</v>
      </c>
      <c r="O78" s="7">
        <v>445033.55</v>
      </c>
      <c r="P78" s="7">
        <v>298158.40999999997</v>
      </c>
      <c r="Q78" s="7">
        <v>146875.14000000001</v>
      </c>
    </row>
    <row r="79" spans="1:17" x14ac:dyDescent="0.3">
      <c r="A79" t="s">
        <v>44</v>
      </c>
      <c r="B79" t="s">
        <v>104</v>
      </c>
      <c r="C79" t="s">
        <v>40</v>
      </c>
      <c r="D79" t="s">
        <v>20</v>
      </c>
      <c r="E79" t="s">
        <v>26</v>
      </c>
      <c r="F79" s="5">
        <v>40801</v>
      </c>
      <c r="G79" s="6">
        <f t="shared" si="3"/>
        <v>2011</v>
      </c>
      <c r="H79">
        <v>789176547</v>
      </c>
      <c r="I79" s="5">
        <v>40839</v>
      </c>
      <c r="J79" s="6">
        <f t="shared" si="2"/>
        <v>2011</v>
      </c>
      <c r="K79" s="7">
        <v>3732</v>
      </c>
      <c r="L79" s="7">
        <v>154.06</v>
      </c>
      <c r="M79" s="7">
        <v>90.93</v>
      </c>
      <c r="N79" s="7">
        <f>SylipTable3[[#This Row],[Unit Price]]-SylipTable3[[#This Row],[Unit Cost]]</f>
        <v>63.129999999999995</v>
      </c>
      <c r="O79" s="7">
        <v>574951.92000000004</v>
      </c>
      <c r="P79" s="7">
        <v>339350.76</v>
      </c>
      <c r="Q79" s="7">
        <v>235601.16</v>
      </c>
    </row>
    <row r="80" spans="1:17" x14ac:dyDescent="0.3">
      <c r="A80" t="s">
        <v>27</v>
      </c>
      <c r="B80" t="s">
        <v>105</v>
      </c>
      <c r="C80" t="s">
        <v>19</v>
      </c>
      <c r="D80" t="s">
        <v>20</v>
      </c>
      <c r="E80" t="s">
        <v>21</v>
      </c>
      <c r="F80" s="5">
        <v>41058</v>
      </c>
      <c r="G80" s="6">
        <f t="shared" si="3"/>
        <v>2012</v>
      </c>
      <c r="H80">
        <v>688288152</v>
      </c>
      <c r="I80" s="5">
        <v>41062</v>
      </c>
      <c r="J80" s="6">
        <f t="shared" si="2"/>
        <v>2012</v>
      </c>
      <c r="K80" s="7">
        <v>8614</v>
      </c>
      <c r="L80" s="7">
        <v>255.28</v>
      </c>
      <c r="M80" s="7">
        <v>159.41999999999999</v>
      </c>
      <c r="N80" s="7">
        <f>SylipTable3[[#This Row],[Unit Price]]-SylipTable3[[#This Row],[Unit Cost]]</f>
        <v>95.860000000000014</v>
      </c>
      <c r="O80" s="7">
        <v>2198981.92</v>
      </c>
      <c r="P80" s="7">
        <v>1373243.88</v>
      </c>
      <c r="Q80" s="7">
        <v>825738.04</v>
      </c>
    </row>
    <row r="81" spans="1:17" x14ac:dyDescent="0.3">
      <c r="A81" t="s">
        <v>17</v>
      </c>
      <c r="B81" t="s">
        <v>106</v>
      </c>
      <c r="C81" t="s">
        <v>53</v>
      </c>
      <c r="D81" t="s">
        <v>25</v>
      </c>
      <c r="E81" t="s">
        <v>21</v>
      </c>
      <c r="F81" s="5">
        <v>41475</v>
      </c>
      <c r="G81" s="6">
        <f t="shared" si="3"/>
        <v>2013</v>
      </c>
      <c r="H81">
        <v>670854651</v>
      </c>
      <c r="I81" s="5">
        <v>41493</v>
      </c>
      <c r="J81" s="6">
        <f t="shared" si="2"/>
        <v>2013</v>
      </c>
      <c r="K81" s="7">
        <v>9654</v>
      </c>
      <c r="L81" s="7">
        <v>437.2</v>
      </c>
      <c r="M81" s="7">
        <v>263.33</v>
      </c>
      <c r="N81" s="7">
        <f>SylipTable3[[#This Row],[Unit Price]]-SylipTable3[[#This Row],[Unit Cost]]</f>
        <v>173.87</v>
      </c>
      <c r="O81" s="7">
        <v>4220728.8</v>
      </c>
      <c r="P81" s="7">
        <v>2542187.8199999998</v>
      </c>
      <c r="Q81" s="7">
        <v>1678540.98</v>
      </c>
    </row>
    <row r="82" spans="1:17" x14ac:dyDescent="0.3">
      <c r="A82" t="s">
        <v>27</v>
      </c>
      <c r="B82" t="s">
        <v>107</v>
      </c>
      <c r="C82" t="s">
        <v>37</v>
      </c>
      <c r="D82" t="s">
        <v>20</v>
      </c>
      <c r="E82" t="s">
        <v>30</v>
      </c>
      <c r="F82" s="5">
        <v>41203</v>
      </c>
      <c r="G82" s="6">
        <f t="shared" si="3"/>
        <v>2012</v>
      </c>
      <c r="H82">
        <v>213487374</v>
      </c>
      <c r="I82" s="5">
        <v>41243</v>
      </c>
      <c r="J82" s="6">
        <f t="shared" si="2"/>
        <v>2012</v>
      </c>
      <c r="K82" s="7">
        <v>4513</v>
      </c>
      <c r="L82" s="7">
        <v>668.27</v>
      </c>
      <c r="M82" s="7">
        <v>502.54</v>
      </c>
      <c r="N82" s="7">
        <f>SylipTable3[[#This Row],[Unit Price]]-SylipTable3[[#This Row],[Unit Cost]]</f>
        <v>165.72999999999996</v>
      </c>
      <c r="O82" s="7">
        <v>3015902.51</v>
      </c>
      <c r="P82" s="7">
        <v>2267963.02</v>
      </c>
      <c r="Q82" s="7">
        <v>747939.49</v>
      </c>
    </row>
    <row r="83" spans="1:17" x14ac:dyDescent="0.3">
      <c r="A83" t="s">
        <v>74</v>
      </c>
      <c r="B83" t="s">
        <v>108</v>
      </c>
      <c r="C83" t="s">
        <v>47</v>
      </c>
      <c r="D83" t="s">
        <v>25</v>
      </c>
      <c r="E83" t="s">
        <v>30</v>
      </c>
      <c r="F83" s="5">
        <v>41170</v>
      </c>
      <c r="G83" s="6">
        <f t="shared" si="3"/>
        <v>2012</v>
      </c>
      <c r="H83">
        <v>663110148</v>
      </c>
      <c r="I83" s="5">
        <v>41190</v>
      </c>
      <c r="J83" s="6">
        <f t="shared" si="2"/>
        <v>2012</v>
      </c>
      <c r="K83" s="7">
        <v>7884</v>
      </c>
      <c r="L83" s="7">
        <v>109.28</v>
      </c>
      <c r="M83" s="7">
        <v>35.840000000000003</v>
      </c>
      <c r="N83" s="7">
        <f>SylipTable3[[#This Row],[Unit Price]]-SylipTable3[[#This Row],[Unit Cost]]</f>
        <v>73.44</v>
      </c>
      <c r="O83" s="7">
        <v>861563.52</v>
      </c>
      <c r="P83" s="7">
        <v>282562.56</v>
      </c>
      <c r="Q83" s="7">
        <v>579000.96</v>
      </c>
    </row>
    <row r="84" spans="1:17" x14ac:dyDescent="0.3">
      <c r="A84" t="s">
        <v>74</v>
      </c>
      <c r="B84" t="s">
        <v>109</v>
      </c>
      <c r="C84" t="s">
        <v>53</v>
      </c>
      <c r="D84" t="s">
        <v>25</v>
      </c>
      <c r="E84" t="s">
        <v>21</v>
      </c>
      <c r="F84" s="5">
        <v>42689</v>
      </c>
      <c r="G84" s="6">
        <f t="shared" si="3"/>
        <v>2016</v>
      </c>
      <c r="H84">
        <v>286959302</v>
      </c>
      <c r="I84" s="5">
        <v>42712</v>
      </c>
      <c r="J84" s="6">
        <f t="shared" si="2"/>
        <v>2016</v>
      </c>
      <c r="K84" s="7">
        <v>6489</v>
      </c>
      <c r="L84" s="7">
        <v>437.2</v>
      </c>
      <c r="M84" s="7">
        <v>263.33</v>
      </c>
      <c r="N84" s="7">
        <f>SylipTable3[[#This Row],[Unit Price]]-SylipTable3[[#This Row],[Unit Cost]]</f>
        <v>173.87</v>
      </c>
      <c r="O84" s="7">
        <v>2836990.8</v>
      </c>
      <c r="P84" s="7">
        <v>1708748.37</v>
      </c>
      <c r="Q84" s="7">
        <v>1128242.43</v>
      </c>
    </row>
    <row r="85" spans="1:17" x14ac:dyDescent="0.3">
      <c r="A85" t="s">
        <v>31</v>
      </c>
      <c r="B85" t="s">
        <v>110</v>
      </c>
      <c r="C85" t="s">
        <v>61</v>
      </c>
      <c r="D85" t="s">
        <v>25</v>
      </c>
      <c r="E85" t="s">
        <v>30</v>
      </c>
      <c r="F85" s="5">
        <v>40547</v>
      </c>
      <c r="G85" s="6">
        <f t="shared" si="3"/>
        <v>2011</v>
      </c>
      <c r="H85">
        <v>122583663</v>
      </c>
      <c r="I85" s="5">
        <v>40548</v>
      </c>
      <c r="J85" s="6">
        <f t="shared" si="2"/>
        <v>2011</v>
      </c>
      <c r="K85" s="7">
        <v>4085</v>
      </c>
      <c r="L85" s="7">
        <v>152.58000000000001</v>
      </c>
      <c r="M85" s="7">
        <v>97.44</v>
      </c>
      <c r="N85" s="7">
        <f>SylipTable3[[#This Row],[Unit Price]]-SylipTable3[[#This Row],[Unit Cost]]</f>
        <v>55.140000000000015</v>
      </c>
      <c r="O85" s="7">
        <v>623289.30000000005</v>
      </c>
      <c r="P85" s="7">
        <v>398042.4</v>
      </c>
      <c r="Q85" s="7">
        <v>225246.9</v>
      </c>
    </row>
    <row r="86" spans="1:17" x14ac:dyDescent="0.3">
      <c r="A86" t="s">
        <v>31</v>
      </c>
      <c r="B86" t="s">
        <v>111</v>
      </c>
      <c r="C86" t="s">
        <v>40</v>
      </c>
      <c r="D86" t="s">
        <v>25</v>
      </c>
      <c r="E86" t="s">
        <v>30</v>
      </c>
      <c r="F86" s="5">
        <v>40986</v>
      </c>
      <c r="G86" s="6">
        <f t="shared" si="3"/>
        <v>2012</v>
      </c>
      <c r="H86">
        <v>827844560</v>
      </c>
      <c r="I86" s="5">
        <v>41006</v>
      </c>
      <c r="J86" s="6">
        <f t="shared" si="2"/>
        <v>2012</v>
      </c>
      <c r="K86" s="7">
        <v>6457</v>
      </c>
      <c r="L86" s="7">
        <v>154.06</v>
      </c>
      <c r="M86" s="7">
        <v>90.93</v>
      </c>
      <c r="N86" s="7">
        <f>SylipTable3[[#This Row],[Unit Price]]-SylipTable3[[#This Row],[Unit Cost]]</f>
        <v>63.129999999999995</v>
      </c>
      <c r="O86" s="7">
        <v>994765.42</v>
      </c>
      <c r="P86" s="7">
        <v>587135.01</v>
      </c>
      <c r="Q86" s="7">
        <v>407630.41</v>
      </c>
    </row>
    <row r="87" spans="1:17" x14ac:dyDescent="0.3">
      <c r="A87" t="s">
        <v>101</v>
      </c>
      <c r="B87" t="s">
        <v>102</v>
      </c>
      <c r="C87" t="s">
        <v>42</v>
      </c>
      <c r="D87" t="s">
        <v>20</v>
      </c>
      <c r="E87" t="s">
        <v>30</v>
      </c>
      <c r="F87" s="5">
        <v>40956</v>
      </c>
      <c r="G87" s="6">
        <f t="shared" si="3"/>
        <v>2012</v>
      </c>
      <c r="H87">
        <v>430915820</v>
      </c>
      <c r="I87" s="5">
        <v>40988</v>
      </c>
      <c r="J87" s="6">
        <f t="shared" si="2"/>
        <v>2012</v>
      </c>
      <c r="K87" s="7">
        <v>6422</v>
      </c>
      <c r="L87" s="7">
        <v>81.73</v>
      </c>
      <c r="M87" s="7">
        <v>56.67</v>
      </c>
      <c r="N87" s="7">
        <f>SylipTable3[[#This Row],[Unit Price]]-SylipTable3[[#This Row],[Unit Cost]]</f>
        <v>25.060000000000002</v>
      </c>
      <c r="O87" s="7">
        <v>524870.06000000006</v>
      </c>
      <c r="P87" s="7">
        <v>363934.74</v>
      </c>
      <c r="Q87" s="7">
        <v>160935.32</v>
      </c>
    </row>
    <row r="88" spans="1:17" x14ac:dyDescent="0.3">
      <c r="A88" t="s">
        <v>31</v>
      </c>
      <c r="B88" t="s">
        <v>32</v>
      </c>
      <c r="C88" t="s">
        <v>55</v>
      </c>
      <c r="D88" t="s">
        <v>20</v>
      </c>
      <c r="E88" t="s">
        <v>26</v>
      </c>
      <c r="F88" s="5">
        <v>40559</v>
      </c>
      <c r="G88" s="6">
        <f t="shared" si="3"/>
        <v>2011</v>
      </c>
      <c r="H88">
        <v>180283772</v>
      </c>
      <c r="I88" s="5">
        <v>40564</v>
      </c>
      <c r="J88" s="6">
        <f t="shared" si="2"/>
        <v>2011</v>
      </c>
      <c r="K88" s="7">
        <v>8829</v>
      </c>
      <c r="L88" s="7">
        <v>47.45</v>
      </c>
      <c r="M88" s="7">
        <v>31.79</v>
      </c>
      <c r="N88" s="7">
        <f>SylipTable3[[#This Row],[Unit Price]]-SylipTable3[[#This Row],[Unit Cost]]</f>
        <v>15.660000000000004</v>
      </c>
      <c r="O88" s="7">
        <v>418936.05</v>
      </c>
      <c r="P88" s="7">
        <v>280673.90999999997</v>
      </c>
      <c r="Q88" s="7">
        <v>138262.14000000001</v>
      </c>
    </row>
    <row r="89" spans="1:17" x14ac:dyDescent="0.3">
      <c r="A89" t="s">
        <v>31</v>
      </c>
      <c r="B89" t="s">
        <v>67</v>
      </c>
      <c r="C89" t="s">
        <v>19</v>
      </c>
      <c r="D89" t="s">
        <v>20</v>
      </c>
      <c r="E89" t="s">
        <v>38</v>
      </c>
      <c r="F89" s="5">
        <v>41673</v>
      </c>
      <c r="G89" s="6">
        <f t="shared" si="3"/>
        <v>2014</v>
      </c>
      <c r="H89">
        <v>494747245</v>
      </c>
      <c r="I89" s="5">
        <v>41718</v>
      </c>
      <c r="J89" s="6">
        <f t="shared" si="2"/>
        <v>2014</v>
      </c>
      <c r="K89" s="7">
        <v>5559</v>
      </c>
      <c r="L89" s="7">
        <v>255.28</v>
      </c>
      <c r="M89" s="7">
        <v>159.41999999999999</v>
      </c>
      <c r="N89" s="7">
        <f>SylipTable3[[#This Row],[Unit Price]]-SylipTable3[[#This Row],[Unit Cost]]</f>
        <v>95.860000000000014</v>
      </c>
      <c r="O89" s="7">
        <v>1419101.52</v>
      </c>
      <c r="P89" s="7">
        <v>886215.78</v>
      </c>
      <c r="Q89" s="7">
        <v>532885.74</v>
      </c>
    </row>
    <row r="90" spans="1:17" x14ac:dyDescent="0.3">
      <c r="A90" t="s">
        <v>74</v>
      </c>
      <c r="B90" t="s">
        <v>112</v>
      </c>
      <c r="C90" t="s">
        <v>33</v>
      </c>
      <c r="D90" t="s">
        <v>25</v>
      </c>
      <c r="E90" t="s">
        <v>38</v>
      </c>
      <c r="F90" s="5">
        <v>41029</v>
      </c>
      <c r="G90" s="6">
        <f t="shared" si="3"/>
        <v>2012</v>
      </c>
      <c r="H90">
        <v>513417565</v>
      </c>
      <c r="I90" s="5">
        <v>41047</v>
      </c>
      <c r="J90" s="6">
        <f t="shared" si="2"/>
        <v>2012</v>
      </c>
      <c r="K90" s="7">
        <v>522</v>
      </c>
      <c r="L90" s="7">
        <v>9.33</v>
      </c>
      <c r="M90" s="7">
        <v>6.92</v>
      </c>
      <c r="N90" s="7">
        <f>SylipTable3[[#This Row],[Unit Price]]-SylipTable3[[#This Row],[Unit Cost]]</f>
        <v>2.41</v>
      </c>
      <c r="O90" s="7">
        <v>4870.26</v>
      </c>
      <c r="P90" s="7">
        <v>3612.24</v>
      </c>
      <c r="Q90" s="7">
        <v>1258.02</v>
      </c>
    </row>
    <row r="91" spans="1:17" x14ac:dyDescent="0.3">
      <c r="A91" t="s">
        <v>27</v>
      </c>
      <c r="B91" t="s">
        <v>113</v>
      </c>
      <c r="C91" t="s">
        <v>55</v>
      </c>
      <c r="D91" t="s">
        <v>20</v>
      </c>
      <c r="E91" t="s">
        <v>26</v>
      </c>
      <c r="F91" s="5">
        <v>42666</v>
      </c>
      <c r="G91" s="6">
        <f t="shared" si="3"/>
        <v>2016</v>
      </c>
      <c r="H91">
        <v>345718562</v>
      </c>
      <c r="I91" s="5">
        <v>42699</v>
      </c>
      <c r="J91" s="6">
        <f t="shared" si="2"/>
        <v>2016</v>
      </c>
      <c r="K91" s="7">
        <v>4660</v>
      </c>
      <c r="L91" s="7">
        <v>47.45</v>
      </c>
      <c r="M91" s="7">
        <v>31.79</v>
      </c>
      <c r="N91" s="7">
        <f>SylipTable3[[#This Row],[Unit Price]]-SylipTable3[[#This Row],[Unit Cost]]</f>
        <v>15.660000000000004</v>
      </c>
      <c r="O91" s="7">
        <v>221117</v>
      </c>
      <c r="P91" s="7">
        <v>148141.4</v>
      </c>
      <c r="Q91" s="7">
        <v>72975.600000000006</v>
      </c>
    </row>
    <row r="92" spans="1:17" x14ac:dyDescent="0.3">
      <c r="A92" t="s">
        <v>31</v>
      </c>
      <c r="B92" t="s">
        <v>87</v>
      </c>
      <c r="C92" t="s">
        <v>29</v>
      </c>
      <c r="D92" t="s">
        <v>20</v>
      </c>
      <c r="E92" t="s">
        <v>21</v>
      </c>
      <c r="F92" s="5">
        <v>42710</v>
      </c>
      <c r="G92" s="6">
        <f t="shared" si="3"/>
        <v>2016</v>
      </c>
      <c r="H92">
        <v>621386563</v>
      </c>
      <c r="I92" s="5">
        <v>42718</v>
      </c>
      <c r="J92" s="6">
        <f t="shared" si="2"/>
        <v>2016</v>
      </c>
      <c r="K92" s="7">
        <v>948</v>
      </c>
      <c r="L92" s="7">
        <v>651.21</v>
      </c>
      <c r="M92" s="7">
        <v>524.96</v>
      </c>
      <c r="N92" s="7">
        <f>SylipTable3[[#This Row],[Unit Price]]-SylipTable3[[#This Row],[Unit Cost]]</f>
        <v>126.25</v>
      </c>
      <c r="O92" s="7">
        <v>617347.07999999996</v>
      </c>
      <c r="P92" s="7">
        <v>497662.08</v>
      </c>
      <c r="Q92" s="7">
        <v>119685</v>
      </c>
    </row>
    <row r="93" spans="1:17" x14ac:dyDescent="0.3">
      <c r="A93" t="s">
        <v>17</v>
      </c>
      <c r="B93" t="s">
        <v>70</v>
      </c>
      <c r="C93" t="s">
        <v>55</v>
      </c>
      <c r="D93" t="s">
        <v>20</v>
      </c>
      <c r="E93" t="s">
        <v>21</v>
      </c>
      <c r="F93" s="5">
        <v>41827</v>
      </c>
      <c r="G93" s="6">
        <f t="shared" si="3"/>
        <v>2014</v>
      </c>
      <c r="H93">
        <v>240470397</v>
      </c>
      <c r="I93" s="5">
        <v>41831</v>
      </c>
      <c r="J93" s="6">
        <f t="shared" si="2"/>
        <v>2014</v>
      </c>
      <c r="K93" s="7">
        <v>9389</v>
      </c>
      <c r="L93" s="7">
        <v>47.45</v>
      </c>
      <c r="M93" s="7">
        <v>31.79</v>
      </c>
      <c r="N93" s="7">
        <f>SylipTable3[[#This Row],[Unit Price]]-SylipTable3[[#This Row],[Unit Cost]]</f>
        <v>15.660000000000004</v>
      </c>
      <c r="O93" s="7">
        <v>445508.05</v>
      </c>
      <c r="P93" s="7">
        <v>298476.31</v>
      </c>
      <c r="Q93" s="7">
        <v>147031.74</v>
      </c>
    </row>
    <row r="94" spans="1:17" x14ac:dyDescent="0.3">
      <c r="A94" t="s">
        <v>74</v>
      </c>
      <c r="B94" t="s">
        <v>78</v>
      </c>
      <c r="C94" t="s">
        <v>29</v>
      </c>
      <c r="D94" t="s">
        <v>25</v>
      </c>
      <c r="E94" t="s">
        <v>38</v>
      </c>
      <c r="F94" s="5">
        <v>41073</v>
      </c>
      <c r="G94" s="6">
        <f t="shared" si="3"/>
        <v>2012</v>
      </c>
      <c r="H94">
        <v>423331391</v>
      </c>
      <c r="I94" s="5">
        <v>41114</v>
      </c>
      <c r="J94" s="6">
        <f t="shared" si="2"/>
        <v>2012</v>
      </c>
      <c r="K94" s="7">
        <v>2021</v>
      </c>
      <c r="L94" s="7">
        <v>651.21</v>
      </c>
      <c r="M94" s="7">
        <v>524.96</v>
      </c>
      <c r="N94" s="7">
        <f>SylipTable3[[#This Row],[Unit Price]]-SylipTable3[[#This Row],[Unit Cost]]</f>
        <v>126.25</v>
      </c>
      <c r="O94" s="7">
        <v>1316095.4099999999</v>
      </c>
      <c r="P94" s="7">
        <v>1060944.1599999999</v>
      </c>
      <c r="Q94" s="7">
        <v>255151.25</v>
      </c>
    </row>
    <row r="95" spans="1:17" x14ac:dyDescent="0.3">
      <c r="A95" t="s">
        <v>27</v>
      </c>
      <c r="B95" t="s">
        <v>114</v>
      </c>
      <c r="C95" t="s">
        <v>53</v>
      </c>
      <c r="D95" t="s">
        <v>25</v>
      </c>
      <c r="E95" t="s">
        <v>21</v>
      </c>
      <c r="F95" s="5">
        <v>40508</v>
      </c>
      <c r="G95" s="6">
        <f t="shared" si="3"/>
        <v>2010</v>
      </c>
      <c r="H95">
        <v>660643374</v>
      </c>
      <c r="I95" s="5">
        <v>40537</v>
      </c>
      <c r="J95" s="6">
        <f t="shared" si="2"/>
        <v>2010</v>
      </c>
      <c r="K95" s="7">
        <v>7910</v>
      </c>
      <c r="L95" s="7">
        <v>437.2</v>
      </c>
      <c r="M95" s="7">
        <v>263.33</v>
      </c>
      <c r="N95" s="7">
        <f>SylipTable3[[#This Row],[Unit Price]]-SylipTable3[[#This Row],[Unit Cost]]</f>
        <v>173.87</v>
      </c>
      <c r="O95" s="7">
        <v>3458252</v>
      </c>
      <c r="P95" s="7">
        <v>2082940.3</v>
      </c>
      <c r="Q95" s="7">
        <v>1375311.7</v>
      </c>
    </row>
    <row r="96" spans="1:17" x14ac:dyDescent="0.3">
      <c r="A96" t="s">
        <v>22</v>
      </c>
      <c r="B96" t="s">
        <v>115</v>
      </c>
      <c r="C96" t="s">
        <v>55</v>
      </c>
      <c r="D96" t="s">
        <v>20</v>
      </c>
      <c r="E96" t="s">
        <v>26</v>
      </c>
      <c r="F96" s="5">
        <v>40582</v>
      </c>
      <c r="G96" s="6">
        <f t="shared" si="3"/>
        <v>2011</v>
      </c>
      <c r="H96">
        <v>963392674</v>
      </c>
      <c r="I96" s="5">
        <v>40623</v>
      </c>
      <c r="J96" s="6">
        <f t="shared" si="2"/>
        <v>2011</v>
      </c>
      <c r="K96" s="7">
        <v>8156</v>
      </c>
      <c r="L96" s="7">
        <v>47.45</v>
      </c>
      <c r="M96" s="7">
        <v>31.79</v>
      </c>
      <c r="N96" s="7">
        <f>SylipTable3[[#This Row],[Unit Price]]-SylipTable3[[#This Row],[Unit Cost]]</f>
        <v>15.660000000000004</v>
      </c>
      <c r="O96" s="7">
        <v>387002.2</v>
      </c>
      <c r="P96" s="7">
        <v>259279.24</v>
      </c>
      <c r="Q96" s="7">
        <v>127722.96</v>
      </c>
    </row>
    <row r="97" spans="1:17" x14ac:dyDescent="0.3">
      <c r="A97" t="s">
        <v>31</v>
      </c>
      <c r="B97" t="s">
        <v>66</v>
      </c>
      <c r="C97" t="s">
        <v>47</v>
      </c>
      <c r="D97" t="s">
        <v>25</v>
      </c>
      <c r="E97" t="s">
        <v>38</v>
      </c>
      <c r="F97" s="5">
        <v>40750</v>
      </c>
      <c r="G97" s="6">
        <f t="shared" si="3"/>
        <v>2011</v>
      </c>
      <c r="H97">
        <v>512878119</v>
      </c>
      <c r="I97" s="5">
        <v>40789</v>
      </c>
      <c r="J97" s="6">
        <f t="shared" si="2"/>
        <v>2011</v>
      </c>
      <c r="K97" s="7">
        <v>888</v>
      </c>
      <c r="L97" s="7">
        <v>109.28</v>
      </c>
      <c r="M97" s="7">
        <v>35.840000000000003</v>
      </c>
      <c r="N97" s="7">
        <f>SylipTable3[[#This Row],[Unit Price]]-SylipTable3[[#This Row],[Unit Cost]]</f>
        <v>73.44</v>
      </c>
      <c r="O97" s="7">
        <v>97040.639999999999</v>
      </c>
      <c r="P97" s="7">
        <v>31825.919999999998</v>
      </c>
      <c r="Q97" s="7">
        <v>65214.720000000001</v>
      </c>
    </row>
    <row r="98" spans="1:17" x14ac:dyDescent="0.3">
      <c r="A98" t="s">
        <v>44</v>
      </c>
      <c r="B98" t="s">
        <v>116</v>
      </c>
      <c r="C98" t="s">
        <v>33</v>
      </c>
      <c r="D98" t="s">
        <v>20</v>
      </c>
      <c r="E98" t="s">
        <v>30</v>
      </c>
      <c r="F98" s="5">
        <v>40858</v>
      </c>
      <c r="G98" s="6">
        <f t="shared" si="3"/>
        <v>2011</v>
      </c>
      <c r="H98">
        <v>810711038</v>
      </c>
      <c r="I98" s="5">
        <v>40905</v>
      </c>
      <c r="J98" s="6">
        <f t="shared" si="2"/>
        <v>2011</v>
      </c>
      <c r="K98" s="7">
        <v>6267</v>
      </c>
      <c r="L98" s="7">
        <v>9.33</v>
      </c>
      <c r="M98" s="7">
        <v>6.92</v>
      </c>
      <c r="N98" s="7">
        <f>SylipTable3[[#This Row],[Unit Price]]-SylipTable3[[#This Row],[Unit Cost]]</f>
        <v>2.41</v>
      </c>
      <c r="O98" s="7">
        <v>58471.11</v>
      </c>
      <c r="P98" s="7">
        <v>43367.64</v>
      </c>
      <c r="Q98" s="7">
        <v>15103.47</v>
      </c>
    </row>
    <row r="99" spans="1:17" x14ac:dyDescent="0.3">
      <c r="A99" t="s">
        <v>31</v>
      </c>
      <c r="B99" t="s">
        <v>87</v>
      </c>
      <c r="C99" t="s">
        <v>40</v>
      </c>
      <c r="D99" t="s">
        <v>20</v>
      </c>
      <c r="E99" t="s">
        <v>26</v>
      </c>
      <c r="F99" s="5">
        <v>42522</v>
      </c>
      <c r="G99" s="6">
        <f t="shared" si="3"/>
        <v>2016</v>
      </c>
      <c r="H99">
        <v>728815257</v>
      </c>
      <c r="I99" s="5">
        <v>42550</v>
      </c>
      <c r="J99" s="6">
        <f t="shared" si="2"/>
        <v>2016</v>
      </c>
      <c r="K99" s="7">
        <v>1485</v>
      </c>
      <c r="L99" s="7">
        <v>154.06</v>
      </c>
      <c r="M99" s="7">
        <v>90.93</v>
      </c>
      <c r="N99" s="7">
        <f>SylipTable3[[#This Row],[Unit Price]]-SylipTable3[[#This Row],[Unit Cost]]</f>
        <v>63.129999999999995</v>
      </c>
      <c r="O99" s="7">
        <v>228779.1</v>
      </c>
      <c r="P99" s="7">
        <v>135031.04999999999</v>
      </c>
      <c r="Q99" s="7">
        <v>93748.05</v>
      </c>
    </row>
    <row r="100" spans="1:17" x14ac:dyDescent="0.3">
      <c r="A100" t="s">
        <v>101</v>
      </c>
      <c r="B100" t="s">
        <v>102</v>
      </c>
      <c r="C100" t="s">
        <v>42</v>
      </c>
      <c r="D100" t="s">
        <v>20</v>
      </c>
      <c r="E100" t="s">
        <v>38</v>
      </c>
      <c r="F100" s="5">
        <v>42215</v>
      </c>
      <c r="G100" s="6">
        <f t="shared" si="3"/>
        <v>2015</v>
      </c>
      <c r="H100">
        <v>559427106</v>
      </c>
      <c r="I100" s="5">
        <v>42224</v>
      </c>
      <c r="J100" s="6">
        <f t="shared" si="2"/>
        <v>2015</v>
      </c>
      <c r="K100" s="7">
        <v>5767</v>
      </c>
      <c r="L100" s="7">
        <v>81.73</v>
      </c>
      <c r="M100" s="7">
        <v>56.67</v>
      </c>
      <c r="N100" s="7">
        <f>SylipTable3[[#This Row],[Unit Price]]-SylipTable3[[#This Row],[Unit Cost]]</f>
        <v>25.060000000000002</v>
      </c>
      <c r="O100" s="7">
        <v>471336.91</v>
      </c>
      <c r="P100" s="7">
        <v>326815.89</v>
      </c>
      <c r="Q100" s="7">
        <v>144521.01999999999</v>
      </c>
    </row>
    <row r="101" spans="1:17" x14ac:dyDescent="0.3">
      <c r="A101" t="s">
        <v>31</v>
      </c>
      <c r="B101" t="s">
        <v>117</v>
      </c>
      <c r="C101" t="s">
        <v>37</v>
      </c>
      <c r="D101" t="s">
        <v>20</v>
      </c>
      <c r="E101" t="s">
        <v>30</v>
      </c>
      <c r="F101" s="5">
        <v>40949</v>
      </c>
      <c r="G101" s="6">
        <f t="shared" si="3"/>
        <v>2012</v>
      </c>
      <c r="H101">
        <v>665095412</v>
      </c>
      <c r="I101" s="5">
        <v>40954</v>
      </c>
      <c r="J101" s="6">
        <f t="shared" si="2"/>
        <v>2012</v>
      </c>
      <c r="K101" s="7">
        <v>5367</v>
      </c>
      <c r="L101" s="7">
        <v>668.27</v>
      </c>
      <c r="M101" s="7">
        <v>502.54</v>
      </c>
      <c r="N101" s="7">
        <f>SylipTable3[[#This Row],[Unit Price]]-SylipTable3[[#This Row],[Unit Cost]]</f>
        <v>165.72999999999996</v>
      </c>
      <c r="O101" s="7">
        <v>3586605.09</v>
      </c>
      <c r="P101" s="7">
        <v>2697132.18</v>
      </c>
      <c r="Q101" s="7">
        <v>889472.91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F64E-EABB-4F4C-9F76-B9CF21C905C7}">
  <dimension ref="A1:AS102"/>
  <sheetViews>
    <sheetView workbookViewId="0">
      <selection activeCell="D15" sqref="D15"/>
    </sheetView>
  </sheetViews>
  <sheetFormatPr defaultRowHeight="14.4" x14ac:dyDescent="0.3"/>
  <cols>
    <col min="1" max="1" width="29.33203125" customWidth="1"/>
    <col min="2" max="2" width="32.6640625" customWidth="1"/>
    <col min="3" max="3" width="12.77734375" customWidth="1"/>
    <col min="6" max="6" width="30.109375" customWidth="1"/>
    <col min="7" max="7" width="14.33203125" style="15" bestFit="1" customWidth="1"/>
    <col min="9" max="9" width="29.44140625" customWidth="1"/>
    <col min="10" max="10" width="14.6640625" bestFit="1" customWidth="1"/>
    <col min="12" max="12" width="18.21875" customWidth="1"/>
    <col min="13" max="13" width="12.109375" bestFit="1" customWidth="1"/>
    <col min="14" max="16" width="13.109375" customWidth="1"/>
    <col min="17" max="17" width="23.77734375" customWidth="1"/>
    <col min="18" max="18" width="13.6640625" bestFit="1" customWidth="1"/>
    <col min="19" max="23" width="11.33203125" customWidth="1"/>
    <col min="24" max="24" width="19.21875" customWidth="1"/>
    <col min="25" max="25" width="21.88671875" bestFit="1" customWidth="1"/>
    <col min="26" max="27" width="21.88671875" customWidth="1"/>
    <col min="28" max="28" width="14.21875" customWidth="1"/>
    <col min="29" max="29" width="14.6640625" bestFit="1" customWidth="1"/>
    <col min="32" max="32" width="13.6640625" customWidth="1"/>
    <col min="37" max="37" width="12.77734375" customWidth="1"/>
    <col min="38" max="38" width="14.6640625" bestFit="1" customWidth="1"/>
    <col min="39" max="39" width="9.77734375" customWidth="1"/>
    <col min="40" max="40" width="12.77734375" customWidth="1"/>
    <col min="41" max="41" width="29.44140625" customWidth="1"/>
    <col min="42" max="42" width="13.6640625" bestFit="1" customWidth="1"/>
    <col min="44" max="44" width="13.21875" bestFit="1" customWidth="1"/>
    <col min="45" max="45" width="13.6640625" bestFit="1" customWidth="1"/>
  </cols>
  <sheetData>
    <row r="1" spans="1:45" x14ac:dyDescent="0.3">
      <c r="A1" s="9" t="s">
        <v>0</v>
      </c>
      <c r="C1" s="10" t="s">
        <v>118</v>
      </c>
      <c r="F1" s="10" t="s">
        <v>122</v>
      </c>
      <c r="I1" s="19" t="s">
        <v>123</v>
      </c>
      <c r="J1" s="19"/>
      <c r="K1" s="17"/>
      <c r="L1" t="s">
        <v>125</v>
      </c>
      <c r="X1" s="25" t="s">
        <v>132</v>
      </c>
      <c r="Y1" s="25"/>
      <c r="Z1" s="24"/>
      <c r="AA1" s="21" t="s">
        <v>129</v>
      </c>
      <c r="AB1" s="20" t="s">
        <v>2</v>
      </c>
      <c r="AC1" s="20" t="s">
        <v>120</v>
      </c>
      <c r="AE1" s="26" t="s">
        <v>133</v>
      </c>
      <c r="AH1" s="28" t="s">
        <v>119</v>
      </c>
      <c r="AI1" s="28" t="s">
        <v>134</v>
      </c>
      <c r="AK1" s="28" t="s">
        <v>3</v>
      </c>
      <c r="AL1" s="28" t="s">
        <v>120</v>
      </c>
      <c r="AO1" s="28" t="s">
        <v>0</v>
      </c>
      <c r="AP1" s="28" t="s">
        <v>120</v>
      </c>
      <c r="AR1" s="20" t="s">
        <v>2</v>
      </c>
      <c r="AS1" t="s">
        <v>120</v>
      </c>
    </row>
    <row r="2" spans="1:45" x14ac:dyDescent="0.3">
      <c r="A2" s="8" t="str" cm="1">
        <f t="array" ref="A2:A8">_xlfn.UNIQUE(SylipTable3[Region])</f>
        <v>Australia and Oceania</v>
      </c>
      <c r="B2" s="8" t="s">
        <v>22</v>
      </c>
      <c r="C2" s="11" t="s">
        <v>14</v>
      </c>
      <c r="D2" s="11"/>
      <c r="F2" s="14" t="s">
        <v>0</v>
      </c>
      <c r="G2" s="16" t="s">
        <v>120</v>
      </c>
      <c r="I2" s="13" t="s">
        <v>0</v>
      </c>
      <c r="J2" s="13" t="s">
        <v>121</v>
      </c>
      <c r="L2" s="13" t="s">
        <v>27</v>
      </c>
      <c r="AB2" t="str" cm="1">
        <f t="array" ref="AB2:AB13">_xlfn.UNIQUE(SylipTable3[Item Type])</f>
        <v>Baby Food</v>
      </c>
      <c r="AC2" s="18">
        <f>SUMIF(SylipTable3[Item Type],'Data Prep'!AB10,SylipTable3[Total Revenue])</f>
        <v>36601509.600000001</v>
      </c>
      <c r="AE2" s="18" t="s">
        <v>119</v>
      </c>
      <c r="AF2" t="s">
        <v>120</v>
      </c>
      <c r="AH2">
        <v>2010</v>
      </c>
      <c r="AI2" s="27">
        <v>0</v>
      </c>
      <c r="AK2" t="s">
        <v>135</v>
      </c>
      <c r="AL2" s="18">
        <f>SUMIF(SylipTable3[Sales Channel],'Data Prep'!AK2,SylipTable3[Total Revenue])</f>
        <v>58253959.110000007</v>
      </c>
      <c r="AO2" t="s">
        <v>31</v>
      </c>
      <c r="AP2" s="18">
        <f>SUMIFS(SylipTable3[Total Revenue],SylipTable3[Item Type],$AN$5,SylipTable3[Region],'Data Prep'!$AO2)</f>
        <v>7968451.4800000004</v>
      </c>
      <c r="AR2" t="str" cm="1">
        <f t="array" ref="AR2:AR13">_xlfn.UNIQUE(SylipTable3[Item Type])</f>
        <v>Baby Food</v>
      </c>
      <c r="AS2" s="18">
        <f>SUMIFS(SylipTable3[Total Revenue],SylipTable3[Item Type],'Data Prep'!$AR2,SylipTable3[Year_Ship],'Data Prep'!$B$11)</f>
        <v>2533654</v>
      </c>
    </row>
    <row r="3" spans="1:45" x14ac:dyDescent="0.3">
      <c r="A3" s="8" t="str">
        <v>Central America and the Caribbean</v>
      </c>
      <c r="B3" s="8"/>
      <c r="C3" s="12">
        <f>SUMIFS(SylipTable3[Total Revenue],SylipTable3[Region],'Data Prep'!B1,SylipTable3[Year_Ship],'Data Prep'!B11)</f>
        <v>0</v>
      </c>
      <c r="D3" s="12"/>
      <c r="F3" t="s">
        <v>31</v>
      </c>
      <c r="G3" s="15">
        <f>SUMIF(SylipTable3[Region],F3,SylipTable3[Total Revenue])</f>
        <v>39672031.430000007</v>
      </c>
      <c r="I3" t="s">
        <v>31</v>
      </c>
      <c r="J3" s="18">
        <f>SUMIF(SylipTable3[Region],'Data Prep'!I3,SylipTable3[Total Profit])</f>
        <v>12183211.400000004</v>
      </c>
      <c r="L3" s="13" t="s">
        <v>124</v>
      </c>
      <c r="M3" s="13"/>
      <c r="AB3" t="str">
        <v>Cereal</v>
      </c>
      <c r="AC3" s="18">
        <f>SUMIF(SylipTable3[Item Type],'Data Prep'!AB4,SylipTable3[Total Revenue])</f>
        <v>30585380.07</v>
      </c>
      <c r="AE3">
        <v>2010</v>
      </c>
      <c r="AF3" s="18">
        <f>SUMIF(SylipTable3[Year_Ship],'Data Prep'!AE3,SylipTable3[Total Revenue])</f>
        <v>16604238.529999999</v>
      </c>
      <c r="AH3">
        <v>2011</v>
      </c>
      <c r="AI3" s="27">
        <f t="shared" ref="AI3:AI9" si="0">($AF4-$AF3)/$AF3</f>
        <v>-0.30983167524997002</v>
      </c>
      <c r="AK3" t="s">
        <v>136</v>
      </c>
      <c r="AL3" s="18">
        <f>SUMIF(SylipTable3[Sales Channel],'Data Prep'!AK3,SylipTable3[Total Revenue])</f>
        <v>79094809.199999973</v>
      </c>
      <c r="AO3" t="s">
        <v>27</v>
      </c>
      <c r="AP3" s="18">
        <f>SUMIFS(SylipTable3[Total Revenue],SylipTable3[Item Type],$AN$5,SylipTable3[Region],'Data Prep'!$AO3)</f>
        <v>3204354.65</v>
      </c>
      <c r="AR3" t="str">
        <v>Cereal</v>
      </c>
      <c r="AS3" s="18">
        <f>SUMIFS(SylipTable3[Total Revenue],SylipTable3[Item Type],'Data Prep'!$AR3,SylipTable3[Year_Ship],'Data Prep'!$B$11)</f>
        <v>0</v>
      </c>
    </row>
    <row r="4" spans="1:45" x14ac:dyDescent="0.3">
      <c r="A4" s="8" t="str">
        <v>Europe</v>
      </c>
      <c r="B4" s="8"/>
      <c r="F4" t="s">
        <v>27</v>
      </c>
      <c r="G4" s="15">
        <f>SUMIF(SylipTable3[Region],F4,SylipTable3[Total Revenue])</f>
        <v>33368932.109999999</v>
      </c>
      <c r="I4" t="s">
        <v>27</v>
      </c>
      <c r="J4" s="18">
        <f>SUMIF(SylipTable3[Region],'Data Prep'!I4,SylipTable3[Total Profit])</f>
        <v>11082938.629999999</v>
      </c>
      <c r="L4" t="s">
        <v>126</v>
      </c>
      <c r="M4" t="s">
        <v>120</v>
      </c>
      <c r="N4" t="s">
        <v>121</v>
      </c>
      <c r="O4" t="s">
        <v>128</v>
      </c>
      <c r="P4" t="s">
        <v>130</v>
      </c>
      <c r="Q4" t="s">
        <v>131</v>
      </c>
      <c r="R4" t="s">
        <v>120</v>
      </c>
      <c r="S4" t="s">
        <v>121</v>
      </c>
      <c r="T4" t="s">
        <v>128</v>
      </c>
      <c r="U4" t="s">
        <v>130</v>
      </c>
      <c r="W4" t="s">
        <v>127</v>
      </c>
      <c r="X4" t="s">
        <v>126</v>
      </c>
      <c r="Y4" t="s">
        <v>120</v>
      </c>
      <c r="Z4" t="s">
        <v>121</v>
      </c>
      <c r="AB4" t="str">
        <v>Office Supplies</v>
      </c>
      <c r="AC4" s="18">
        <f>SUMIF(SylipTable3[Item Type],'Data Prep'!AB6,SylipTable3[Total Revenue])</f>
        <v>29889712.289999995</v>
      </c>
      <c r="AE4">
        <v>2011</v>
      </c>
      <c r="AF4" s="18">
        <f>SUMIF(SylipTable3[Year_Ship],'Data Prep'!AE4,SylipTable3[Total Revenue])</f>
        <v>11459719.49</v>
      </c>
      <c r="AH4">
        <v>2012</v>
      </c>
      <c r="AI4" s="27">
        <f t="shared" si="0"/>
        <v>1.9799924439511731</v>
      </c>
      <c r="AO4" t="s">
        <v>44</v>
      </c>
      <c r="AP4" s="18">
        <f>SUMIFS(SylipTable3[Total Revenue],SylipTable3[Item Type],$AN$5,SylipTable3[Region],'Data Prep'!$AO4)</f>
        <v>8072701.5999999996</v>
      </c>
      <c r="AR4" t="str">
        <v>Office Supplies</v>
      </c>
      <c r="AS4" s="18">
        <f>SUMIFS(SylipTable3[Total Revenue],SylipTable3[Item Type],'Data Prep'!$AR4,SylipTable3[Year_Ship],'Data Prep'!$B$11)</f>
        <v>5396577.2699999996</v>
      </c>
    </row>
    <row r="5" spans="1:45" x14ac:dyDescent="0.3">
      <c r="A5" s="8" t="str">
        <v>Sub-Saharan Africa</v>
      </c>
      <c r="B5" s="8"/>
      <c r="F5" t="s">
        <v>44</v>
      </c>
      <c r="G5" s="15">
        <f>SUMIF(SylipTable3[Region],F5,SylipTable3[Total Revenue])</f>
        <v>21347091.020000003</v>
      </c>
      <c r="I5" t="s">
        <v>44</v>
      </c>
      <c r="J5" s="18">
        <f>SUMIF(SylipTable3[Region],'Data Prep'!I5,SylipTable3[Total Profit])</f>
        <v>6113845.8700000001</v>
      </c>
      <c r="L5" t="str" cm="1">
        <f t="array" ref="L5:L23">_xlfn._xlws.SORT(_xlfn.UNIQUE(_xlfn._xlws.FILTER(SylipTable3[Country],SylipTable3[Region]=$L$2)))</f>
        <v>Albania</v>
      </c>
      <c r="M5" s="18">
        <f>SUMIF(SylipTable3[Country],$L5,SylipTable3[Total Revenue])</f>
        <v>247956.32</v>
      </c>
      <c r="N5" s="18">
        <f>SUMIF(SylipTable3[Country],'Data Prep'!L5,SylipTable3[Total Profit])</f>
        <v>166635.35999999999</v>
      </c>
      <c r="O5" s="22">
        <f>_xlfn.RANK.AVG(M5,$M$5:$M$23,0)</f>
        <v>16</v>
      </c>
      <c r="P5" s="22">
        <f>_xlfn.RANK.AVG(M5,$M$5:$M$23,1)</f>
        <v>4</v>
      </c>
      <c r="Q5" t="s">
        <v>32</v>
      </c>
      <c r="R5" s="18">
        <f>SUMIF(SylipTable3[Country],$Q5,SylipTable3[Total Revenue])</f>
        <v>565780.91999999993</v>
      </c>
      <c r="S5" s="18">
        <f>SUMIF(SylipTable3[Country],'Data Prep'!Q5,SylipTable3[Total Profit])</f>
        <v>176193.13</v>
      </c>
      <c r="T5" s="22">
        <f>_xlfn.RANK.AVG(R5,$R$5:$R$29,0)</f>
        <v>15.5</v>
      </c>
      <c r="U5" s="22">
        <f>_xlfn.RANK.AVG(R5,$R$5:$R$29,1)</f>
        <v>10.5</v>
      </c>
      <c r="V5" s="22"/>
      <c r="W5" s="22">
        <v>1</v>
      </c>
      <c r="X5" s="22" t="str">
        <f>INDEX($L$5:$N$23,MATCH($W5,$O$5:$O$23,0),MATCH(X$4,$L$4:$N$4,0))</f>
        <v>Lithuania</v>
      </c>
      <c r="Y5" s="18">
        <f t="shared" ref="Y5:Z9" si="1">INDEX($L$5:$N$23,MATCH($W5,$O$5:$O$23,0),MATCH(Y$4,$L$4:$N$4,0))</f>
        <v>5396577.2699999996</v>
      </c>
      <c r="Z5" s="18">
        <f t="shared" si="1"/>
        <v>1046233.75</v>
      </c>
      <c r="AA5" s="18"/>
      <c r="AB5" t="str">
        <v>Fruits</v>
      </c>
      <c r="AC5" s="18">
        <f>SUMIF(SylipTable3[Item Type],'Data Prep'!AB2,SylipTable3[Total Revenue])</f>
        <v>10350327.6</v>
      </c>
      <c r="AE5">
        <v>2012</v>
      </c>
      <c r="AF5" s="18">
        <f>SUMIF(SylipTable3[Year_Ship],'Data Prep'!AE5,SylipTable3[Total Revenue])</f>
        <v>34149877.489999995</v>
      </c>
      <c r="AH5">
        <v>2013</v>
      </c>
      <c r="AI5" s="27">
        <f t="shared" si="0"/>
        <v>-0.40975564507069029</v>
      </c>
      <c r="AM5" t="s">
        <v>137</v>
      </c>
      <c r="AN5" t="str">
        <f>Dashboard!Q2</f>
        <v>Household</v>
      </c>
      <c r="AO5" t="s">
        <v>17</v>
      </c>
      <c r="AP5" s="18">
        <f>SUMIFS(SylipTable3[Total Revenue],SylipTable3[Item Type],$AN$5,SylipTable3[Region],'Data Prep'!$AO5)</f>
        <v>0</v>
      </c>
      <c r="AR5" t="str">
        <v>Fruits</v>
      </c>
      <c r="AS5" s="18">
        <f>SUMIFS(SylipTable3[Total Revenue],SylipTable3[Item Type],'Data Prep'!$AR5,SylipTable3[Year_Ship],'Data Prep'!$B$11)</f>
        <v>54319.26</v>
      </c>
    </row>
    <row r="6" spans="1:45" x14ac:dyDescent="0.3">
      <c r="A6" s="8" t="str">
        <v>Asia</v>
      </c>
      <c r="B6" s="8"/>
      <c r="F6" t="s">
        <v>17</v>
      </c>
      <c r="G6" s="15">
        <f>SUMIF(SylipTable3[Region],F6,SylipTable3[Total Revenue])</f>
        <v>14094265.130000003</v>
      </c>
      <c r="I6" t="s">
        <v>17</v>
      </c>
      <c r="J6" s="18">
        <f>SUMIF(SylipTable3[Region],'Data Prep'!I6,SylipTable3[Total Profit])</f>
        <v>4722160.03</v>
      </c>
      <c r="L6" t="str">
        <v>Austria</v>
      </c>
      <c r="M6" s="18">
        <f>SUMIF(SylipTable3[Country],$L6,SylipTable3[Total Revenue])</f>
        <v>1244708.3999999999</v>
      </c>
      <c r="N6" s="18">
        <f>SUMIF(SylipTable3[Country],'Data Prep'!L6,SylipTable3[Total Profit])</f>
        <v>495007.89</v>
      </c>
      <c r="O6" s="22">
        <f t="shared" ref="O6:O23" si="2">_xlfn.RANK.AVG(M6,$M$5:$M$23,0)</f>
        <v>9</v>
      </c>
      <c r="P6" s="22">
        <f t="shared" ref="P6:P23" si="3">_xlfn.RANK.AVG(M6,$M$5:$M$23,1)</f>
        <v>11</v>
      </c>
      <c r="Q6" t="s">
        <v>34</v>
      </c>
      <c r="R6" s="18">
        <f>SUMIF(SylipTable3[Country],$Q6,SylipTable3[Total Revenue])</f>
        <v>5253769.42</v>
      </c>
      <c r="S6" s="18">
        <f>SUMIF(SylipTable3[Country],'Data Prep'!Q6,SylipTable3[Total Profit])</f>
        <v>1417493.49</v>
      </c>
      <c r="T6" s="22">
        <f t="shared" ref="T6:T29" si="4">_xlfn.RANK.AVG(R6,$R$5:$R$29,0)</f>
        <v>3</v>
      </c>
      <c r="U6" s="22">
        <f t="shared" ref="U6:U29" si="5">_xlfn.RANK.AVG(R6,$R$5:$R$29,1)</f>
        <v>23</v>
      </c>
      <c r="V6" s="22"/>
      <c r="W6" s="22">
        <v>2</v>
      </c>
      <c r="X6" s="22" t="str">
        <f t="shared" ref="X6:X9" si="6">INDEX($L$5:$N$23,MATCH($W6,$O$5:$O$23,0),MATCH(X$4,$L$4:$N$4,0))</f>
        <v>Iceland</v>
      </c>
      <c r="Y6" s="18">
        <f t="shared" si="1"/>
        <v>3876652.4</v>
      </c>
      <c r="Z6" s="18">
        <f t="shared" si="1"/>
        <v>1541705.29</v>
      </c>
      <c r="AA6" s="18"/>
      <c r="AB6" t="str">
        <v>Household</v>
      </c>
      <c r="AC6" s="18">
        <f>SUMIF(SylipTable3[Item Type],'Data Prep'!AB9,SylipTable3[Total Revenue])</f>
        <v>7787292.799999998</v>
      </c>
      <c r="AE6">
        <v>2013</v>
      </c>
      <c r="AF6" s="18">
        <f>SUMIF(SylipTable3[Year_Ship],'Data Prep'!AE6,SylipTable3[Total Revenue])</f>
        <v>20156772.41</v>
      </c>
      <c r="AH6">
        <v>2014</v>
      </c>
      <c r="AI6" s="27">
        <f t="shared" si="0"/>
        <v>-0.16634020872987573</v>
      </c>
      <c r="AO6" t="s">
        <v>74</v>
      </c>
      <c r="AP6" s="18">
        <f>SUMIFS(SylipTable3[Total Revenue],SylipTable3[Item Type],$AN$5,SylipTable3[Region],'Data Prep'!$AO6)</f>
        <v>0</v>
      </c>
      <c r="AR6" t="str">
        <v>Household</v>
      </c>
      <c r="AS6" s="18">
        <f>SUMIFS(SylipTable3[Total Revenue],SylipTable3[Item Type],'Data Prep'!$AR6,SylipTable3[Year_Ship],'Data Prep'!$B$11)</f>
        <v>0</v>
      </c>
    </row>
    <row r="7" spans="1:45" x14ac:dyDescent="0.3">
      <c r="A7" s="8" t="str">
        <v>Middle East and North Africa</v>
      </c>
      <c r="B7" s="8"/>
      <c r="F7" t="s">
        <v>74</v>
      </c>
      <c r="G7" s="15">
        <f>SUMIF(SylipTable3[Region],F7,SylipTable3[Total Revenue])</f>
        <v>14052706.58</v>
      </c>
      <c r="I7" t="s">
        <v>74</v>
      </c>
      <c r="J7" s="18">
        <f>SUMIF(SylipTable3[Region],'Data Prep'!I7,SylipTable3[Total Profit])</f>
        <v>5761191.8599999994</v>
      </c>
      <c r="L7" t="str">
        <v>Bulgaria</v>
      </c>
      <c r="M7" s="18">
        <f>SUMIF(SylipTable3[Country],$L7,SylipTable3[Total Revenue])</f>
        <v>2779199.71</v>
      </c>
      <c r="N7" s="18">
        <f>SUMIF(SylipTable3[Country],'Data Prep'!L7,SylipTable3[Total Profit])</f>
        <v>626223.87</v>
      </c>
      <c r="O7" s="22">
        <f t="shared" si="2"/>
        <v>6</v>
      </c>
      <c r="P7" s="22">
        <f t="shared" si="3"/>
        <v>14</v>
      </c>
      <c r="Q7" t="s">
        <v>36</v>
      </c>
      <c r="R7" s="18">
        <f>SUMIF(SylipTable3[Country],$Q7,SylipTable3[Total Revenue])</f>
        <v>2798046.49</v>
      </c>
      <c r="S7" s="18">
        <f>SUMIF(SylipTable3[Country],'Data Prep'!Q7,SylipTable3[Total Profit])</f>
        <v>693911.51</v>
      </c>
      <c r="T7" s="22">
        <f t="shared" si="4"/>
        <v>7</v>
      </c>
      <c r="U7" s="22">
        <f t="shared" si="5"/>
        <v>19</v>
      </c>
      <c r="V7" s="22"/>
      <c r="W7" s="22">
        <v>3</v>
      </c>
      <c r="X7" s="22" t="str">
        <f t="shared" si="6"/>
        <v>Switzerland</v>
      </c>
      <c r="Y7" s="18">
        <f t="shared" si="1"/>
        <v>3808901.49</v>
      </c>
      <c r="Z7" s="18">
        <f t="shared" si="1"/>
        <v>1512729.45</v>
      </c>
      <c r="AA7" s="18"/>
      <c r="AB7" t="str">
        <v>Vegetables</v>
      </c>
      <c r="AC7" s="18">
        <f>SUMIF(SylipTable3[Item Type],'Data Prep'!AB3,SylipTable3[Total Revenue])</f>
        <v>5322898.9000000004</v>
      </c>
      <c r="AE7">
        <v>2014</v>
      </c>
      <c r="AF7" s="18">
        <f>SUMIF(SylipTable3[Year_Ship],'Data Prep'!AE7,SylipTable3[Total Revenue])</f>
        <v>16803890.68</v>
      </c>
      <c r="AH7">
        <v>2015</v>
      </c>
      <c r="AI7" s="27">
        <f t="shared" si="0"/>
        <v>-0.26041039562392576</v>
      </c>
      <c r="AO7" t="s">
        <v>22</v>
      </c>
      <c r="AP7" s="18">
        <f>SUMIFS(SylipTable3[Total Revenue],SylipTable3[Item Type],$AN$5,SylipTable3[Region],'Data Prep'!$AO7)</f>
        <v>5997054.9800000004</v>
      </c>
      <c r="AR7" t="str">
        <v>Vegetables</v>
      </c>
      <c r="AS7" s="18">
        <f>SUMIFS(SylipTable3[Total Revenue],SylipTable3[Item Type],'Data Prep'!$AR7,SylipTable3[Year_Ship],'Data Prep'!$B$11)</f>
        <v>0</v>
      </c>
    </row>
    <row r="8" spans="1:45" x14ac:dyDescent="0.3">
      <c r="A8" s="8" t="str">
        <v>North America</v>
      </c>
      <c r="B8" s="8"/>
      <c r="C8" t="s">
        <v>16</v>
      </c>
      <c r="F8" t="s">
        <v>22</v>
      </c>
      <c r="G8" s="15">
        <f>SUMIF(SylipTable3[Region],F8,SylipTable3[Total Revenue])</f>
        <v>9170385.4900000002</v>
      </c>
      <c r="I8" t="s">
        <v>22</v>
      </c>
      <c r="J8" s="18">
        <f>SUMIF(SylipTable3[Region],'Data Prep'!I8,SylipTable3[Total Profit])</f>
        <v>2846907.85</v>
      </c>
      <c r="L8" t="str">
        <v>France</v>
      </c>
      <c r="M8" s="18">
        <f>SUMIF(SylipTable3[Country],$L8,SylipTable3[Total Revenue])</f>
        <v>793518</v>
      </c>
      <c r="N8" s="18">
        <f>SUMIF(SylipTable3[Country],'Data Prep'!L8,SylipTable3[Total Profit])</f>
        <v>315574.05</v>
      </c>
      <c r="O8" s="22">
        <f t="shared" si="2"/>
        <v>13</v>
      </c>
      <c r="P8" s="22">
        <f t="shared" si="3"/>
        <v>7</v>
      </c>
      <c r="Q8" t="s">
        <v>39</v>
      </c>
      <c r="R8" s="18">
        <f>SUMIF(SylipTable3[Country],$Q8,SylipTable3[Total Revenue])</f>
        <v>1245112.92</v>
      </c>
      <c r="S8" s="18">
        <f>SUMIF(SylipTable3[Country],'Data Prep'!Q8,SylipTable3[Total Profit])</f>
        <v>510216.66</v>
      </c>
      <c r="T8" s="22">
        <f t="shared" si="4"/>
        <v>9</v>
      </c>
      <c r="U8" s="22">
        <f t="shared" si="5"/>
        <v>17</v>
      </c>
      <c r="V8" s="22"/>
      <c r="W8" s="22">
        <v>4</v>
      </c>
      <c r="X8" s="22" t="str">
        <f t="shared" si="6"/>
        <v>Romania</v>
      </c>
      <c r="Y8" s="18">
        <f t="shared" si="1"/>
        <v>3458252</v>
      </c>
      <c r="Z8" s="18">
        <f t="shared" si="1"/>
        <v>1375311.7</v>
      </c>
      <c r="AA8" s="18"/>
      <c r="AB8" t="str">
        <v>Personal Care</v>
      </c>
      <c r="AC8" s="18">
        <f>SUMIF(SylipTable3[Item Type],'Data Prep'!AB12,SylipTable3[Total Revenue])</f>
        <v>4503675.75</v>
      </c>
      <c r="AE8">
        <v>2015</v>
      </c>
      <c r="AF8" s="18">
        <f>SUMIF(SylipTable3[Year_Ship],'Data Prep'!AE8,SylipTable3[Total Revenue])</f>
        <v>12427982.860000001</v>
      </c>
      <c r="AH8">
        <v>2016</v>
      </c>
      <c r="AI8" s="27">
        <f t="shared" si="0"/>
        <v>-4.4348017390170788E-3</v>
      </c>
      <c r="AO8" t="s">
        <v>101</v>
      </c>
      <c r="AP8" s="18">
        <f>SUMIFS(SylipTable3[Total Revenue],SylipTable3[Item Type],$AN$5,SylipTable3[Region],'Data Prep'!$AO8)</f>
        <v>4647149.58</v>
      </c>
      <c r="AR8" t="str">
        <v>Personal Care</v>
      </c>
      <c r="AS8" s="18">
        <f>SUMIFS(SylipTable3[Total Revenue],SylipTable3[Item Type],'Data Prep'!$AR8,SylipTable3[Year_Ship],'Data Prep'!$B$11)</f>
        <v>0</v>
      </c>
    </row>
    <row r="9" spans="1:45" x14ac:dyDescent="0.3">
      <c r="C9" s="12">
        <f>SUMIF(SylipTable3[Year_Ship],$B$11,SylipTable3[Total Profit])</f>
        <v>5987980.1500000004</v>
      </c>
      <c r="F9" t="s">
        <v>101</v>
      </c>
      <c r="G9" s="15">
        <f>SUMIF(SylipTable3[Region],F9,SylipTable3[Total Revenue])</f>
        <v>5643356.5500000007</v>
      </c>
      <c r="I9" t="s">
        <v>101</v>
      </c>
      <c r="J9" s="18">
        <f>SUMIF(SylipTable3[Region],'Data Prep'!I9,SylipTable3[Total Profit])</f>
        <v>1457942.76</v>
      </c>
      <c r="L9" t="str">
        <v>Iceland</v>
      </c>
      <c r="M9" s="18">
        <f>SUMIF(SylipTable3[Country],$L9,SylipTable3[Total Revenue])</f>
        <v>3876652.4</v>
      </c>
      <c r="N9" s="18">
        <f>SUMIF(SylipTable3[Country],'Data Prep'!L9,SylipTable3[Total Profit])</f>
        <v>1541705.29</v>
      </c>
      <c r="O9" s="22">
        <f t="shared" si="2"/>
        <v>2</v>
      </c>
      <c r="P9" s="22">
        <f t="shared" si="3"/>
        <v>18</v>
      </c>
      <c r="Q9" t="s">
        <v>41</v>
      </c>
      <c r="R9" s="18">
        <f>SUMIF(SylipTable3[Country],$Q9,SylipTable3[Total Revenue])</f>
        <v>496101.1</v>
      </c>
      <c r="S9" s="18">
        <f>SUMIF(SylipTable3[Country],'Data Prep'!Q9,SylipTable3[Total Profit])</f>
        <v>152114.20000000001</v>
      </c>
      <c r="T9" s="22">
        <f t="shared" si="4"/>
        <v>17</v>
      </c>
      <c r="U9" s="22">
        <f t="shared" si="5"/>
        <v>9</v>
      </c>
      <c r="V9" s="22"/>
      <c r="W9" s="22">
        <v>5</v>
      </c>
      <c r="X9" s="22" t="str">
        <f t="shared" si="6"/>
        <v>Spain</v>
      </c>
      <c r="Y9" s="18">
        <f t="shared" si="1"/>
        <v>3015902.51</v>
      </c>
      <c r="Z9" s="18">
        <f t="shared" si="1"/>
        <v>747939.49</v>
      </c>
      <c r="AA9" s="18"/>
      <c r="AB9" t="str">
        <v>Clothes</v>
      </c>
      <c r="AC9" s="18">
        <f>SUMIF(SylipTable3[Item Type],'Data Prep'!AB8,SylipTable3[Total Revenue])</f>
        <v>3980904.8400000003</v>
      </c>
      <c r="AE9">
        <v>2016</v>
      </c>
      <c r="AF9" s="18">
        <f>SUMIF(SylipTable3[Year_Ship],'Data Prep'!AE9,SylipTable3[Total Revenue])</f>
        <v>12372867.219999999</v>
      </c>
      <c r="AH9">
        <v>2017</v>
      </c>
      <c r="AI9" s="27">
        <f t="shared" si="0"/>
        <v>8.0866657033437414E-2</v>
      </c>
      <c r="AR9" t="str">
        <v>Clothes</v>
      </c>
      <c r="AS9" s="18">
        <f>SUMIFS(SylipTable3[Total Revenue],SylipTable3[Item Type],'Data Prep'!$AR9,SylipTable3[Year_Ship],'Data Prep'!$B$11)</f>
        <v>1998731.2</v>
      </c>
    </row>
    <row r="10" spans="1:45" x14ac:dyDescent="0.3">
      <c r="A10" s="10" t="s">
        <v>119</v>
      </c>
      <c r="G10"/>
      <c r="L10" t="str">
        <v>Lithuania</v>
      </c>
      <c r="M10" s="18">
        <f>SUMIF(SylipTable3[Country],$L10,SylipTable3[Total Revenue])</f>
        <v>5396577.2699999996</v>
      </c>
      <c r="N10" s="18">
        <f>SUMIF(SylipTable3[Country],'Data Prep'!L10,SylipTable3[Total Profit])</f>
        <v>1046233.75</v>
      </c>
      <c r="O10" s="22">
        <f t="shared" si="2"/>
        <v>1</v>
      </c>
      <c r="P10" s="22">
        <f t="shared" si="3"/>
        <v>19</v>
      </c>
      <c r="Q10" t="s">
        <v>43</v>
      </c>
      <c r="R10" s="18">
        <f>SUMIF(SylipTable3[Country],$Q10,SylipTable3[Total Revenue])</f>
        <v>1356180.1</v>
      </c>
      <c r="S10" s="18">
        <f>SUMIF(SylipTable3[Country],'Data Prep'!Q10,SylipTable3[Total Profit])</f>
        <v>584073.87</v>
      </c>
      <c r="T10" s="22">
        <f t="shared" si="4"/>
        <v>8</v>
      </c>
      <c r="U10" s="22">
        <f t="shared" si="5"/>
        <v>18</v>
      </c>
      <c r="V10" s="22"/>
      <c r="W10" s="22"/>
      <c r="X10" s="22"/>
      <c r="Y10" s="18"/>
      <c r="Z10" s="18"/>
      <c r="AA10" s="18"/>
      <c r="AB10" t="str">
        <v>Cosmetics</v>
      </c>
      <c r="AC10" s="18">
        <f>SUMIF(SylipTable3[Item Type],'Data Prep'!AB7,SylipTable3[Total Revenue])</f>
        <v>3089057.06</v>
      </c>
      <c r="AE10">
        <v>2017</v>
      </c>
      <c r="AF10" s="18">
        <f>SUMIF(SylipTable3[Year_Ship],'Data Prep'!AE10,SylipTable3[Total Revenue])</f>
        <v>13373419.629999999</v>
      </c>
      <c r="AR10" t="str">
        <v>Cosmetics</v>
      </c>
      <c r="AS10" s="18">
        <f>SUMIFS(SylipTable3[Total Revenue],SylipTable3[Item Type],'Data Prep'!$AR10,SylipTable3[Year_Ship],'Data Prep'!$B$11)</f>
        <v>6620956.7999999998</v>
      </c>
    </row>
    <row r="11" spans="1:45" x14ac:dyDescent="0.3">
      <c r="A11" cm="1">
        <f t="array" ref="A11:A18">_xlfn.UNIQUE(SylipTable3[Year_Ship])</f>
        <v>2010</v>
      </c>
      <c r="B11">
        <f>Dashboard!O2</f>
        <v>2010</v>
      </c>
      <c r="G11"/>
      <c r="L11" t="str">
        <v>Macedonia</v>
      </c>
      <c r="M11" s="18">
        <f>SUMIF(SylipTable3[Country],$L11,SylipTable3[Total Revenue])</f>
        <v>856973.76</v>
      </c>
      <c r="N11" s="18">
        <f>SUMIF(SylipTable3[Country],'Data Prep'!L11,SylipTable3[Total Profit])</f>
        <v>575916.48</v>
      </c>
      <c r="O11" s="22">
        <f t="shared" si="2"/>
        <v>12</v>
      </c>
      <c r="P11" s="22">
        <f t="shared" si="3"/>
        <v>8</v>
      </c>
      <c r="Q11" t="s">
        <v>46</v>
      </c>
      <c r="R11" s="18">
        <f>SUMIF(SylipTable3[Country],$Q11,SylipTable3[Total Revenue])</f>
        <v>455479.03999999998</v>
      </c>
      <c r="S11" s="18">
        <f>SUMIF(SylipTable3[Country],'Data Prep'!Q11,SylipTable3[Total Profit])</f>
        <v>306097.91999999998</v>
      </c>
      <c r="T11" s="22">
        <f t="shared" si="4"/>
        <v>18</v>
      </c>
      <c r="U11" s="22">
        <f t="shared" si="5"/>
        <v>8</v>
      </c>
      <c r="V11" s="22"/>
      <c r="W11" s="22"/>
      <c r="X11" s="22"/>
      <c r="Y11" s="18"/>
      <c r="Z11" s="18"/>
      <c r="AA11" s="18"/>
      <c r="AB11" t="str">
        <v>Beverages</v>
      </c>
      <c r="AC11" s="18">
        <f>SUMIF(SylipTable3[Item Type],'Data Prep'!AB11,SylipTable3[Total Revenue])</f>
        <v>2690794.6</v>
      </c>
      <c r="AR11" t="str">
        <v>Beverages</v>
      </c>
      <c r="AS11" s="18">
        <f>SUMIFS(SylipTable3[Total Revenue],SylipTable3[Item Type],'Data Prep'!$AR11,SylipTable3[Year_Ship],'Data Prep'!$B$11)</f>
        <v>0</v>
      </c>
    </row>
    <row r="12" spans="1:45" x14ac:dyDescent="0.3">
      <c r="A12">
        <v>2012</v>
      </c>
      <c r="G12"/>
      <c r="L12" t="str">
        <v xml:space="preserve">Moldova </v>
      </c>
      <c r="M12" s="18">
        <f>SUMIF(SylipTable3[Country],$L12,SylipTable3[Total Revenue])</f>
        <v>414371.1</v>
      </c>
      <c r="N12" s="18">
        <f>SUMIF(SylipTable3[Country],'Data Prep'!L12,SylipTable3[Total Profit])</f>
        <v>127054.2</v>
      </c>
      <c r="O12" s="22">
        <f t="shared" si="2"/>
        <v>14</v>
      </c>
      <c r="P12" s="22">
        <f t="shared" si="3"/>
        <v>6</v>
      </c>
      <c r="Q12" t="s">
        <v>54</v>
      </c>
      <c r="R12" s="18">
        <f>SUMIF(SylipTable3[Country],$Q12,SylipTable3[Total Revenue])</f>
        <v>3851030.28</v>
      </c>
      <c r="S12" s="18">
        <f>SUMIF(SylipTable3[Country],'Data Prep'!Q12,SylipTable3[Total Profit])</f>
        <v>781681.3</v>
      </c>
      <c r="T12" s="22">
        <f t="shared" si="4"/>
        <v>4</v>
      </c>
      <c r="U12" s="22">
        <f t="shared" si="5"/>
        <v>22</v>
      </c>
      <c r="V12" s="22"/>
      <c r="W12" s="22" t="s">
        <v>127</v>
      </c>
      <c r="X12" s="22" t="s">
        <v>126</v>
      </c>
      <c r="Y12" s="18" t="s">
        <v>120</v>
      </c>
      <c r="Z12" s="18" t="s">
        <v>121</v>
      </c>
      <c r="AA12" s="18"/>
      <c r="AB12" t="str">
        <v>Meat</v>
      </c>
      <c r="AC12" s="18">
        <f>SUMIF(SylipTable3[Item Type],'Data Prep'!AB13,SylipTable3[Total Revenue])</f>
        <v>2080733.46</v>
      </c>
      <c r="AR12" t="str">
        <v>Meat</v>
      </c>
      <c r="AS12" s="18">
        <f>SUMIFS(SylipTable3[Total Revenue],SylipTable3[Item Type],'Data Prep'!$AR12,SylipTable3[Year_Ship],'Data Prep'!$B$11)</f>
        <v>0</v>
      </c>
    </row>
    <row r="13" spans="1:45" x14ac:dyDescent="0.3">
      <c r="A13">
        <v>2014</v>
      </c>
      <c r="G13"/>
      <c r="I13" s="13" t="s">
        <v>0</v>
      </c>
      <c r="L13" t="str">
        <v>Monaco</v>
      </c>
      <c r="M13" s="18">
        <f>SUMIF(SylipTable3[Country],$L13,SylipTable3[Total Revenue])</f>
        <v>2198981.92</v>
      </c>
      <c r="N13" s="18">
        <f>SUMIF(SylipTable3[Country],'Data Prep'!L13,SylipTable3[Total Profit])</f>
        <v>825738.04</v>
      </c>
      <c r="O13" s="22">
        <f t="shared" si="2"/>
        <v>7</v>
      </c>
      <c r="P13" s="22">
        <f t="shared" si="3"/>
        <v>13</v>
      </c>
      <c r="Q13" t="s">
        <v>66</v>
      </c>
      <c r="R13" s="18">
        <f>SUMIF(SylipTable3[Country],$Q13,SylipTable3[Total Revenue])</f>
        <v>151359.9</v>
      </c>
      <c r="S13" s="18">
        <f>SUMIF(SylipTable3[Country],'Data Prep'!Q13,SylipTable3[Total Profit])</f>
        <v>79245.740000000005</v>
      </c>
      <c r="T13" s="22">
        <f t="shared" si="4"/>
        <v>24</v>
      </c>
      <c r="U13" s="22">
        <f t="shared" si="5"/>
        <v>2</v>
      </c>
      <c r="V13" s="22"/>
      <c r="W13" s="22">
        <v>1</v>
      </c>
      <c r="X13" s="22" t="str">
        <f>INDEX($L$5:$N$23,MATCH($W13,$P$5:$P$23,0),MATCH(X$12,$L$4:$N$4,0))</f>
        <v>Slovakia</v>
      </c>
      <c r="Y13" s="18">
        <f t="shared" ref="Y13:Z17" si="7">INDEX($L$5:$N$23,MATCH($W13,$P$5:$P$23,0),MATCH(Y$12,$L$4:$N$4,0))</f>
        <v>26344.26</v>
      </c>
      <c r="Z13" s="18">
        <f t="shared" si="7"/>
        <v>10795.23</v>
      </c>
      <c r="AA13" s="18"/>
      <c r="AB13" t="str">
        <v>Snacks</v>
      </c>
      <c r="AC13" s="18">
        <f>SUMIF(SylipTable3[Item Type],'Data Prep'!AB5,SylipTable3[Total Revenue])</f>
        <v>466481.34</v>
      </c>
      <c r="AR13" t="str">
        <v>Snacks</v>
      </c>
      <c r="AS13" s="18">
        <f>SUMIFS(SylipTable3[Total Revenue],SylipTable3[Item Type],'Data Prep'!$AR13,SylipTable3[Year_Ship],'Data Prep'!$B$11)</f>
        <v>0</v>
      </c>
    </row>
    <row r="14" spans="1:45" x14ac:dyDescent="0.3">
      <c r="A14">
        <v>2013</v>
      </c>
      <c r="G14"/>
      <c r="I14" t="s">
        <v>31</v>
      </c>
      <c r="L14" t="str">
        <v>Norway</v>
      </c>
      <c r="M14" s="18">
        <f>SUMIF(SylipTable3[Country],$L14,SylipTable3[Total Revenue])</f>
        <v>2144969.7999999998</v>
      </c>
      <c r="N14" s="18">
        <f>SUMIF(SylipTable3[Country],'Data Prep'!L14,SylipTable3[Total Profit])</f>
        <v>794398.84</v>
      </c>
      <c r="O14" s="22">
        <f t="shared" si="2"/>
        <v>8</v>
      </c>
      <c r="P14" s="22">
        <f t="shared" si="3"/>
        <v>12</v>
      </c>
      <c r="Q14" t="s">
        <v>67</v>
      </c>
      <c r="R14" s="18">
        <f>SUMIF(SylipTable3[Country],$Q14,SylipTable3[Total Revenue])</f>
        <v>5449517.9499999993</v>
      </c>
      <c r="S14" s="18">
        <f>SUMIF(SylipTable3[Country],'Data Prep'!Q14,SylipTable3[Total Profit])</f>
        <v>1385883.27</v>
      </c>
      <c r="T14" s="22">
        <f t="shared" si="4"/>
        <v>2</v>
      </c>
      <c r="U14" s="22">
        <f t="shared" si="5"/>
        <v>24</v>
      </c>
      <c r="V14" s="22"/>
      <c r="W14" s="22">
        <v>2</v>
      </c>
      <c r="X14" s="22" t="str">
        <f t="shared" ref="X14:X17" si="8">INDEX($L$5:$N$23,MATCH($W14,$P$5:$P$23,0),MATCH(X$12,$L$4:$N$4,0))</f>
        <v>United Kingdom</v>
      </c>
      <c r="Y14" s="18">
        <f t="shared" si="7"/>
        <v>188452.14</v>
      </c>
      <c r="Z14" s="18">
        <f t="shared" si="7"/>
        <v>46735.86</v>
      </c>
      <c r="AA14" s="18"/>
    </row>
    <row r="15" spans="1:45" x14ac:dyDescent="0.3">
      <c r="A15">
        <v>2015</v>
      </c>
      <c r="G15"/>
      <c r="I15" t="s">
        <v>27</v>
      </c>
      <c r="L15" t="str">
        <v>Portugal</v>
      </c>
      <c r="M15" s="18">
        <f>SUMIF(SylipTable3[Country],$L15,SylipTable3[Total Revenue])</f>
        <v>324971.44</v>
      </c>
      <c r="N15" s="18">
        <f>SUMIF(SylipTable3[Country],'Data Prep'!L15,SylipTable3[Total Profit])</f>
        <v>122029.78</v>
      </c>
      <c r="O15" s="22">
        <f t="shared" si="2"/>
        <v>15</v>
      </c>
      <c r="P15" s="22">
        <f t="shared" si="3"/>
        <v>5</v>
      </c>
      <c r="Q15" t="s">
        <v>69</v>
      </c>
      <c r="R15" s="18">
        <f>SUMIF(SylipTable3[Country],$Q15,SylipTable3[Total Revenue])</f>
        <v>173676.25</v>
      </c>
      <c r="S15" s="18">
        <f>SUMIF(SylipTable3[Country],'Data Prep'!Q15,SylipTable3[Total Profit])</f>
        <v>53252.5</v>
      </c>
      <c r="T15" s="22">
        <f t="shared" si="4"/>
        <v>23</v>
      </c>
      <c r="U15" s="22">
        <f t="shared" si="5"/>
        <v>3</v>
      </c>
      <c r="V15" s="22"/>
      <c r="W15" s="22">
        <v>3</v>
      </c>
      <c r="X15" s="22" t="str">
        <f t="shared" si="8"/>
        <v>Slovenia</v>
      </c>
      <c r="Y15" s="18">
        <f t="shared" si="7"/>
        <v>221117</v>
      </c>
      <c r="Z15" s="18">
        <f t="shared" si="7"/>
        <v>72975.600000000006</v>
      </c>
    </row>
    <row r="16" spans="1:45" x14ac:dyDescent="0.3">
      <c r="A16">
        <v>2011</v>
      </c>
      <c r="G16"/>
      <c r="I16" t="s">
        <v>44</v>
      </c>
      <c r="L16" t="str">
        <v>Romania</v>
      </c>
      <c r="M16" s="18">
        <f>SUMIF(SylipTable3[Country],$L16,SylipTable3[Total Revenue])</f>
        <v>3458252</v>
      </c>
      <c r="N16" s="18">
        <f>SUMIF(SylipTable3[Country],'Data Prep'!L16,SylipTable3[Total Profit])</f>
        <v>1375311.7</v>
      </c>
      <c r="O16" s="22">
        <f t="shared" si="2"/>
        <v>4</v>
      </c>
      <c r="P16" s="22">
        <f t="shared" si="3"/>
        <v>16</v>
      </c>
      <c r="Q16" t="s">
        <v>72</v>
      </c>
      <c r="R16" s="18">
        <f>SUMIF(SylipTable3[Country],$Q16,SylipTable3[Total Revenue])</f>
        <v>6052890.8600000003</v>
      </c>
      <c r="S16" s="18">
        <f>SUMIF(SylipTable3[Country],'Data Prep'!Q16,SylipTable3[Total Profit])</f>
        <v>2425317.87</v>
      </c>
      <c r="T16" s="22">
        <f t="shared" si="4"/>
        <v>1</v>
      </c>
      <c r="U16" s="22">
        <f t="shared" si="5"/>
        <v>25</v>
      </c>
      <c r="V16" s="22"/>
      <c r="W16" s="22">
        <v>4</v>
      </c>
      <c r="X16" s="22" t="str">
        <f t="shared" si="8"/>
        <v>Albania</v>
      </c>
      <c r="Y16" s="18">
        <f t="shared" si="7"/>
        <v>247956.32</v>
      </c>
      <c r="Z16" s="18">
        <f t="shared" si="7"/>
        <v>166635.35999999999</v>
      </c>
    </row>
    <row r="17" spans="1:27" x14ac:dyDescent="0.3">
      <c r="A17">
        <v>2017</v>
      </c>
      <c r="G17"/>
      <c r="I17" t="s">
        <v>17</v>
      </c>
      <c r="L17" t="str">
        <v>Russia</v>
      </c>
      <c r="M17" s="18">
        <f>SUMIF(SylipTable3[Country],$L17,SylipTable3[Total Revenue])</f>
        <v>1158502.5900000001</v>
      </c>
      <c r="N17" s="18">
        <f>SUMIF(SylipTable3[Country],'Data Prep'!L17,SylipTable3[Total Profit])</f>
        <v>224598.75</v>
      </c>
      <c r="O17" s="22">
        <f t="shared" si="2"/>
        <v>11</v>
      </c>
      <c r="P17" s="22">
        <f t="shared" si="3"/>
        <v>9</v>
      </c>
      <c r="Q17" t="s">
        <v>77</v>
      </c>
      <c r="R17" s="18">
        <f>SUMIF(SylipTable3[Country],$Q17,SylipTable3[Total Revenue])</f>
        <v>246415.95</v>
      </c>
      <c r="S17" s="18">
        <f>SUMIF(SylipTable3[Country],'Data Prep'!Q17,SylipTable3[Total Profit])</f>
        <v>75555.899999999994</v>
      </c>
      <c r="T17" s="22">
        <f t="shared" si="4"/>
        <v>21</v>
      </c>
      <c r="U17" s="22">
        <f t="shared" si="5"/>
        <v>5</v>
      </c>
      <c r="V17" s="22"/>
      <c r="W17" s="22">
        <v>5</v>
      </c>
      <c r="X17" s="22" t="str">
        <f t="shared" si="8"/>
        <v>Portugal</v>
      </c>
      <c r="Y17" s="18">
        <f t="shared" si="7"/>
        <v>324971.44</v>
      </c>
      <c r="Z17" s="18">
        <f t="shared" si="7"/>
        <v>122029.78</v>
      </c>
    </row>
    <row r="18" spans="1:27" x14ac:dyDescent="0.3">
      <c r="A18">
        <v>2016</v>
      </c>
      <c r="G18"/>
      <c r="I18" t="s">
        <v>74</v>
      </c>
      <c r="L18" t="str">
        <v>San Marino</v>
      </c>
      <c r="M18" s="18">
        <f>SUMIF(SylipTable3[Country],$L18,SylipTable3[Total Revenue])</f>
        <v>1212580</v>
      </c>
      <c r="N18" s="18">
        <f>SUMIF(SylipTable3[Country],'Data Prep'!L18,SylipTable3[Total Profit])</f>
        <v>455335</v>
      </c>
      <c r="O18" s="22">
        <f t="shared" si="2"/>
        <v>10</v>
      </c>
      <c r="P18" s="22">
        <f t="shared" si="3"/>
        <v>10</v>
      </c>
      <c r="Q18" t="s">
        <v>80</v>
      </c>
      <c r="R18" s="18">
        <f>SUMIF(SylipTable3[Country],$Q18,SylipTable3[Total Revenue])</f>
        <v>197883.4</v>
      </c>
      <c r="S18" s="18">
        <f>SUMIF(SylipTable3[Country],'Data Prep'!Q18,SylipTable3[Total Profit])</f>
        <v>85223.58</v>
      </c>
      <c r="T18" s="22">
        <f t="shared" si="4"/>
        <v>22</v>
      </c>
      <c r="U18" s="22">
        <f t="shared" si="5"/>
        <v>4</v>
      </c>
      <c r="V18" s="22"/>
      <c r="W18" s="22"/>
      <c r="X18" s="22"/>
      <c r="Y18" s="18"/>
      <c r="Z18" s="18"/>
    </row>
    <row r="19" spans="1:27" x14ac:dyDescent="0.3">
      <c r="G19"/>
      <c r="I19" t="s">
        <v>22</v>
      </c>
      <c r="L19" t="str">
        <v>Slovakia</v>
      </c>
      <c r="M19" s="18">
        <f>SUMIF(SylipTable3[Country],$L19,SylipTable3[Total Revenue])</f>
        <v>26344.26</v>
      </c>
      <c r="N19" s="18">
        <f>SUMIF(SylipTable3[Country],'Data Prep'!L19,SylipTable3[Total Profit])</f>
        <v>10795.23</v>
      </c>
      <c r="O19" s="22">
        <f t="shared" si="2"/>
        <v>19</v>
      </c>
      <c r="P19" s="22">
        <f t="shared" si="3"/>
        <v>1</v>
      </c>
      <c r="Q19" t="s">
        <v>83</v>
      </c>
      <c r="R19" s="18">
        <f>SUMIF(SylipTable3[Country],$Q19,SylipTable3[Total Revenue])</f>
        <v>824431.86</v>
      </c>
      <c r="S19" s="18">
        <f>SUMIF(SylipTable3[Country],'Data Prep'!Q19,SylipTable3[Total Profit])</f>
        <v>159832.5</v>
      </c>
      <c r="T19" s="22">
        <f t="shared" si="4"/>
        <v>11</v>
      </c>
      <c r="U19" s="22">
        <f t="shared" si="5"/>
        <v>15</v>
      </c>
      <c r="V19" s="22"/>
      <c r="W19" s="22" t="s">
        <v>127</v>
      </c>
      <c r="X19" s="22" t="s">
        <v>131</v>
      </c>
      <c r="Y19" s="18" t="s">
        <v>120</v>
      </c>
      <c r="Z19" s="18" t="s">
        <v>121</v>
      </c>
    </row>
    <row r="20" spans="1:27" x14ac:dyDescent="0.3">
      <c r="G20"/>
      <c r="I20" t="s">
        <v>101</v>
      </c>
      <c r="L20" t="str">
        <v>Slovenia</v>
      </c>
      <c r="M20" s="18">
        <f>SUMIF(SylipTable3[Country],$L20,SylipTable3[Total Revenue])</f>
        <v>221117</v>
      </c>
      <c r="N20" s="18">
        <f>SUMIF(SylipTable3[Country],'Data Prep'!L20,SylipTable3[Total Profit])</f>
        <v>72975.600000000006</v>
      </c>
      <c r="O20" s="22">
        <f t="shared" si="2"/>
        <v>17</v>
      </c>
      <c r="P20" s="22">
        <f t="shared" si="3"/>
        <v>3</v>
      </c>
      <c r="Q20" t="s">
        <v>85</v>
      </c>
      <c r="R20" s="18">
        <f>SUMIF(SylipTable3[Country],$Q20,SylipTable3[Total Revenue])</f>
        <v>89623.98</v>
      </c>
      <c r="S20" s="18">
        <f>SUMIF(SylipTable3[Country],'Data Prep'!Q20,SylipTable3[Total Profit])</f>
        <v>23150.46</v>
      </c>
      <c r="T20" s="22">
        <f t="shared" si="4"/>
        <v>25</v>
      </c>
      <c r="U20" s="22">
        <f t="shared" si="5"/>
        <v>1</v>
      </c>
      <c r="V20" s="22"/>
      <c r="W20" s="22">
        <v>1</v>
      </c>
      <c r="X20" s="23" t="str">
        <f>INDEX($Q$5:$S$29,MATCH($W20,$T$5:$T$29,0),MATCH(X$19,$Q$4:$S$4,0))</f>
        <v>Djibouti</v>
      </c>
      <c r="Y20" s="23">
        <f t="shared" ref="Y20:Z24" si="9">INDEX($Q$5:$S$29,MATCH($W20,$T$5:$T$29,0),MATCH(Y$19,$Q$4:$S$4,0))</f>
        <v>6052890.8600000003</v>
      </c>
      <c r="Z20" s="23">
        <f t="shared" si="9"/>
        <v>2425317.87</v>
      </c>
    </row>
    <row r="21" spans="1:27" x14ac:dyDescent="0.3">
      <c r="G21"/>
      <c r="L21" t="str">
        <v>Spain</v>
      </c>
      <c r="M21" s="18">
        <f>SUMIF(SylipTable3[Country],$L21,SylipTable3[Total Revenue])</f>
        <v>3015902.51</v>
      </c>
      <c r="N21" s="18">
        <f>SUMIF(SylipTable3[Country],'Data Prep'!L21,SylipTable3[Total Profit])</f>
        <v>747939.49</v>
      </c>
      <c r="O21" s="22">
        <f t="shared" si="2"/>
        <v>5</v>
      </c>
      <c r="P21" s="22">
        <f t="shared" si="3"/>
        <v>15</v>
      </c>
      <c r="Q21" t="s">
        <v>87</v>
      </c>
      <c r="R21" s="18">
        <f>SUMIF(SylipTable3[Country],$Q21,SylipTable3[Total Revenue])</f>
        <v>3097359.1500000004</v>
      </c>
      <c r="S21" s="18">
        <f>SUMIF(SylipTable3[Country],'Data Prep'!Q21,SylipTable3[Total Profit])</f>
        <v>649879.30000000005</v>
      </c>
      <c r="T21" s="22">
        <f t="shared" si="4"/>
        <v>6</v>
      </c>
      <c r="U21" s="22">
        <f t="shared" si="5"/>
        <v>20</v>
      </c>
      <c r="V21" s="22"/>
      <c r="W21" s="22">
        <v>2</v>
      </c>
      <c r="X21" s="22" t="str">
        <f t="shared" ref="X21:X24" si="10">INDEX($Q$5:$S$29,MATCH($W21,$T$5:$T$29,0),MATCH(X$19,$Q$4:$S$4,0))</f>
        <v>The Gambia</v>
      </c>
      <c r="Y21" s="23">
        <f t="shared" si="9"/>
        <v>5449517.9499999993</v>
      </c>
      <c r="Z21" s="23">
        <f t="shared" si="9"/>
        <v>1385883.27</v>
      </c>
    </row>
    <row r="22" spans="1:27" x14ac:dyDescent="0.3">
      <c r="G22"/>
      <c r="L22" t="str">
        <v>Switzerland</v>
      </c>
      <c r="M22" s="18">
        <f>SUMIF(SylipTable3[Country],$L22,SylipTable3[Total Revenue])</f>
        <v>3808901.49</v>
      </c>
      <c r="N22" s="18">
        <f>SUMIF(SylipTable3[Country],'Data Prep'!L22,SylipTable3[Total Profit])</f>
        <v>1512729.45</v>
      </c>
      <c r="O22" s="22">
        <f t="shared" si="2"/>
        <v>3</v>
      </c>
      <c r="P22" s="22">
        <f t="shared" si="3"/>
        <v>17</v>
      </c>
      <c r="Q22" t="s">
        <v>32</v>
      </c>
      <c r="R22" s="18">
        <f>SUMIF(SylipTable3[Country],$Q22,SylipTable3[Total Revenue])</f>
        <v>565780.91999999993</v>
      </c>
      <c r="S22" s="18">
        <f>SUMIF(SylipTable3[Country],'Data Prep'!Q22,SylipTable3[Total Profit])</f>
        <v>176193.13</v>
      </c>
      <c r="T22" s="22">
        <f t="shared" si="4"/>
        <v>15.5</v>
      </c>
      <c r="U22" s="22">
        <f t="shared" si="5"/>
        <v>10.5</v>
      </c>
      <c r="V22" s="22"/>
      <c r="W22" s="22">
        <v>3</v>
      </c>
      <c r="X22" s="22" t="str">
        <f t="shared" si="10"/>
        <v>Rwanda</v>
      </c>
      <c r="Y22" s="23">
        <f t="shared" si="9"/>
        <v>5253769.42</v>
      </c>
      <c r="Z22" s="23">
        <f t="shared" si="9"/>
        <v>1417493.49</v>
      </c>
    </row>
    <row r="23" spans="1:27" x14ac:dyDescent="0.3">
      <c r="G23"/>
      <c r="L23" t="str">
        <v>United Kingdom</v>
      </c>
      <c r="M23" s="18">
        <f>SUMIF(SylipTable3[Country],$L23,SylipTable3[Total Revenue])</f>
        <v>188452.14</v>
      </c>
      <c r="N23" s="18">
        <f>SUMIF(SylipTable3[Country],'Data Prep'!L23,SylipTable3[Total Profit])</f>
        <v>46735.86</v>
      </c>
      <c r="O23" s="22">
        <f t="shared" si="2"/>
        <v>18</v>
      </c>
      <c r="P23" s="22">
        <f t="shared" si="3"/>
        <v>2</v>
      </c>
      <c r="Q23" t="s">
        <v>88</v>
      </c>
      <c r="R23" s="18">
        <f>SUMIF(SylipTable3[Country],$Q23,SylipTable3[Total Revenue])</f>
        <v>380512.96</v>
      </c>
      <c r="S23" s="18">
        <f>SUMIF(SylipTable3[Country],'Data Prep'!Q23,SylipTable3[Total Profit])</f>
        <v>255718.08</v>
      </c>
      <c r="T23" s="22">
        <f t="shared" si="4"/>
        <v>19</v>
      </c>
      <c r="U23" s="22">
        <f t="shared" si="5"/>
        <v>7</v>
      </c>
      <c r="V23" s="22"/>
      <c r="W23" s="22">
        <v>4</v>
      </c>
      <c r="X23" s="22" t="str">
        <f t="shared" si="10"/>
        <v>Cameroon</v>
      </c>
      <c r="Y23" s="23">
        <f>INDEX($Q$5:$S$29,MATCH($W23,$T$5:$T$29,0),MATCH(Y$19,$Q$4:$S$4,0))</f>
        <v>3851030.28</v>
      </c>
      <c r="Z23" s="23">
        <f t="shared" si="9"/>
        <v>781681.3</v>
      </c>
    </row>
    <row r="24" spans="1:27" x14ac:dyDescent="0.3">
      <c r="G24"/>
      <c r="N24" s="18"/>
      <c r="O24" s="22"/>
      <c r="P24" s="22"/>
      <c r="Q24" t="s">
        <v>95</v>
      </c>
      <c r="R24" s="18">
        <f>SUMIF(SylipTable3[Country],$Q24,SylipTable3[Total Revenue])</f>
        <v>707454.88</v>
      </c>
      <c r="S24" s="18">
        <f>SUMIF(SylipTable3[Country],'Data Prep'!Q24,SylipTable3[Total Profit])</f>
        <v>216919.36</v>
      </c>
      <c r="T24" s="22">
        <f t="shared" si="4"/>
        <v>13</v>
      </c>
      <c r="U24" s="22">
        <f t="shared" si="5"/>
        <v>13</v>
      </c>
      <c r="V24" s="22"/>
      <c r="W24" s="22">
        <v>5</v>
      </c>
      <c r="X24" s="22" t="str">
        <f t="shared" si="10"/>
        <v>Mozambique</v>
      </c>
      <c r="Y24" s="23">
        <f t="shared" si="9"/>
        <v>3586605.09</v>
      </c>
      <c r="Z24" s="23">
        <f t="shared" si="9"/>
        <v>889472.91</v>
      </c>
    </row>
    <row r="25" spans="1:27" x14ac:dyDescent="0.3">
      <c r="G25"/>
      <c r="N25" s="18"/>
      <c r="O25" s="22"/>
      <c r="P25" s="22"/>
      <c r="Q25" t="s">
        <v>98</v>
      </c>
      <c r="R25" s="18">
        <f>SUMIF(SylipTable3[Country],$Q25,SylipTable3[Total Revenue])</f>
        <v>802333.76</v>
      </c>
      <c r="S25" s="18">
        <f>SUMIF(SylipTable3[Country],'Data Prep'!Q25,SylipTable3[Total Profit])</f>
        <v>539196.48</v>
      </c>
      <c r="T25" s="22">
        <f t="shared" si="4"/>
        <v>12</v>
      </c>
      <c r="U25" s="22">
        <f t="shared" si="5"/>
        <v>14</v>
      </c>
      <c r="V25" s="22"/>
      <c r="W25" s="22"/>
      <c r="X25" s="22"/>
      <c r="Y25" s="18"/>
      <c r="Z25" s="18"/>
      <c r="AA25" s="18"/>
    </row>
    <row r="26" spans="1:27" x14ac:dyDescent="0.3">
      <c r="G26"/>
      <c r="N26" s="18"/>
      <c r="O26" s="22"/>
      <c r="P26" s="22"/>
      <c r="Q26" t="s">
        <v>99</v>
      </c>
      <c r="R26" s="18">
        <f>SUMIF(SylipTable3[Country],$Q26,SylipTable3[Total Revenue])</f>
        <v>272410.45</v>
      </c>
      <c r="S26" s="18">
        <f>SUMIF(SylipTable3[Country],'Data Prep'!Q26,SylipTable3[Total Profit])</f>
        <v>89904.06</v>
      </c>
      <c r="T26" s="22">
        <f t="shared" si="4"/>
        <v>20</v>
      </c>
      <c r="U26" s="22">
        <f t="shared" si="5"/>
        <v>6</v>
      </c>
      <c r="V26" s="22"/>
      <c r="W26" s="22"/>
      <c r="X26" s="22"/>
      <c r="Y26" s="18"/>
      <c r="Z26" s="18"/>
      <c r="AA26" s="18"/>
    </row>
    <row r="27" spans="1:27" x14ac:dyDescent="0.3">
      <c r="G27"/>
      <c r="N27" s="18"/>
      <c r="O27" s="22"/>
      <c r="P27" s="22"/>
      <c r="Q27" t="s">
        <v>110</v>
      </c>
      <c r="R27" s="18">
        <f>SUMIF(SylipTable3[Country],$Q27,SylipTable3[Total Revenue])</f>
        <v>623289.30000000005</v>
      </c>
      <c r="S27" s="18">
        <f>SUMIF(SylipTable3[Country],'Data Prep'!Q27,SylipTable3[Total Profit])</f>
        <v>225246.9</v>
      </c>
      <c r="T27" s="22">
        <f t="shared" si="4"/>
        <v>14</v>
      </c>
      <c r="U27" s="22">
        <f t="shared" si="5"/>
        <v>12</v>
      </c>
      <c r="V27" s="22"/>
      <c r="W27" s="22" t="s">
        <v>127</v>
      </c>
      <c r="X27" s="22" t="s">
        <v>131</v>
      </c>
      <c r="Y27" s="18" t="s">
        <v>120</v>
      </c>
      <c r="Z27" s="18" t="s">
        <v>121</v>
      </c>
      <c r="AA27" s="18"/>
    </row>
    <row r="28" spans="1:27" x14ac:dyDescent="0.3">
      <c r="G28"/>
      <c r="N28" s="18"/>
      <c r="O28" s="22"/>
      <c r="P28" s="22"/>
      <c r="Q28" t="s">
        <v>111</v>
      </c>
      <c r="R28" s="18">
        <f>SUMIF(SylipTable3[Country],$Q28,SylipTable3[Total Revenue])</f>
        <v>994765.42</v>
      </c>
      <c r="S28" s="18">
        <f>SUMIF(SylipTable3[Country],'Data Prep'!Q28,SylipTable3[Total Profit])</f>
        <v>407630.41</v>
      </c>
      <c r="T28" s="22">
        <f t="shared" si="4"/>
        <v>10</v>
      </c>
      <c r="U28" s="22">
        <f t="shared" si="5"/>
        <v>16</v>
      </c>
      <c r="V28" s="22"/>
      <c r="W28" s="22">
        <v>1</v>
      </c>
      <c r="X28" s="22" t="str">
        <f>INDEX($Q$5:$S$29,MATCH($W28,$U$5:$U$29,0),MATCH(X$27,$Q$4:$S$4,0))</f>
        <v>Lesotho</v>
      </c>
      <c r="Y28" s="18">
        <f t="shared" ref="Y28:Z32" si="11">INDEX($Q$5:$S$29,MATCH($W28,$U$5:$U$29,0),MATCH(Y$27,$Q$4:$S$4,0))</f>
        <v>89623.98</v>
      </c>
      <c r="Z28" s="18">
        <f t="shared" si="11"/>
        <v>23150.46</v>
      </c>
      <c r="AA28" s="18"/>
    </row>
    <row r="29" spans="1:27" x14ac:dyDescent="0.3">
      <c r="G29"/>
      <c r="N29" s="18"/>
      <c r="O29" s="22"/>
      <c r="P29" s="22"/>
      <c r="Q29" t="s">
        <v>117</v>
      </c>
      <c r="R29" s="18">
        <f>SUMIF(SylipTable3[Country],$Q29,SylipTable3[Total Revenue])</f>
        <v>3586605.09</v>
      </c>
      <c r="S29" s="18">
        <f>SUMIF(SylipTable3[Country],'Data Prep'!Q29,SylipTable3[Total Profit])</f>
        <v>889472.91</v>
      </c>
      <c r="T29" s="22">
        <f t="shared" si="4"/>
        <v>5</v>
      </c>
      <c r="U29" s="22">
        <f t="shared" si="5"/>
        <v>21</v>
      </c>
      <c r="V29" s="22"/>
      <c r="W29" s="22">
        <v>2</v>
      </c>
      <c r="X29" s="22" t="str">
        <f t="shared" ref="X29:X32" si="12">INDEX($Q$5:$S$29,MATCH($W29,$U$5:$U$29,0),MATCH(X$27,$Q$4:$S$4,0))</f>
        <v>Mali</v>
      </c>
      <c r="Y29" s="18">
        <f t="shared" si="11"/>
        <v>151359.9</v>
      </c>
      <c r="Z29" s="18">
        <f t="shared" si="11"/>
        <v>79245.740000000005</v>
      </c>
      <c r="AA29" s="18"/>
    </row>
    <row r="30" spans="1:27" x14ac:dyDescent="0.3">
      <c r="G30"/>
      <c r="W30">
        <v>3</v>
      </c>
      <c r="X30" s="22" t="str">
        <f t="shared" si="12"/>
        <v>South Sudan</v>
      </c>
      <c r="Y30" s="18">
        <f t="shared" si="11"/>
        <v>173676.25</v>
      </c>
      <c r="Z30" s="18">
        <f t="shared" si="11"/>
        <v>53252.5</v>
      </c>
      <c r="AA30" s="18"/>
    </row>
    <row r="31" spans="1:27" x14ac:dyDescent="0.3">
      <c r="G31"/>
      <c r="W31" s="22">
        <v>4</v>
      </c>
      <c r="X31" s="22" t="str">
        <f t="shared" si="12"/>
        <v>Comoros</v>
      </c>
      <c r="Y31" s="18">
        <f t="shared" si="11"/>
        <v>197883.4</v>
      </c>
      <c r="Z31" s="18">
        <f t="shared" si="11"/>
        <v>85223.58</v>
      </c>
      <c r="AA31" s="18"/>
    </row>
    <row r="32" spans="1:27" x14ac:dyDescent="0.3">
      <c r="G32"/>
      <c r="W32" s="22">
        <v>5</v>
      </c>
      <c r="X32" s="22" t="str">
        <f t="shared" si="12"/>
        <v>Niger</v>
      </c>
      <c r="Y32" s="18">
        <f t="shared" si="11"/>
        <v>246415.95</v>
      </c>
      <c r="Z32" s="18">
        <f t="shared" si="11"/>
        <v>75555.899999999994</v>
      </c>
      <c r="AA32" s="18"/>
    </row>
    <row r="33" spans="7:7" x14ac:dyDescent="0.3">
      <c r="G33"/>
    </row>
    <row r="34" spans="7:7" x14ac:dyDescent="0.3">
      <c r="G34"/>
    </row>
    <row r="35" spans="7:7" x14ac:dyDescent="0.3">
      <c r="G35"/>
    </row>
    <row r="36" spans="7:7" x14ac:dyDescent="0.3">
      <c r="G36"/>
    </row>
    <row r="37" spans="7:7" x14ac:dyDescent="0.3">
      <c r="G37"/>
    </row>
    <row r="38" spans="7:7" x14ac:dyDescent="0.3">
      <c r="G38"/>
    </row>
    <row r="39" spans="7:7" x14ac:dyDescent="0.3">
      <c r="G39"/>
    </row>
    <row r="40" spans="7:7" x14ac:dyDescent="0.3">
      <c r="G40"/>
    </row>
    <row r="41" spans="7:7" x14ac:dyDescent="0.3">
      <c r="G41"/>
    </row>
    <row r="42" spans="7:7" x14ac:dyDescent="0.3">
      <c r="G42"/>
    </row>
    <row r="43" spans="7:7" x14ac:dyDescent="0.3">
      <c r="G43"/>
    </row>
    <row r="44" spans="7:7" x14ac:dyDescent="0.3">
      <c r="G44"/>
    </row>
    <row r="45" spans="7:7" x14ac:dyDescent="0.3">
      <c r="G45"/>
    </row>
    <row r="46" spans="7:7" x14ac:dyDescent="0.3">
      <c r="G46"/>
    </row>
    <row r="47" spans="7:7" x14ac:dyDescent="0.3">
      <c r="G47"/>
    </row>
    <row r="48" spans="7:7" x14ac:dyDescent="0.3">
      <c r="G48"/>
    </row>
    <row r="49" spans="7:7" x14ac:dyDescent="0.3">
      <c r="G49"/>
    </row>
    <row r="50" spans="7:7" x14ac:dyDescent="0.3">
      <c r="G50"/>
    </row>
    <row r="51" spans="7:7" x14ac:dyDescent="0.3">
      <c r="G51"/>
    </row>
    <row r="52" spans="7:7" x14ac:dyDescent="0.3">
      <c r="G52"/>
    </row>
    <row r="53" spans="7:7" x14ac:dyDescent="0.3">
      <c r="G53"/>
    </row>
    <row r="54" spans="7:7" x14ac:dyDescent="0.3">
      <c r="G54"/>
    </row>
    <row r="55" spans="7:7" x14ac:dyDescent="0.3">
      <c r="G55"/>
    </row>
    <row r="56" spans="7:7" x14ac:dyDescent="0.3">
      <c r="G56"/>
    </row>
    <row r="57" spans="7:7" x14ac:dyDescent="0.3">
      <c r="G57"/>
    </row>
    <row r="58" spans="7:7" x14ac:dyDescent="0.3">
      <c r="G58"/>
    </row>
    <row r="59" spans="7:7" x14ac:dyDescent="0.3">
      <c r="G59"/>
    </row>
    <row r="60" spans="7:7" x14ac:dyDescent="0.3">
      <c r="G60"/>
    </row>
    <row r="61" spans="7:7" x14ac:dyDescent="0.3">
      <c r="G61"/>
    </row>
    <row r="62" spans="7:7" x14ac:dyDescent="0.3">
      <c r="G62"/>
    </row>
    <row r="63" spans="7:7" x14ac:dyDescent="0.3">
      <c r="G63"/>
    </row>
    <row r="64" spans="7:7" x14ac:dyDescent="0.3">
      <c r="G64"/>
    </row>
    <row r="65" spans="7:7" x14ac:dyDescent="0.3">
      <c r="G65"/>
    </row>
    <row r="66" spans="7:7" x14ac:dyDescent="0.3">
      <c r="G66"/>
    </row>
    <row r="67" spans="7:7" x14ac:dyDescent="0.3">
      <c r="G67"/>
    </row>
    <row r="68" spans="7:7" x14ac:dyDescent="0.3">
      <c r="G68"/>
    </row>
    <row r="69" spans="7:7" x14ac:dyDescent="0.3">
      <c r="G69"/>
    </row>
    <row r="70" spans="7:7" x14ac:dyDescent="0.3">
      <c r="G70"/>
    </row>
    <row r="71" spans="7:7" x14ac:dyDescent="0.3">
      <c r="G71"/>
    </row>
    <row r="72" spans="7:7" x14ac:dyDescent="0.3">
      <c r="G72"/>
    </row>
    <row r="73" spans="7:7" x14ac:dyDescent="0.3">
      <c r="G73"/>
    </row>
    <row r="74" spans="7:7" x14ac:dyDescent="0.3">
      <c r="G74"/>
    </row>
    <row r="75" spans="7:7" x14ac:dyDescent="0.3">
      <c r="G75"/>
    </row>
    <row r="76" spans="7:7" x14ac:dyDescent="0.3">
      <c r="G76"/>
    </row>
    <row r="77" spans="7:7" x14ac:dyDescent="0.3">
      <c r="G77"/>
    </row>
    <row r="78" spans="7:7" x14ac:dyDescent="0.3">
      <c r="G78"/>
    </row>
    <row r="79" spans="7:7" x14ac:dyDescent="0.3">
      <c r="G79"/>
    </row>
    <row r="80" spans="7:7" x14ac:dyDescent="0.3">
      <c r="G80"/>
    </row>
    <row r="81" spans="7:7" x14ac:dyDescent="0.3">
      <c r="G81"/>
    </row>
    <row r="82" spans="7:7" x14ac:dyDescent="0.3">
      <c r="G82"/>
    </row>
    <row r="83" spans="7:7" x14ac:dyDescent="0.3">
      <c r="G83"/>
    </row>
    <row r="84" spans="7:7" x14ac:dyDescent="0.3">
      <c r="G84"/>
    </row>
    <row r="85" spans="7:7" x14ac:dyDescent="0.3">
      <c r="G85"/>
    </row>
    <row r="86" spans="7:7" x14ac:dyDescent="0.3">
      <c r="G86"/>
    </row>
    <row r="87" spans="7:7" x14ac:dyDescent="0.3">
      <c r="G87"/>
    </row>
    <row r="88" spans="7:7" x14ac:dyDescent="0.3">
      <c r="G88"/>
    </row>
    <row r="89" spans="7:7" x14ac:dyDescent="0.3">
      <c r="G89"/>
    </row>
    <row r="90" spans="7:7" x14ac:dyDescent="0.3">
      <c r="G90"/>
    </row>
    <row r="91" spans="7:7" x14ac:dyDescent="0.3">
      <c r="G91"/>
    </row>
    <row r="92" spans="7:7" x14ac:dyDescent="0.3">
      <c r="G92"/>
    </row>
    <row r="93" spans="7:7" x14ac:dyDescent="0.3">
      <c r="G93"/>
    </row>
    <row r="94" spans="7:7" x14ac:dyDescent="0.3">
      <c r="G94"/>
    </row>
    <row r="95" spans="7:7" x14ac:dyDescent="0.3">
      <c r="G95"/>
    </row>
    <row r="96" spans="7:7" x14ac:dyDescent="0.3">
      <c r="G96"/>
    </row>
    <row r="97" spans="7:7" x14ac:dyDescent="0.3">
      <c r="G97"/>
    </row>
    <row r="98" spans="7:7" x14ac:dyDescent="0.3">
      <c r="G98"/>
    </row>
    <row r="99" spans="7:7" x14ac:dyDescent="0.3">
      <c r="G99"/>
    </row>
    <row r="100" spans="7:7" x14ac:dyDescent="0.3">
      <c r="G100"/>
    </row>
    <row r="101" spans="7:7" x14ac:dyDescent="0.3">
      <c r="G101"/>
    </row>
    <row r="102" spans="7:7" x14ac:dyDescent="0.3">
      <c r="G102"/>
    </row>
  </sheetData>
  <sortState xmlns:xlrd2="http://schemas.microsoft.com/office/spreadsheetml/2017/richdata2" ref="AC2:AC13">
    <sortCondition descending="1" ref="AC2:AC13"/>
  </sortState>
  <conditionalFormatting sqref="L5:M23">
    <cfRule type="top10" dxfId="4" priority="5" rank="5"/>
  </conditionalFormatting>
  <conditionalFormatting sqref="Q5:Q29">
    <cfRule type="top10" dxfId="3" priority="4" rank="5"/>
  </conditionalFormatting>
  <conditionalFormatting sqref="R5:R29">
    <cfRule type="top10" dxfId="2" priority="3" rank="5"/>
  </conditionalFormatting>
  <conditionalFormatting sqref="N5:P29">
    <cfRule type="top10" dxfId="1" priority="2" rank="5"/>
  </conditionalFormatting>
  <conditionalFormatting sqref="S10:AA14 AE1:AE2 S20:X24 Z20:Z24 W31:W32 S29:W29 S25:AA28 X29:AA32 S5:X9 Z5:AA9 S15:Z19">
    <cfRule type="top10" dxfId="0" priority="1" rank="5"/>
  </conditionalFormatting>
  <dataValidations count="1">
    <dataValidation type="list" allowBlank="1" showInputMessage="1" showErrorMessage="1" sqref="B2" xr:uid="{E9AB43CD-761B-4FA6-A054-4A773C5AAB21}">
      <formula1>$A$2:$A$8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Sheet1</vt:lpstr>
      <vt:lpstr>Working</vt:lpstr>
      <vt:lpstr>Data 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MAINSTAY</cp:lastModifiedBy>
  <cp:lastPrinted>2024-02-08T12:12:34Z</cp:lastPrinted>
  <dcterms:created xsi:type="dcterms:W3CDTF">2024-01-03T00:07:04Z</dcterms:created>
  <dcterms:modified xsi:type="dcterms:W3CDTF">2024-02-08T12:30:46Z</dcterms:modified>
</cp:coreProperties>
</file>