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defaultThemeVersion="124226"/>
  <mc:AlternateContent xmlns:mc="http://schemas.openxmlformats.org/markup-compatibility/2006">
    <mc:Choice Requires="x15">
      <x15ac:absPath xmlns:x15ac="http://schemas.microsoft.com/office/spreadsheetml/2010/11/ac" url="C:\Work\i.MX\m850d\4.customer\gianluca\"/>
    </mc:Choice>
  </mc:AlternateContent>
  <xr:revisionPtr revIDLastSave="0" documentId="13_ncr:1_{AA5A7CFD-FF11-4FC8-8800-CD12D48F4152}" xr6:coauthVersionLast="44" xr6:coauthVersionMax="44" xr10:uidLastSave="{00000000-0000-0000-0000-000000000000}"/>
  <bookViews>
    <workbookView xWindow="22932" yWindow="-108" windowWidth="23256" windowHeight="12576" firstSheet="1" activeTab="2" xr2:uid="{00000000-000D-0000-FFFF-FFFF00000000}"/>
  </bookViews>
  <sheets>
    <sheet name="How To Use" sheetId="4" r:id="rId1"/>
    <sheet name="Revision History" sheetId="7" r:id="rId2"/>
    <sheet name="Register Configuration" sheetId="1" r:id="rId3"/>
    <sheet name="BoardDataBusConfig" sheetId="11" r:id="rId4"/>
    <sheet name="DDR stress test file" sheetId="10" r:id="rId5"/>
  </sheets>
  <definedNames>
    <definedName name="_xlnm._FilterDatabase" localSheetId="2" hidden="1">'Register Configuration'!#REF!</definedName>
    <definedName name="BusWidth">'Register Configuration'!$AC$4:$AC$5</definedName>
    <definedName name="DDRTypes">'Register Configuration'!$AA$4:$AA$6</definedName>
    <definedName name="_xlnm.Print_Area" localSheetId="2">'Register Configuration'!$B$47:$F$589</definedName>
    <definedName name="RowBankInterleavingOption">'Register Configuration'!$AA$9:$AA$10</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23" i="1" l="1"/>
  <c r="D179" i="1" l="1"/>
  <c r="D518" i="1" s="1"/>
  <c r="C96" i="1"/>
  <c r="C550" i="1" s="1"/>
  <c r="D81" i="1"/>
  <c r="D67" i="1"/>
  <c r="D394" i="1" l="1"/>
  <c r="C426" i="1"/>
  <c r="D167" i="1"/>
  <c r="H541" i="1" l="1"/>
  <c r="H506" i="1"/>
  <c r="H502" i="1"/>
  <c r="D23" i="10" l="1"/>
  <c r="B23" i="10"/>
  <c r="B22" i="10"/>
  <c r="B21" i="10"/>
  <c r="B20" i="10"/>
  <c r="B19" i="10"/>
  <c r="E23" i="10"/>
  <c r="E22" i="10"/>
  <c r="E21" i="10"/>
  <c r="E20" i="10"/>
  <c r="E19" i="10"/>
  <c r="D24" i="10"/>
  <c r="C478" i="1" l="1"/>
  <c r="C354" i="1"/>
  <c r="D42" i="10" l="1"/>
  <c r="D528" i="1" l="1"/>
  <c r="D527" i="1"/>
  <c r="D404" i="1"/>
  <c r="D403" i="1"/>
  <c r="C124" i="1" l="1"/>
  <c r="H382" i="1"/>
  <c r="H378" i="1"/>
  <c r="N126" i="1" l="1"/>
  <c r="C352" i="1"/>
  <c r="D529" i="1"/>
  <c r="D405" i="1"/>
  <c r="AF6" i="1"/>
  <c r="A278" i="10"/>
  <c r="A277" i="10"/>
  <c r="A276" i="10"/>
  <c r="A275" i="10"/>
  <c r="A274" i="10"/>
  <c r="A273" i="10"/>
  <c r="A272" i="10"/>
  <c r="A271" i="10"/>
  <c r="A270" i="10"/>
  <c r="A268" i="10"/>
  <c r="A267" i="10"/>
  <c r="A266" i="10"/>
  <c r="A265" i="10"/>
  <c r="A264" i="10"/>
  <c r="A263" i="10"/>
  <c r="A262" i="10"/>
  <c r="A261" i="10"/>
  <c r="A260" i="10"/>
  <c r="A259" i="10"/>
  <c r="A258" i="10"/>
  <c r="A257" i="10"/>
  <c r="A256" i="10"/>
  <c r="A131" i="10"/>
  <c r="A130" i="10"/>
  <c r="A129" i="10"/>
  <c r="A128" i="10"/>
  <c r="A127" i="10"/>
  <c r="A126" i="10"/>
  <c r="A125" i="10"/>
  <c r="A124" i="10"/>
  <c r="A123" i="10"/>
  <c r="A122" i="10"/>
  <c r="A121" i="10"/>
  <c r="A120" i="10"/>
  <c r="A119" i="10"/>
  <c r="A118" i="10"/>
  <c r="A117" i="10"/>
  <c r="A116" i="10"/>
  <c r="A115" i="10"/>
  <c r="A114" i="10"/>
  <c r="A113" i="10"/>
  <c r="A112" i="10"/>
  <c r="A111" i="10"/>
  <c r="A110" i="10"/>
  <c r="A109" i="10"/>
  <c r="A108" i="10"/>
  <c r="A157" i="10"/>
  <c r="A156" i="10"/>
  <c r="A155" i="10"/>
  <c r="A154" i="10"/>
  <c r="A153" i="10"/>
  <c r="A152" i="10"/>
  <c r="A151" i="10"/>
  <c r="A150" i="10"/>
  <c r="A149" i="10"/>
  <c r="A148" i="10"/>
  <c r="A147" i="10"/>
  <c r="A146" i="10"/>
  <c r="A145" i="10"/>
  <c r="A144" i="10"/>
  <c r="A143" i="10"/>
  <c r="A142" i="10"/>
  <c r="A141" i="10"/>
  <c r="A140" i="10"/>
  <c r="A139" i="10"/>
  <c r="A138" i="10"/>
  <c r="A137" i="10"/>
  <c r="A136" i="10"/>
  <c r="A135" i="10"/>
  <c r="A134" i="10"/>
  <c r="D281" i="10"/>
  <c r="D282" i="10" s="1"/>
  <c r="D273" i="10"/>
  <c r="B125" i="10"/>
  <c r="B124" i="10"/>
  <c r="E333" i="1"/>
  <c r="E334" i="1"/>
  <c r="E335" i="1"/>
  <c r="E336" i="1"/>
  <c r="E337" i="1"/>
  <c r="H333" i="1"/>
  <c r="B171" i="10" s="1"/>
  <c r="E338" i="1"/>
  <c r="E330" i="1"/>
  <c r="E329" i="1"/>
  <c r="E328" i="1"/>
  <c r="E327" i="1"/>
  <c r="E326" i="1"/>
  <c r="E331" i="1"/>
  <c r="H326" i="1"/>
  <c r="B169" i="10" s="1"/>
  <c r="H59" i="1"/>
  <c r="B57" i="10" s="1"/>
  <c r="E59" i="1"/>
  <c r="I59" i="1" s="1"/>
  <c r="D57" i="10" s="1"/>
  <c r="I333" i="1" l="1"/>
  <c r="D171" i="10" s="1"/>
  <c r="I326" i="1"/>
  <c r="D169" i="10" s="1"/>
  <c r="H293" i="1" l="1"/>
  <c r="B162" i="10" s="1"/>
  <c r="E294" i="1"/>
  <c r="E293" i="1"/>
  <c r="I293" i="1" s="1"/>
  <c r="D162" i="10" s="1"/>
  <c r="H527" i="1" l="1"/>
  <c r="B154" i="10" s="1"/>
  <c r="E545" i="1" l="1"/>
  <c r="E544" i="1"/>
  <c r="E542" i="1"/>
  <c r="B156" i="10"/>
  <c r="E541" i="1"/>
  <c r="D547" i="1"/>
  <c r="E547" i="1" s="1"/>
  <c r="H547" i="1"/>
  <c r="B157" i="10" s="1"/>
  <c r="D548" i="1"/>
  <c r="E548" i="1" s="1"/>
  <c r="E530" i="1"/>
  <c r="E529" i="1"/>
  <c r="E528" i="1"/>
  <c r="E527" i="1"/>
  <c r="H403" i="1"/>
  <c r="B128" i="10" s="1"/>
  <c r="C32" i="1"/>
  <c r="D426" i="1" s="1"/>
  <c r="C30" i="1"/>
  <c r="E406" i="1"/>
  <c r="E405" i="1"/>
  <c r="E404" i="1"/>
  <c r="E403" i="1"/>
  <c r="H417" i="1"/>
  <c r="B130" i="10" s="1"/>
  <c r="E421" i="1"/>
  <c r="E420" i="1"/>
  <c r="E418" i="1"/>
  <c r="E417" i="1"/>
  <c r="C506" i="1"/>
  <c r="D506" i="1" s="1"/>
  <c r="E506" i="1" s="1"/>
  <c r="D508" i="1"/>
  <c r="E508" i="1" s="1"/>
  <c r="D507" i="1"/>
  <c r="E507" i="1" s="1"/>
  <c r="B151" i="10"/>
  <c r="E504" i="1"/>
  <c r="B150" i="10"/>
  <c r="C382" i="1"/>
  <c r="C156" i="1"/>
  <c r="D384" i="1"/>
  <c r="E384" i="1" s="1"/>
  <c r="D383" i="1"/>
  <c r="E383" i="1" s="1"/>
  <c r="E380" i="1"/>
  <c r="H515" i="1"/>
  <c r="B134" i="10" s="1"/>
  <c r="E518" i="1"/>
  <c r="H391" i="1"/>
  <c r="B108" i="10" s="1"/>
  <c r="E394" i="1"/>
  <c r="A107" i="10"/>
  <c r="A289" i="10"/>
  <c r="A288" i="10"/>
  <c r="A287" i="10"/>
  <c r="A286" i="10"/>
  <c r="A285" i="10"/>
  <c r="A283" i="10"/>
  <c r="A284" i="10"/>
  <c r="A282" i="10"/>
  <c r="A281" i="10"/>
  <c r="C133" i="1" l="1"/>
  <c r="C135" i="1"/>
  <c r="C120" i="1"/>
  <c r="C116" i="1"/>
  <c r="C136" i="1"/>
  <c r="D181" i="1"/>
  <c r="C350" i="1"/>
  <c r="C364" i="1"/>
  <c r="C346" i="1"/>
  <c r="C363" i="1"/>
  <c r="C361" i="1"/>
  <c r="D396" i="1"/>
  <c r="I547" i="1"/>
  <c r="I506" i="1"/>
  <c r="D151" i="10" s="1"/>
  <c r="D63" i="1"/>
  <c r="D83" i="1" l="1"/>
  <c r="D279" i="1" l="1"/>
  <c r="D278" i="1" l="1"/>
  <c r="C617" i="1" s="1"/>
  <c r="D216" i="1" l="1"/>
  <c r="D217" i="1"/>
  <c r="C125" i="1" l="1"/>
  <c r="C353" i="1"/>
  <c r="D452" i="1"/>
  <c r="D576" i="1"/>
  <c r="D451" i="1"/>
  <c r="D575" i="1"/>
  <c r="D246" i="10" l="1"/>
  <c r="D226" i="1" l="1"/>
  <c r="D246" i="1"/>
  <c r="C631" i="1" l="1"/>
  <c r="E246" i="10" l="1"/>
  <c r="D240" i="10"/>
  <c r="H324" i="1" l="1"/>
  <c r="B177" i="10" s="1"/>
  <c r="E324" i="1"/>
  <c r="I324" i="1" s="1"/>
  <c r="D177" i="10" s="1"/>
  <c r="E320" i="1"/>
  <c r="E321" i="1"/>
  <c r="E322" i="1"/>
  <c r="H320" i="1"/>
  <c r="B176" i="10" s="1"/>
  <c r="E317" i="1"/>
  <c r="E318" i="1"/>
  <c r="H317" i="1"/>
  <c r="B175" i="10" s="1"/>
  <c r="E311" i="1"/>
  <c r="E312" i="1"/>
  <c r="E313" i="1"/>
  <c r="E314" i="1"/>
  <c r="E315" i="1"/>
  <c r="H311" i="1"/>
  <c r="B174" i="10" s="1"/>
  <c r="H306" i="1"/>
  <c r="B172" i="10" s="1"/>
  <c r="E306" i="1"/>
  <c r="E307" i="1"/>
  <c r="E308" i="1"/>
  <c r="E309" i="1"/>
  <c r="E302" i="1"/>
  <c r="E303" i="1"/>
  <c r="E304" i="1"/>
  <c r="H302" i="1"/>
  <c r="B170" i="10" s="1"/>
  <c r="H299" i="1"/>
  <c r="B164" i="10" s="1"/>
  <c r="E300" i="1"/>
  <c r="E299" i="1"/>
  <c r="E296" i="1"/>
  <c r="E297" i="1"/>
  <c r="H296" i="1"/>
  <c r="B163" i="10" s="1"/>
  <c r="H291" i="1"/>
  <c r="B161" i="10" s="1"/>
  <c r="E291" i="1"/>
  <c r="I291" i="1" s="1"/>
  <c r="D161" i="10" s="1"/>
  <c r="H284" i="1"/>
  <c r="B160" i="10" s="1"/>
  <c r="E284" i="1"/>
  <c r="E285" i="1"/>
  <c r="E286" i="1"/>
  <c r="E287" i="1"/>
  <c r="E288" i="1"/>
  <c r="E289" i="1"/>
  <c r="I299" i="1" l="1"/>
  <c r="D164" i="10" s="1"/>
  <c r="I302" i="1"/>
  <c r="D170" i="10" s="1"/>
  <c r="I320" i="1"/>
  <c r="D176" i="10" s="1"/>
  <c r="I317" i="1"/>
  <c r="D175" i="10" s="1"/>
  <c r="I311" i="1"/>
  <c r="D174" i="10" s="1"/>
  <c r="I306" i="1"/>
  <c r="D172" i="10" s="1"/>
  <c r="I296" i="1"/>
  <c r="D163" i="10" s="1"/>
  <c r="I284" i="1"/>
  <c r="D160" i="10" s="1"/>
  <c r="C633" i="1" l="1"/>
  <c r="D229" i="10" s="1"/>
  <c r="D237" i="10" l="1"/>
  <c r="D235" i="10"/>
  <c r="D69" i="1" l="1"/>
  <c r="D70" i="1"/>
  <c r="D71" i="1"/>
  <c r="A1" i="10" l="1"/>
  <c r="H575" i="1" l="1"/>
  <c r="B139" i="10" s="1"/>
  <c r="H568" i="1"/>
  <c r="B141" i="10" s="1"/>
  <c r="H563" i="1"/>
  <c r="B140" i="10" s="1"/>
  <c r="E588" i="1"/>
  <c r="E587" i="1"/>
  <c r="E586" i="1"/>
  <c r="E585" i="1"/>
  <c r="E584" i="1"/>
  <c r="E583" i="1"/>
  <c r="E582" i="1"/>
  <c r="E581" i="1"/>
  <c r="E580" i="1"/>
  <c r="E579" i="1"/>
  <c r="E578" i="1"/>
  <c r="E577" i="1"/>
  <c r="E576" i="1"/>
  <c r="E575" i="1"/>
  <c r="E573" i="1"/>
  <c r="E572" i="1"/>
  <c r="E571" i="1"/>
  <c r="E570" i="1"/>
  <c r="E569" i="1"/>
  <c r="E568" i="1"/>
  <c r="E566" i="1"/>
  <c r="E565" i="1"/>
  <c r="E564" i="1"/>
  <c r="E563" i="1"/>
  <c r="H553" i="1"/>
  <c r="B138" i="10" s="1"/>
  <c r="H550" i="1"/>
  <c r="B137" i="10" s="1"/>
  <c r="H534" i="1"/>
  <c r="B155" i="10" s="1"/>
  <c r="H522" i="1"/>
  <c r="B136" i="10" s="1"/>
  <c r="H520" i="1"/>
  <c r="B135" i="10" s="1"/>
  <c r="D560" i="1"/>
  <c r="D561" i="1" s="1"/>
  <c r="E561" i="1" s="1"/>
  <c r="E559" i="1"/>
  <c r="E558" i="1"/>
  <c r="E557" i="1"/>
  <c r="E556" i="1"/>
  <c r="E555" i="1"/>
  <c r="E553" i="1"/>
  <c r="D539" i="1"/>
  <c r="E539" i="1" s="1"/>
  <c r="E538" i="1"/>
  <c r="E537" i="1"/>
  <c r="D536" i="1"/>
  <c r="E536" i="1" s="1"/>
  <c r="E535" i="1"/>
  <c r="E534" i="1"/>
  <c r="E525" i="1"/>
  <c r="E524" i="1"/>
  <c r="E523" i="1"/>
  <c r="E522" i="1"/>
  <c r="H512" i="1"/>
  <c r="B153" i="10" s="1"/>
  <c r="H510" i="1"/>
  <c r="B152" i="10" s="1"/>
  <c r="H499" i="1"/>
  <c r="B149" i="10" s="1"/>
  <c r="H495" i="1"/>
  <c r="B148" i="10" s="1"/>
  <c r="H490" i="1"/>
  <c r="B147" i="10" s="1"/>
  <c r="H485" i="1"/>
  <c r="B146" i="10" s="1"/>
  <c r="H481" i="1"/>
  <c r="B145" i="10" s="1"/>
  <c r="D500" i="1"/>
  <c r="E500" i="1" s="1"/>
  <c r="D496" i="1"/>
  <c r="E496" i="1" s="1"/>
  <c r="D495" i="1"/>
  <c r="E495" i="1" s="1"/>
  <c r="D486" i="1"/>
  <c r="E486" i="1" s="1"/>
  <c r="D483" i="1"/>
  <c r="E483" i="1" s="1"/>
  <c r="I563" i="1" l="1"/>
  <c r="D140" i="10" s="1"/>
  <c r="D157" i="10"/>
  <c r="I568" i="1"/>
  <c r="D141" i="10" s="1"/>
  <c r="I522" i="1"/>
  <c r="D136" i="10" s="1"/>
  <c r="E560" i="1"/>
  <c r="C610" i="1" s="1"/>
  <c r="D333" i="10" s="1"/>
  <c r="I575" i="1"/>
  <c r="D139" i="10" s="1"/>
  <c r="D554" i="1"/>
  <c r="E554" i="1" s="1"/>
  <c r="I534" i="1"/>
  <c r="D155" i="10" s="1"/>
  <c r="H476" i="1"/>
  <c r="B144" i="10" s="1"/>
  <c r="H472" i="1"/>
  <c r="B143" i="10" s="1"/>
  <c r="H467" i="1"/>
  <c r="B142" i="10" s="1"/>
  <c r="H451" i="1"/>
  <c r="B113" i="10" s="1"/>
  <c r="C468" i="1"/>
  <c r="D477" i="1"/>
  <c r="E477" i="1" s="1"/>
  <c r="D476" i="1"/>
  <c r="E476" i="1" s="1"/>
  <c r="D376" i="1"/>
  <c r="D362" i="1"/>
  <c r="I553" i="1" l="1"/>
  <c r="D138" i="10" s="1"/>
  <c r="C609" i="1"/>
  <c r="D332" i="10" s="1"/>
  <c r="H444" i="1"/>
  <c r="B115" i="10" s="1"/>
  <c r="H439" i="1"/>
  <c r="B114" i="10" s="1"/>
  <c r="H429" i="1"/>
  <c r="B112" i="10" s="1"/>
  <c r="H426" i="1"/>
  <c r="B111" i="10" s="1"/>
  <c r="H423" i="1"/>
  <c r="B131" i="10" s="1"/>
  <c r="H410" i="1"/>
  <c r="B129" i="10" s="1"/>
  <c r="H398" i="1"/>
  <c r="B110" i="10" s="1"/>
  <c r="H396" i="1"/>
  <c r="B109" i="10" s="1"/>
  <c r="H388" i="1"/>
  <c r="B127" i="10" s="1"/>
  <c r="H386" i="1"/>
  <c r="B126" i="10" s="1"/>
  <c r="H375" i="1"/>
  <c r="B123" i="10" s="1"/>
  <c r="H371" i="1"/>
  <c r="B122" i="10" s="1"/>
  <c r="H366" i="1"/>
  <c r="B121" i="10" s="1"/>
  <c r="H361" i="1"/>
  <c r="B120" i="10" s="1"/>
  <c r="H357" i="1"/>
  <c r="B119" i="10" s="1"/>
  <c r="H352" i="1"/>
  <c r="B118" i="10" s="1"/>
  <c r="H348" i="1"/>
  <c r="B117" i="10" s="1"/>
  <c r="E464" i="1"/>
  <c r="E463" i="1"/>
  <c r="E462" i="1"/>
  <c r="E461" i="1"/>
  <c r="E460" i="1"/>
  <c r="E459" i="1"/>
  <c r="E458" i="1"/>
  <c r="E457" i="1"/>
  <c r="E456" i="1"/>
  <c r="E455" i="1"/>
  <c r="E454" i="1"/>
  <c r="E453" i="1"/>
  <c r="E452" i="1"/>
  <c r="E451" i="1"/>
  <c r="E449" i="1"/>
  <c r="E448" i="1"/>
  <c r="E447" i="1"/>
  <c r="E446" i="1"/>
  <c r="E445" i="1"/>
  <c r="E444" i="1"/>
  <c r="E442" i="1"/>
  <c r="E441" i="1"/>
  <c r="E440" i="1"/>
  <c r="E439" i="1"/>
  <c r="D436" i="1"/>
  <c r="E436" i="1" s="1"/>
  <c r="E435" i="1"/>
  <c r="E434" i="1"/>
  <c r="E433" i="1"/>
  <c r="E432" i="1"/>
  <c r="E431" i="1"/>
  <c r="E429" i="1"/>
  <c r="D423" i="1"/>
  <c r="E423" i="1" s="1"/>
  <c r="D424" i="1"/>
  <c r="E424" i="1" s="1"/>
  <c r="D415" i="1"/>
  <c r="E415" i="1" s="1"/>
  <c r="D412" i="1"/>
  <c r="E412" i="1" s="1"/>
  <c r="E414" i="1"/>
  <c r="E413" i="1"/>
  <c r="E411" i="1"/>
  <c r="E410" i="1"/>
  <c r="E401" i="1"/>
  <c r="E400" i="1"/>
  <c r="E399" i="1"/>
  <c r="E398" i="1"/>
  <c r="H181" i="1"/>
  <c r="B59" i="10" s="1"/>
  <c r="H176" i="1"/>
  <c r="B58" i="10" s="1"/>
  <c r="E179" i="1"/>
  <c r="D430" i="1" l="1"/>
  <c r="E430" i="1" s="1"/>
  <c r="C606" i="1" s="1"/>
  <c r="D329" i="10" s="1"/>
  <c r="D437" i="1"/>
  <c r="E437" i="1" s="1"/>
  <c r="I451" i="1"/>
  <c r="D113" i="10" s="1"/>
  <c r="I444" i="1"/>
  <c r="D115" i="10" s="1"/>
  <c r="I439" i="1"/>
  <c r="D114" i="10" s="1"/>
  <c r="I423" i="1"/>
  <c r="D131" i="10" s="1"/>
  <c r="I410" i="1"/>
  <c r="D129" i="10" s="1"/>
  <c r="I398" i="1"/>
  <c r="D110" i="10" s="1"/>
  <c r="I429" i="1" l="1"/>
  <c r="D112" i="10" s="1"/>
  <c r="C607" i="1"/>
  <c r="D330" i="10" s="1"/>
  <c r="E376" i="1"/>
  <c r="D372" i="1"/>
  <c r="E372" i="1" s="1"/>
  <c r="D371" i="1"/>
  <c r="E371" i="1" s="1"/>
  <c r="E362" i="1"/>
  <c r="D359" i="1"/>
  <c r="E359" i="1" s="1"/>
  <c r="D233" i="10" l="1"/>
  <c r="D231" i="10"/>
  <c r="D353" i="1" l="1"/>
  <c r="E353" i="1" s="1"/>
  <c r="C344" i="1"/>
  <c r="H343" i="1"/>
  <c r="B116" i="10" s="1"/>
  <c r="C34" i="1"/>
  <c r="C488" i="1" l="1"/>
  <c r="C470" i="1"/>
  <c r="C487" i="1"/>
  <c r="C485" i="1"/>
  <c r="C474" i="1"/>
  <c r="D550" i="1"/>
  <c r="D520" i="1"/>
  <c r="D531" i="1"/>
  <c r="E531" i="1" s="1"/>
  <c r="C532" i="1"/>
  <c r="D532" i="1" s="1"/>
  <c r="E532" i="1" s="1"/>
  <c r="C408" i="1"/>
  <c r="D408" i="1" s="1"/>
  <c r="E408" i="1" s="1"/>
  <c r="D407" i="1"/>
  <c r="E407" i="1" s="1"/>
  <c r="C502" i="1"/>
  <c r="D502" i="1" s="1"/>
  <c r="E502" i="1" s="1"/>
  <c r="C503" i="1"/>
  <c r="D503" i="1" s="1"/>
  <c r="E503" i="1" s="1"/>
  <c r="D382" i="1"/>
  <c r="E382" i="1" s="1"/>
  <c r="I382" i="1" s="1"/>
  <c r="D125" i="10" s="1"/>
  <c r="C378" i="1"/>
  <c r="D378" i="1" s="1"/>
  <c r="E378" i="1" s="1"/>
  <c r="C379" i="1"/>
  <c r="D379" i="1" s="1"/>
  <c r="E379" i="1" s="1"/>
  <c r="C467" i="1"/>
  <c r="D517" i="1"/>
  <c r="E517" i="1" s="1"/>
  <c r="D515" i="1"/>
  <c r="E515" i="1" s="1"/>
  <c r="C343" i="1"/>
  <c r="D393" i="1"/>
  <c r="E393" i="1" s="1"/>
  <c r="D391" i="1"/>
  <c r="E391" i="1" s="1"/>
  <c r="E550" i="1"/>
  <c r="C492" i="1"/>
  <c r="D492" i="1" s="1"/>
  <c r="E492" i="1" s="1"/>
  <c r="C491" i="1"/>
  <c r="D491" i="1" s="1"/>
  <c r="E491" i="1" s="1"/>
  <c r="D488" i="1"/>
  <c r="E488" i="1" s="1"/>
  <c r="C482" i="1"/>
  <c r="D482" i="1" s="1"/>
  <c r="E482" i="1" s="1"/>
  <c r="D513" i="1"/>
  <c r="E513" i="1" s="1"/>
  <c r="C499" i="1"/>
  <c r="D499" i="1" s="1"/>
  <c r="E499" i="1" s="1"/>
  <c r="I499" i="1" s="1"/>
  <c r="D149" i="10" s="1"/>
  <c r="C490" i="1"/>
  <c r="D490" i="1" s="1"/>
  <c r="E490" i="1" s="1"/>
  <c r="D487" i="1"/>
  <c r="E487" i="1" s="1"/>
  <c r="C481" i="1"/>
  <c r="D481" i="1" s="1"/>
  <c r="E481" i="1" s="1"/>
  <c r="E520" i="1"/>
  <c r="I520" i="1" s="1"/>
  <c r="D135" i="10" s="1"/>
  <c r="D512" i="1"/>
  <c r="E512" i="1" s="1"/>
  <c r="C493" i="1"/>
  <c r="D493" i="1" s="1"/>
  <c r="E493" i="1" s="1"/>
  <c r="D485" i="1"/>
  <c r="E485" i="1" s="1"/>
  <c r="C479" i="1"/>
  <c r="C473" i="1"/>
  <c r="D473" i="1" s="1"/>
  <c r="E473" i="1" s="1"/>
  <c r="D470" i="1"/>
  <c r="E470" i="1" s="1"/>
  <c r="C472" i="1"/>
  <c r="D468" i="1"/>
  <c r="E468" i="1" s="1"/>
  <c r="D388" i="1"/>
  <c r="E388" i="1" s="1"/>
  <c r="C369" i="1"/>
  <c r="D369" i="1" s="1"/>
  <c r="E369" i="1" s="1"/>
  <c r="D364" i="1"/>
  <c r="E364" i="1" s="1"/>
  <c r="D361" i="1"/>
  <c r="E361" i="1" s="1"/>
  <c r="C358" i="1"/>
  <c r="D358" i="1" s="1"/>
  <c r="E358" i="1" s="1"/>
  <c r="C375" i="1"/>
  <c r="D375" i="1" s="1"/>
  <c r="E375" i="1" s="1"/>
  <c r="I375" i="1" s="1"/>
  <c r="D123" i="10" s="1"/>
  <c r="C366" i="1"/>
  <c r="D366" i="1" s="1"/>
  <c r="E366" i="1" s="1"/>
  <c r="D363" i="1"/>
  <c r="E363" i="1" s="1"/>
  <c r="C355" i="1"/>
  <c r="D389" i="1"/>
  <c r="E389" i="1" s="1"/>
  <c r="C367" i="1"/>
  <c r="D367" i="1" s="1"/>
  <c r="E367" i="1" s="1"/>
  <c r="C357" i="1"/>
  <c r="D357" i="1" s="1"/>
  <c r="E357" i="1" s="1"/>
  <c r="C368" i="1"/>
  <c r="D368" i="1" s="1"/>
  <c r="E368" i="1" s="1"/>
  <c r="C348" i="1"/>
  <c r="C349" i="1"/>
  <c r="D349" i="1" s="1"/>
  <c r="E349" i="1" s="1"/>
  <c r="D346" i="1"/>
  <c r="E346" i="1" s="1"/>
  <c r="E396" i="1"/>
  <c r="I396" i="1" s="1"/>
  <c r="D109" i="10" s="1"/>
  <c r="E426" i="1"/>
  <c r="D344" i="1"/>
  <c r="E344" i="1" s="1"/>
  <c r="I403" i="1" l="1"/>
  <c r="D128" i="10" s="1"/>
  <c r="I527" i="1"/>
  <c r="D154" i="10" s="1"/>
  <c r="I502" i="1"/>
  <c r="D150" i="10" s="1"/>
  <c r="I378" i="1"/>
  <c r="D124" i="10" s="1"/>
  <c r="I481" i="1"/>
  <c r="D145" i="10" s="1"/>
  <c r="I485" i="1"/>
  <c r="D146" i="10" s="1"/>
  <c r="I388" i="1"/>
  <c r="D127" i="10" s="1"/>
  <c r="D350" i="1"/>
  <c r="E350" i="1" s="1"/>
  <c r="D474" i="1"/>
  <c r="E474" i="1" s="1"/>
  <c r="I512" i="1"/>
  <c r="D153" i="10" s="1"/>
  <c r="I366" i="1"/>
  <c r="D121" i="10" s="1"/>
  <c r="I490" i="1"/>
  <c r="D147" i="10" s="1"/>
  <c r="D373" i="1"/>
  <c r="D348" i="1"/>
  <c r="E348" i="1" s="1"/>
  <c r="D472" i="1"/>
  <c r="E472" i="1" s="1"/>
  <c r="D497" i="1"/>
  <c r="E497" i="1" s="1"/>
  <c r="I495" i="1" s="1"/>
  <c r="D148" i="10" s="1"/>
  <c r="I357" i="1"/>
  <c r="D119" i="10" s="1"/>
  <c r="I361" i="1"/>
  <c r="D120" i="10" s="1"/>
  <c r="D352" i="1"/>
  <c r="E352" i="1" s="1"/>
  <c r="E42" i="10"/>
  <c r="I348" i="1" l="1"/>
  <c r="D117" i="10" s="1"/>
  <c r="I472" i="1"/>
  <c r="D143" i="10" s="1"/>
  <c r="E192" i="1"/>
  <c r="E191" i="1"/>
  <c r="E190" i="1"/>
  <c r="E189" i="1"/>
  <c r="E194" i="1"/>
  <c r="E195" i="1"/>
  <c r="E196" i="1"/>
  <c r="E193" i="1"/>
  <c r="E197" i="1"/>
  <c r="H189" i="1"/>
  <c r="B183" i="10" s="1"/>
  <c r="D350" i="10"/>
  <c r="D349" i="10"/>
  <c r="D341" i="10"/>
  <c r="D340" i="10"/>
  <c r="D339" i="10"/>
  <c r="D347" i="10"/>
  <c r="D346" i="10"/>
  <c r="D345" i="10"/>
  <c r="D344" i="10"/>
  <c r="D342" i="10"/>
  <c r="D337" i="10"/>
  <c r="D336" i="10"/>
  <c r="D335" i="10"/>
  <c r="D327" i="10"/>
  <c r="D325" i="10"/>
  <c r="D324" i="10"/>
  <c r="D319" i="10"/>
  <c r="I189" i="1" l="1"/>
  <c r="D183" i="10" s="1"/>
  <c r="AA10" i="11" l="1"/>
  <c r="S10" i="11"/>
  <c r="K10" i="11"/>
  <c r="C10" i="11"/>
  <c r="AF11" i="11" l="1"/>
  <c r="F18" i="11" s="1"/>
  <c r="C22" i="11"/>
  <c r="B22" i="11"/>
  <c r="C19" i="11"/>
  <c r="C16" i="11"/>
  <c r="C18" i="11"/>
  <c r="D177" i="1"/>
  <c r="B19" i="11"/>
  <c r="B16" i="11"/>
  <c r="C17" i="11"/>
  <c r="C21" i="11"/>
  <c r="B18" i="11"/>
  <c r="B21" i="11"/>
  <c r="C23" i="11"/>
  <c r="B23" i="11"/>
  <c r="C20" i="11"/>
  <c r="B20" i="11"/>
  <c r="B17" i="11"/>
  <c r="P11" i="11"/>
  <c r="F34" i="11" s="1"/>
  <c r="C38" i="11"/>
  <c r="B35" i="11"/>
  <c r="B32" i="11"/>
  <c r="C37" i="11"/>
  <c r="B34" i="11"/>
  <c r="B37" i="11"/>
  <c r="C33" i="11"/>
  <c r="C36" i="11"/>
  <c r="B33" i="11"/>
  <c r="C39" i="11"/>
  <c r="B36" i="11"/>
  <c r="B39" i="11"/>
  <c r="C35" i="11"/>
  <c r="C32" i="11"/>
  <c r="B38" i="11"/>
  <c r="C34" i="11"/>
  <c r="X11" i="11"/>
  <c r="F26" i="11" s="1"/>
  <c r="B28" i="11"/>
  <c r="C30" i="11"/>
  <c r="B25" i="11"/>
  <c r="B26" i="11"/>
  <c r="B30" i="11"/>
  <c r="C27" i="11"/>
  <c r="C24" i="11"/>
  <c r="B27" i="11"/>
  <c r="C29" i="11"/>
  <c r="B24" i="11"/>
  <c r="B29" i="11"/>
  <c r="C26" i="11"/>
  <c r="B31" i="11"/>
  <c r="C28" i="11"/>
  <c r="C25" i="11"/>
  <c r="C31" i="11"/>
  <c r="H11" i="11"/>
  <c r="F42" i="11" s="1"/>
  <c r="C46" i="11"/>
  <c r="C42" i="11"/>
  <c r="B42" i="11"/>
  <c r="B46" i="11"/>
  <c r="C45" i="11"/>
  <c r="C41" i="11"/>
  <c r="C44" i="11"/>
  <c r="B45" i="11"/>
  <c r="B41" i="11"/>
  <c r="B44" i="11"/>
  <c r="C40" i="11"/>
  <c r="C47" i="11"/>
  <c r="C43" i="11"/>
  <c r="B40" i="11"/>
  <c r="B47" i="11"/>
  <c r="B43" i="11"/>
  <c r="AG11" i="11"/>
  <c r="F17" i="11" s="1"/>
  <c r="D191" i="10" s="1"/>
  <c r="AE11" i="11"/>
  <c r="F19" i="11" s="1"/>
  <c r="AA11" i="11"/>
  <c r="F23" i="11" s="1"/>
  <c r="AC11" i="11"/>
  <c r="F21" i="11" s="1"/>
  <c r="M11" i="11"/>
  <c r="F37" i="11" s="1"/>
  <c r="O11" i="11"/>
  <c r="F35" i="11" s="1"/>
  <c r="Q11" i="11"/>
  <c r="F33" i="11" s="1"/>
  <c r="K11" i="11"/>
  <c r="F39" i="11" s="1"/>
  <c r="E11" i="11"/>
  <c r="F45" i="11" s="1"/>
  <c r="I11" i="11"/>
  <c r="F41" i="11" s="1"/>
  <c r="U11" i="11"/>
  <c r="F29" i="11" s="1"/>
  <c r="Y11" i="11"/>
  <c r="F25" i="11" s="1"/>
  <c r="F11" i="11"/>
  <c r="F44" i="11" s="1"/>
  <c r="J11" i="11"/>
  <c r="F40" i="11" s="1"/>
  <c r="N11" i="11"/>
  <c r="F36" i="11" s="1"/>
  <c r="R11" i="11"/>
  <c r="F32" i="11" s="1"/>
  <c r="V11" i="11"/>
  <c r="F28" i="11" s="1"/>
  <c r="Z11" i="11"/>
  <c r="F24" i="11" s="1"/>
  <c r="AD11" i="11"/>
  <c r="F20" i="11" s="1"/>
  <c r="AH11" i="11"/>
  <c r="F16" i="11" s="1"/>
  <c r="C11" i="11"/>
  <c r="F47" i="11" s="1"/>
  <c r="G11" i="11"/>
  <c r="F43" i="11" s="1"/>
  <c r="S11" i="11"/>
  <c r="F31" i="11" s="1"/>
  <c r="W11" i="11"/>
  <c r="F27" i="11" s="1"/>
  <c r="D11" i="11"/>
  <c r="F46" i="11" s="1"/>
  <c r="L11" i="11"/>
  <c r="F38" i="11" s="1"/>
  <c r="D212" i="10" s="1"/>
  <c r="T11" i="11"/>
  <c r="F30" i="11" s="1"/>
  <c r="AB11" i="11"/>
  <c r="F22" i="11" s="1"/>
  <c r="D219" i="10" l="1"/>
  <c r="D516" i="1"/>
  <c r="E516" i="1" s="1"/>
  <c r="I515" i="1" s="1"/>
  <c r="D134" i="10" s="1"/>
  <c r="D392" i="1"/>
  <c r="E392" i="1" s="1"/>
  <c r="I391" i="1" s="1"/>
  <c r="D108" i="10" s="1"/>
  <c r="E177" i="1"/>
  <c r="D210" i="10"/>
  <c r="D207" i="10"/>
  <c r="D217" i="10"/>
  <c r="D220" i="10"/>
  <c r="D221" i="10"/>
  <c r="D192" i="10"/>
  <c r="D190" i="10"/>
  <c r="D197" i="10"/>
  <c r="D196" i="10"/>
  <c r="D195" i="10"/>
  <c r="D194" i="10"/>
  <c r="D193" i="10"/>
  <c r="D209" i="10"/>
  <c r="D204" i="10"/>
  <c r="D203" i="10"/>
  <c r="D202" i="10"/>
  <c r="D213" i="10"/>
  <c r="D201" i="10"/>
  <c r="D198" i="10"/>
  <c r="D211" i="10"/>
  <c r="D200" i="10"/>
  <c r="D206" i="10"/>
  <c r="D208" i="10"/>
  <c r="D199" i="10"/>
  <c r="D205" i="10"/>
  <c r="D214" i="10"/>
  <c r="D218" i="10"/>
  <c r="D215" i="10"/>
  <c r="D216" i="10"/>
  <c r="C12" i="11"/>
  <c r="H162" i="1" l="1"/>
  <c r="B79" i="10" s="1"/>
  <c r="E269" i="1" l="1"/>
  <c r="E282" i="1"/>
  <c r="I282" i="1" s="1"/>
  <c r="D94" i="10" s="1"/>
  <c r="H282" i="1"/>
  <c r="B94" i="10" s="1"/>
  <c r="E237" i="1" l="1"/>
  <c r="E236" i="1"/>
  <c r="E238" i="1"/>
  <c r="E239" i="1"/>
  <c r="E240" i="1"/>
  <c r="E241" i="1"/>
  <c r="H236" i="1"/>
  <c r="B67" i="10" s="1"/>
  <c r="E233" i="1"/>
  <c r="E234" i="1"/>
  <c r="E232" i="1"/>
  <c r="E231" i="1"/>
  <c r="E262" i="1"/>
  <c r="D145" i="1"/>
  <c r="D144" i="1"/>
  <c r="H231" i="1"/>
  <c r="B66" i="10" s="1"/>
  <c r="D248" i="1" l="1"/>
  <c r="C600" i="1"/>
  <c r="D323" i="10" s="1"/>
  <c r="C597" i="1"/>
  <c r="D320" i="10" s="1"/>
  <c r="C598" i="1"/>
  <c r="D321" i="10" s="1"/>
  <c r="C603" i="1"/>
  <c r="D326" i="10" s="1"/>
  <c r="I231" i="1"/>
  <c r="D66" i="10" s="1"/>
  <c r="I236" i="1"/>
  <c r="D67" i="10" s="1"/>
  <c r="D259" i="1"/>
  <c r="D72" i="1" l="1"/>
  <c r="E72" i="1" s="1"/>
  <c r="E71" i="1"/>
  <c r="E70" i="1"/>
  <c r="H69" i="1"/>
  <c r="B101" i="10" s="1"/>
  <c r="E69" i="1"/>
  <c r="E83" i="1"/>
  <c r="D47" i="1"/>
  <c r="D260" i="1" l="1"/>
  <c r="D251" i="1"/>
  <c r="I69" i="1"/>
  <c r="D101" i="10" s="1"/>
  <c r="H160" i="1" l="1"/>
  <c r="B78" i="10" s="1"/>
  <c r="C97" i="1" l="1"/>
  <c r="C510" i="1" l="1"/>
  <c r="D510" i="1" s="1"/>
  <c r="E510" i="1" s="1"/>
  <c r="I510" i="1" s="1"/>
  <c r="D152" i="10" s="1"/>
  <c r="C551" i="1"/>
  <c r="D551" i="1" s="1"/>
  <c r="E551" i="1" s="1"/>
  <c r="I550" i="1" s="1"/>
  <c r="D137" i="10" s="1"/>
  <c r="C427" i="1"/>
  <c r="D427" i="1" s="1"/>
  <c r="E427" i="1" s="1"/>
  <c r="I426" i="1" s="1"/>
  <c r="D111" i="10" s="1"/>
  <c r="C386" i="1"/>
  <c r="D386" i="1" s="1"/>
  <c r="E386" i="1" s="1"/>
  <c r="I386" i="1" s="1"/>
  <c r="D126" i="10" s="1"/>
  <c r="D109" i="1" l="1"/>
  <c r="H278" i="1"/>
  <c r="B93" i="10" s="1"/>
  <c r="E280" i="1"/>
  <c r="E279" i="1"/>
  <c r="E278" i="1"/>
  <c r="I278" i="1" l="1"/>
  <c r="D93" i="10" s="1"/>
  <c r="D211" i="1"/>
  <c r="D205" i="1" s="1"/>
  <c r="D212" i="1" l="1"/>
  <c r="D76" i="1" l="1"/>
  <c r="D75" i="1"/>
  <c r="D65" i="1" l="1"/>
  <c r="D131" i="1" l="1"/>
  <c r="E131" i="1" s="1"/>
  <c r="D110" i="1"/>
  <c r="E94" i="1" l="1"/>
  <c r="E93" i="1"/>
  <c r="E92" i="1"/>
  <c r="E91" i="1"/>
  <c r="H91" i="1"/>
  <c r="I91" i="1" l="1"/>
  <c r="E265" i="1" l="1"/>
  <c r="E264" i="1"/>
  <c r="E263" i="1"/>
  <c r="H262" i="1"/>
  <c r="B90" i="10" s="1"/>
  <c r="H259" i="1"/>
  <c r="B91" i="10" s="1"/>
  <c r="E260" i="1"/>
  <c r="I262" i="1" l="1"/>
  <c r="D90" i="10" s="1"/>
  <c r="E168" i="1" l="1"/>
  <c r="D158" i="1"/>
  <c r="E158" i="1" s="1"/>
  <c r="D157" i="1"/>
  <c r="E157" i="1" s="1"/>
  <c r="D156" i="1"/>
  <c r="E156" i="1" s="1"/>
  <c r="H156" i="1"/>
  <c r="B77" i="10" s="1"/>
  <c r="H152" i="1"/>
  <c r="B76" i="10" s="1"/>
  <c r="E154" i="1"/>
  <c r="D150" i="1"/>
  <c r="C115" i="1"/>
  <c r="E229" i="1"/>
  <c r="E228" i="1"/>
  <c r="E227" i="1"/>
  <c r="E226" i="1"/>
  <c r="E225" i="1"/>
  <c r="E224" i="1"/>
  <c r="E223" i="1"/>
  <c r="E222" i="1"/>
  <c r="E216" i="1"/>
  <c r="E217" i="1"/>
  <c r="E218" i="1"/>
  <c r="E219" i="1"/>
  <c r="E220" i="1"/>
  <c r="E221" i="1"/>
  <c r="E212" i="1"/>
  <c r="E211" i="1"/>
  <c r="E210" i="1"/>
  <c r="E209" i="1"/>
  <c r="E208" i="1"/>
  <c r="E207" i="1"/>
  <c r="E206" i="1"/>
  <c r="E205" i="1"/>
  <c r="E204" i="1"/>
  <c r="D48" i="1"/>
  <c r="D126" i="1" s="1"/>
  <c r="D54" i="1"/>
  <c r="E54" i="1" s="1"/>
  <c r="D53" i="1"/>
  <c r="E53" i="1" s="1"/>
  <c r="E46" i="1"/>
  <c r="E45" i="1"/>
  <c r="D543" i="1" l="1"/>
  <c r="E543" i="1" s="1"/>
  <c r="I541" i="1" s="1"/>
  <c r="D156" i="10" s="1"/>
  <c r="D419" i="1"/>
  <c r="E419" i="1" s="1"/>
  <c r="I417" i="1" s="1"/>
  <c r="D130" i="10" s="1"/>
  <c r="D255" i="1"/>
  <c r="D354" i="1"/>
  <c r="E354" i="1" s="1"/>
  <c r="D478" i="1"/>
  <c r="E478" i="1" s="1"/>
  <c r="D467" i="1"/>
  <c r="E467" i="1" s="1"/>
  <c r="D355" i="1"/>
  <c r="E355" i="1" s="1"/>
  <c r="D479" i="1"/>
  <c r="E479" i="1" s="1"/>
  <c r="D343" i="1"/>
  <c r="E343" i="1" s="1"/>
  <c r="C345" i="1"/>
  <c r="E373" i="1" s="1"/>
  <c r="I371" i="1" s="1"/>
  <c r="D122" i="10" s="1"/>
  <c r="C469" i="1"/>
  <c r="D469" i="1" s="1"/>
  <c r="E469" i="1" s="1"/>
  <c r="I216" i="1"/>
  <c r="D65" i="10" s="1"/>
  <c r="C595" i="1"/>
  <c r="D318" i="10" s="1"/>
  <c r="C599" i="1"/>
  <c r="D322" i="10" s="1"/>
  <c r="C594" i="1"/>
  <c r="D317" i="10" s="1"/>
  <c r="C593" i="1"/>
  <c r="D316" i="10" s="1"/>
  <c r="I204" i="1"/>
  <c r="I156" i="1"/>
  <c r="I467" i="1" l="1"/>
  <c r="D142" i="10" s="1"/>
  <c r="I476" i="1"/>
  <c r="D144" i="10" s="1"/>
  <c r="I352" i="1"/>
  <c r="D118" i="10" s="1"/>
  <c r="D345" i="1"/>
  <c r="E345" i="1" s="1"/>
  <c r="I343" i="1" s="1"/>
  <c r="D116" i="10" s="1"/>
  <c r="D77" i="10"/>
  <c r="D64" i="10"/>
  <c r="D134" i="1"/>
  <c r="D86" i="1" l="1"/>
  <c r="D50" i="1"/>
  <c r="D85" i="1" l="1"/>
  <c r="D84" i="1"/>
  <c r="D124" i="1"/>
  <c r="D125" i="1"/>
  <c r="H45" i="1" l="1"/>
  <c r="B56" i="10" s="1"/>
  <c r="D66" i="1"/>
  <c r="C27" i="1"/>
  <c r="D79" i="1"/>
  <c r="E85" i="1" l="1"/>
  <c r="D78" i="1"/>
  <c r="E78" i="1" s="1"/>
  <c r="D87" i="1"/>
  <c r="E87" i="1" s="1"/>
  <c r="E65" i="1"/>
  <c r="D80" i="1"/>
  <c r="E80" i="1" s="1"/>
  <c r="E86" i="1"/>
  <c r="E124" i="1"/>
  <c r="E75" i="1"/>
  <c r="H173" i="1"/>
  <c r="B82" i="10" s="1"/>
  <c r="E76" i="1"/>
  <c r="H75" i="1"/>
  <c r="B102" i="10" s="1"/>
  <c r="E150" i="1"/>
  <c r="E145" i="1"/>
  <c r="E144" i="1"/>
  <c r="H144" i="1"/>
  <c r="B74" i="10" s="1"/>
  <c r="H149" i="1"/>
  <c r="B75" i="10" s="1"/>
  <c r="H109" i="1"/>
  <c r="B97" i="10" s="1"/>
  <c r="H184" i="1"/>
  <c r="B159" i="10" s="1"/>
  <c r="H83" i="1"/>
  <c r="B105" i="10" s="1"/>
  <c r="H78" i="1"/>
  <c r="B104" i="10" s="1"/>
  <c r="H65" i="1"/>
  <c r="B103" i="10" s="1"/>
  <c r="H62" i="1"/>
  <c r="B100" i="10" s="1"/>
  <c r="H276" i="1"/>
  <c r="B89" i="10" s="1"/>
  <c r="H273" i="1"/>
  <c r="B88" i="10" s="1"/>
  <c r="H267" i="1"/>
  <c r="B87" i="10" s="1"/>
  <c r="H253" i="1"/>
  <c r="B86" i="10" s="1"/>
  <c r="H246" i="1"/>
  <c r="B85" i="10" s="1"/>
  <c r="H165" i="1"/>
  <c r="B81" i="10" s="1"/>
  <c r="H138" i="1"/>
  <c r="B73" i="10" s="1"/>
  <c r="H133" i="1"/>
  <c r="B72" i="10" s="1"/>
  <c r="H129" i="1"/>
  <c r="B71" i="10" s="1"/>
  <c r="H124" i="1"/>
  <c r="B98" i="10" s="1"/>
  <c r="H118" i="1"/>
  <c r="B70" i="10" s="1"/>
  <c r="H113" i="1"/>
  <c r="B69" i="10" s="1"/>
  <c r="E109" i="1"/>
  <c r="E111" i="1"/>
  <c r="E110" i="1"/>
  <c r="H216" i="1"/>
  <c r="B65" i="10" s="1"/>
  <c r="H204" i="1"/>
  <c r="B64" i="10" s="1"/>
  <c r="E100" i="1"/>
  <c r="H100" i="1"/>
  <c r="B62" i="10" s="1"/>
  <c r="H104" i="1"/>
  <c r="B63" i="10" s="1"/>
  <c r="E105" i="1"/>
  <c r="H96" i="1"/>
  <c r="B60" i="10" s="1"/>
  <c r="D57" i="1"/>
  <c r="E57" i="1" s="1"/>
  <c r="D56" i="1"/>
  <c r="E56" i="1" s="1"/>
  <c r="D55" i="1"/>
  <c r="E55" i="1" s="1"/>
  <c r="E52" i="1"/>
  <c r="E51" i="1"/>
  <c r="E50" i="1"/>
  <c r="E49" i="1"/>
  <c r="E48" i="1"/>
  <c r="E47" i="1"/>
  <c r="D115" i="1"/>
  <c r="E184" i="1"/>
  <c r="E84" i="1"/>
  <c r="E63" i="1"/>
  <c r="E268" i="1"/>
  <c r="E250" i="1"/>
  <c r="E167" i="1"/>
  <c r="E186" i="1"/>
  <c r="E66" i="1"/>
  <c r="E271" i="1"/>
  <c r="E253" i="1"/>
  <c r="E62" i="1"/>
  <c r="E267" i="1"/>
  <c r="E249" i="1"/>
  <c r="E166" i="1"/>
  <c r="E79" i="1"/>
  <c r="E256" i="1"/>
  <c r="E276" i="1"/>
  <c r="I276" i="1" s="1"/>
  <c r="D89" i="10" s="1"/>
  <c r="E246" i="1"/>
  <c r="E274" i="1"/>
  <c r="E251" i="1"/>
  <c r="E257" i="1"/>
  <c r="E165" i="1"/>
  <c r="E247" i="1"/>
  <c r="E273" i="1"/>
  <c r="E255" i="1"/>
  <c r="E187" i="1"/>
  <c r="E67" i="1"/>
  <c r="E254" i="1"/>
  <c r="E185" i="1"/>
  <c r="E270" i="1"/>
  <c r="E81" i="1"/>
  <c r="E134" i="1"/>
  <c r="E125" i="1"/>
  <c r="C129" i="1" l="1"/>
  <c r="D129" i="1" s="1"/>
  <c r="E129" i="1" s="1"/>
  <c r="C113" i="1"/>
  <c r="D104" i="1"/>
  <c r="D102" i="1"/>
  <c r="E102" i="1" s="1"/>
  <c r="E126" i="1"/>
  <c r="E181" i="1"/>
  <c r="I181" i="1" s="1"/>
  <c r="D59" i="10" s="1"/>
  <c r="C170" i="1"/>
  <c r="D170" i="1" s="1"/>
  <c r="E170" i="1" s="1"/>
  <c r="C152" i="1"/>
  <c r="D152" i="1" s="1"/>
  <c r="E152" i="1" s="1"/>
  <c r="C141" i="1"/>
  <c r="D141" i="1" s="1"/>
  <c r="E141" i="1" s="1"/>
  <c r="C153" i="1"/>
  <c r="D153" i="1" s="1"/>
  <c r="E153" i="1" s="1"/>
  <c r="C140" i="1"/>
  <c r="D140" i="1" s="1"/>
  <c r="E140" i="1" s="1"/>
  <c r="C173" i="1"/>
  <c r="D173" i="1" s="1"/>
  <c r="E173" i="1" s="1"/>
  <c r="C149" i="1"/>
  <c r="D149" i="1" s="1"/>
  <c r="E149" i="1" s="1"/>
  <c r="D136" i="1"/>
  <c r="D133" i="1"/>
  <c r="E133" i="1" s="1"/>
  <c r="C119" i="1"/>
  <c r="D119" i="1" s="1"/>
  <c r="E119" i="1" s="1"/>
  <c r="C139" i="1"/>
  <c r="D139" i="1" s="1"/>
  <c r="E139" i="1" s="1"/>
  <c r="C127" i="1"/>
  <c r="C118" i="1"/>
  <c r="D116" i="1"/>
  <c r="C138" i="1"/>
  <c r="D138" i="1" s="1"/>
  <c r="E138" i="1" s="1"/>
  <c r="D135" i="1"/>
  <c r="E135" i="1" s="1"/>
  <c r="C130" i="1"/>
  <c r="D130" i="1" s="1"/>
  <c r="E130" i="1" s="1"/>
  <c r="D120" i="1"/>
  <c r="E120" i="1" s="1"/>
  <c r="C160" i="1"/>
  <c r="D160" i="1" s="1"/>
  <c r="E160" i="1" s="1"/>
  <c r="D113" i="1"/>
  <c r="E113" i="1" s="1"/>
  <c r="D178" i="1"/>
  <c r="E178" i="1" s="1"/>
  <c r="D176" i="1"/>
  <c r="E176" i="1" s="1"/>
  <c r="D163" i="1"/>
  <c r="E163" i="1" s="1"/>
  <c r="D162" i="1"/>
  <c r="E162" i="1" s="1"/>
  <c r="I267" i="1"/>
  <c r="D87" i="10" s="1"/>
  <c r="D101" i="1"/>
  <c r="E101" i="1" s="1"/>
  <c r="D96" i="1"/>
  <c r="E96" i="1" s="1"/>
  <c r="D174" i="1"/>
  <c r="E174" i="1" s="1"/>
  <c r="D114" i="1"/>
  <c r="E114" i="1" s="1"/>
  <c r="E115" i="1"/>
  <c r="I45" i="1"/>
  <c r="D169" i="1"/>
  <c r="E169" i="1" s="1"/>
  <c r="D97" i="1"/>
  <c r="E97" i="1" s="1"/>
  <c r="I75" i="1"/>
  <c r="D102" i="10" s="1"/>
  <c r="I184" i="1"/>
  <c r="D159" i="10" s="1"/>
  <c r="I253" i="1"/>
  <c r="D86" i="10" s="1"/>
  <c r="I273" i="1"/>
  <c r="D88" i="10" s="1"/>
  <c r="I109" i="1"/>
  <c r="D97" i="10" s="1"/>
  <c r="I78" i="1"/>
  <c r="D104" i="10" s="1"/>
  <c r="I62" i="1"/>
  <c r="I65" i="1"/>
  <c r="I83" i="1"/>
  <c r="D127" i="1" l="1"/>
  <c r="E127" i="1" s="1"/>
  <c r="I124" i="1" s="1"/>
  <c r="D98" i="10" s="1"/>
  <c r="D146" i="1"/>
  <c r="E146" i="1" s="1"/>
  <c r="I144" i="1" s="1"/>
  <c r="D118" i="1"/>
  <c r="E118" i="1" s="1"/>
  <c r="I118" i="1" s="1"/>
  <c r="I176" i="1"/>
  <c r="D58" i="10" s="1"/>
  <c r="I162" i="1"/>
  <c r="D79" i="10" s="1"/>
  <c r="D56" i="10"/>
  <c r="I149" i="1"/>
  <c r="I152" i="1"/>
  <c r="D103" i="10"/>
  <c r="D100" i="10"/>
  <c r="D105" i="10"/>
  <c r="I173" i="1"/>
  <c r="E136" i="1"/>
  <c r="E116" i="1"/>
  <c r="I138" i="1"/>
  <c r="I165" i="1"/>
  <c r="I129" i="1"/>
  <c r="I100" i="1"/>
  <c r="I96" i="1"/>
  <c r="D74" i="10" l="1"/>
  <c r="D75" i="10"/>
  <c r="D76" i="10"/>
  <c r="D82" i="10"/>
  <c r="D81" i="10"/>
  <c r="D71" i="10"/>
  <c r="D70" i="10"/>
  <c r="D62" i="10"/>
  <c r="D73" i="10"/>
  <c r="D60" i="10"/>
  <c r="I160" i="1"/>
  <c r="E259" i="1"/>
  <c r="I259" i="1" s="1"/>
  <c r="E248" i="1"/>
  <c r="I246" i="1" s="1"/>
  <c r="I133" i="1"/>
  <c r="I113" i="1"/>
  <c r="D91" i="10" l="1"/>
  <c r="D85" i="10"/>
  <c r="D72" i="10"/>
  <c r="D69" i="10"/>
  <c r="D78" i="10"/>
  <c r="E104" i="1"/>
  <c r="I104" i="1" s="1"/>
  <c r="D63" i="10" s="1"/>
</calcChain>
</file>

<file path=xl/sharedStrings.xml><?xml version="1.0" encoding="utf-8"?>
<sst xmlns="http://schemas.openxmlformats.org/spreadsheetml/2006/main" count="2111" uniqueCount="1086">
  <si>
    <t>-</t>
  </si>
  <si>
    <t>Notes</t>
  </si>
  <si>
    <t>value from DDR data sheet (ns)</t>
  </si>
  <si>
    <t>Register name</t>
  </si>
  <si>
    <t>Register value (HEX)</t>
  </si>
  <si>
    <t>N/A</t>
  </si>
  <si>
    <t>bit setting within register</t>
  </si>
  <si>
    <t>control bit setting (decimal)</t>
  </si>
  <si>
    <t>Memory type:</t>
  </si>
  <si>
    <t>Memory part number:</t>
  </si>
  <si>
    <t>Device Information</t>
  </si>
  <si>
    <t>Clock Cycle Time (ns)</t>
  </si>
  <si>
    <t>Instructions</t>
  </si>
  <si>
    <t>LPDDR2</t>
  </si>
  <si>
    <t>Manufacturer:</t>
  </si>
  <si>
    <t xml:space="preserve">Shaded cells may require updating per the DRAM memory data sheet parameters. Certain registers should not need to be modified by the user. If a register is not provided then it is assumed this parameter is not to be changed per the provided initialization script.Certain registers are provided though they may be noted as recommended to not change. </t>
  </si>
  <si>
    <t>Legend</t>
  </si>
  <si>
    <t>On other tabs, this color indicates the cells that are affected by changes on the Register Configuration tab.</t>
  </si>
  <si>
    <t>On Register Configuration Tab, this color indicates the bitfields that would commonly require updating.</t>
  </si>
  <si>
    <t>Clock Cycle or Binary Setting</t>
  </si>
  <si>
    <t>Revision History</t>
  </si>
  <si>
    <t>On Register Configuration Tab, this color indicates the bitfields that may be updated, but should typically not require it.</t>
  </si>
  <si>
    <t>Automatically Updated Setting</t>
  </si>
  <si>
    <t>On Register Configuration Tab, this color indicates the bitfields that are updated automatically from setting provided in the "Device Information" table or other cells, and should not be changed manually</t>
  </si>
  <si>
    <t>2. Important, these fields need to be filled out correctly as these values are used later in this tool for register settings.</t>
  </si>
  <si>
    <r>
      <t>Clock Cycle Freq (MHz)</t>
    </r>
    <r>
      <rPr>
        <vertAlign val="superscript"/>
        <sz val="10"/>
        <rFont val="Arial"/>
        <family val="2"/>
      </rPr>
      <t>3</t>
    </r>
  </si>
  <si>
    <r>
      <t>Number of Chip Selects used</t>
    </r>
    <r>
      <rPr>
        <vertAlign val="superscript"/>
        <sz val="10"/>
        <rFont val="Arial"/>
        <family val="2"/>
      </rPr>
      <t>2</t>
    </r>
  </si>
  <si>
    <r>
      <t>Number of ROW Addresses</t>
    </r>
    <r>
      <rPr>
        <vertAlign val="superscript"/>
        <sz val="10"/>
        <rFont val="Arial"/>
        <family val="2"/>
      </rPr>
      <t>2</t>
    </r>
  </si>
  <si>
    <r>
      <t>Number of COLUMN Addresses</t>
    </r>
    <r>
      <rPr>
        <vertAlign val="superscript"/>
        <sz val="10"/>
        <rFont val="Arial"/>
        <family val="2"/>
      </rPr>
      <t>2</t>
    </r>
  </si>
  <si>
    <r>
      <t>Number of BANKS</t>
    </r>
    <r>
      <rPr>
        <vertAlign val="superscript"/>
        <sz val="10"/>
        <rFont val="Arial"/>
        <family val="2"/>
      </rPr>
      <t>2</t>
    </r>
  </si>
  <si>
    <t>On Register Configuration Tab, an unshaded cell means that the value should remain as is and should not be modified. In these cases, the settings are provided for completeness.</t>
  </si>
  <si>
    <t>How to use the DRAM register programming aid outline</t>
  </si>
  <si>
    <t>Step 1. Obtain the desired DRAM data sheet from the DRAM vendor</t>
  </si>
  <si>
    <t xml:space="preserve">Step 2. Update the Device Information table to include the DRAM information and system usage </t>
  </si>
  <si>
    <t>Step 3. Go through the various shaded cells in the spread sheet to update with data from the DRAM sheet (take special note of the “Legend” table to ascertain the meaning of different shaded cells; in many cases, the cells may not need to be updated).</t>
  </si>
  <si>
    <t>Total DRAM density (Gb)</t>
  </si>
  <si>
    <t>LPDDR3</t>
  </si>
  <si>
    <t>DDRC_MSTR</t>
  </si>
  <si>
    <t>Description: Set to 1 when the uMCTL2 and DRAM has to be put in DLL-off mode for low frequency operation.
Set to 0 to put uMCTL2 and DRAM in DLL-on mode for normal frequency operation.
Value After Reset: 0x0</t>
  </si>
  <si>
    <t>DDRC_RFSHTMG</t>
  </si>
  <si>
    <t>Description: Wait period before driving the OCD complete command to SDRAM.
Unit: Counts of a global timer that pulses every 32 clock cycles.
There is no known specific requirement for this; it may be set to zero.
Value After Reset: 0x0</t>
  </si>
  <si>
    <t>DDRC_INIT1</t>
  </si>
  <si>
    <t>DDRC_INIT0</t>
  </si>
  <si>
    <t>DDRC_INIT4</t>
  </si>
  <si>
    <t>DDRC_INIT3</t>
  </si>
  <si>
    <t>DDRC_RANKCTL</t>
  </si>
  <si>
    <t>DDRC_DRAMTMG0</t>
  </si>
  <si>
    <t>DDRC_DRAMTMG1</t>
  </si>
  <si>
    <t>DDRC_DRAMTMG2</t>
  </si>
  <si>
    <t>DDRC_DRAMTMG3</t>
  </si>
  <si>
    <t>DDRC_DRAMTMG4</t>
  </si>
  <si>
    <t>DDRC_DRAMTMG5</t>
  </si>
  <si>
    <t>DDRC_ZQCTL0</t>
  </si>
  <si>
    <t>DDRC_DFITMG0</t>
  </si>
  <si>
    <t>DDRC_DFITMG1</t>
  </si>
  <si>
    <t>DDRC_DFIUPD0</t>
  </si>
  <si>
    <t>DDRC_DFIUPD1</t>
  </si>
  <si>
    <t>DDRC_DFIUPD2</t>
  </si>
  <si>
    <t>DDRC_ADDRMAP0</t>
  </si>
  <si>
    <t>DDRC_ADDRMAP1</t>
  </si>
  <si>
    <t>DDRC_ADDRMAP5</t>
  </si>
  <si>
    <t>DDRC_ADDRMAP6</t>
  </si>
  <si>
    <t>DDRC_ODTMAP</t>
  </si>
  <si>
    <t>Description: Indicates which remote ODTs must be turned on during a write to rank 0.
Each rank has a remote ODT (in the SDRAM) which can be turned on by setting the appropriate bit here.
Rank 0 is controlled by the LSB; rank 1 is controlled by bit next to the LSB and so on.
For each rank, set its bit to 1 to enable its ODT.
Value After Reset: 0x1</t>
  </si>
  <si>
    <t>Description: Indicates which remote ODTs must be turned on during a read from rank 0.
Each rank has a remote ODT (in the SDRAM) which can be turned on by setting the appropriate bit here.
Rank 0 is controlled by the LSB; rank 1 is controlled by bit next to the LSB and so on.
For each rank, set its bit to 1 to enable its ODT.
Value After Reset: 0x1</t>
  </si>
  <si>
    <t>Description: Indicates which remote ODTs must be turned on during a read from rank 1.
Each rank has a remote ODT (in the SDRAM) which can be turned on by setting the appropriate bit here.
Rank 0 is controlled by the LSB; rank 1 is controlled by bit next to the LSB and so on.
For each rank, set its bit to 1 to enable its ODT.
Value After Reset: 0x2</t>
  </si>
  <si>
    <t>Description: Indicates which remote ODTs must be turned on during a write to rank 1.
Each rank has a remote ODT (in the SDRAM) which can be turned on by setting the appropriate bit here.
Rank 0 is controlled by the LSB; rank 1 is controlled by bit next to the LSB and so on.
For each rank, set its bit to 1 to enable its ODT.
Value After Reset: 0x2</t>
  </si>
  <si>
    <t>Description: Enables the support for acknowledging PHY-initiated updates:
■ 0 - Disabled
■ 1 - Enabled
Value After Reset: 0x1</t>
  </si>
  <si>
    <t>Description: This is the minimum amount of time between uMCTL2 initiated DFI update requests (which is executed whenever the uMCTL2 is idle).
Set this number higher to reduce the frequency of update requests, which can have a small impact on the latency of the first read request when the uMCTL2 is idle.
Unit: 1024 clocks
Value After Reset: 0x0</t>
  </si>
  <si>
    <t>Description: Specifies the maximum number of clock cycles that the dfi_ctrlupd_req signal can assert.
Lowest value to assign to this variable is 0x40.
Unit: Clocks
Value After Reset: 0x40</t>
  </si>
  <si>
    <t>Description: Specifies the minimum number of clock cycles that the dfi_ctrlupd_req signal must be asserted.
The uMCTL2 expects the PHY to respond within this time. If the PHY does not respond, the uMCTL2 de-asserts dfi_ctrlupd_req after dfi_t_ctrlup_min + 2 cycles.
Lowest value to assign to this variable is 0x3.
Unit: Clocks
Value After Reset: 0x3</t>
  </si>
  <si>
    <t>Description: Disable the automatic dfi_ctrlupd_req generation by the uMCTL2 following a self-refresh exit.
■ 1 - Disable the automatic dfi_ctrlupd_req generation by the uMCTL2 following a self-refresh exit. The core must issue the dfi_ctrlupd_req signal using register reg_ddrc_ctrlupd. .
■ 0 - uMCTL2 issues a dfi_ctrlupd_req after exiting self-refresh.
This register field is changeable on the fly.
Value After Reset: 0x0</t>
  </si>
  <si>
    <t>Description: Disable the automatic dfi_ctrlupd_req generation by the uMCTL2.
■ 1 - Disable the automatic dfi_ctrlupd_req generation by the uMCTL2. The core must issue the dfi_ctrlupd_req signal using register reg_ddrc_ctrlupd.
■ 0 - uMCTL2 issues dfi_ctrlupd_req periodically.
This register field is changeable on the fly.
Value After Reset: 0x0</t>
  </si>
  <si>
    <t>Description: Specifies the number of clock cycles between when dfi_wrdata_en is asserted to when the associated write data is driven on the dfi_wrdata signal.
This corresponds to the DFI timing parameter tphy_wrdata.
Refer to PHY specification for correct value.
Note, max supported value is 8.
Unit: Clocks
Value After Reset: 0x0</t>
  </si>
  <si>
    <t>Description: Disable Automatic ZQ Calibration
■ 1 - Disables uMCTL2 generation of ZQCS command. Register DBGCMD.zq_calib_short can be used instead to issue ZQ calibration request from APB module.
■ 0 - Internally generate ZQCS commands based on ZQCTL1.t_zq_short_interval_x1024.
Value After Reset: 0x0</t>
  </si>
  <si>
    <t>Description: Disable ZQCL command at Self-Refresh exit.
■ 1 - Disable issuing of ZQCL command at Self-Refresh exit.
■ 0 - Enable issuing of ZQCL command at Self-Refresh exit.
Value After Reset: 0x0</t>
  </si>
  <si>
    <t>Description: Shared ZQ resistor between ranks.
■ 1 - Denotes that ZQ resistor is shared between ranks. Means ZQinit/ZQCL/ZQCS commands are sent to one rank at a time with tZQinit/tZQCL/tZQCS timing met between commands so that commands to different ranks do not overlap.
■ 0 - ZQ resistor is not shared.
Value After Reset: 0x0</t>
  </si>
  <si>
    <t>DDRC timing parameter (DDR device timing parameter)</t>
  </si>
  <si>
    <t>DDRC Control Parameter</t>
  </si>
  <si>
    <t>Description: Selects the HIF address bit used as rank address bit 0.
Valid Range: 0 to 27, and 31
Internal Base: 6
The selected HIF address bit is determined by adding the internal base to the value of this field.
If set to 31, rank address bit 0 is set to 0.
Value After Reset: 0x0</t>
  </si>
  <si>
    <t>Description: Selects the HIF address bit used as bank address bit 2.
Valid Range: 0 to 29 and 31
Internal Base: 4
The selected HIF address bit is determined by adding the internal base to the value of this field.
If set to 31, bank address bit 2 is set to 0.
Value After Reset: 0x0</t>
  </si>
  <si>
    <t>Description: Selects the HIF address bits used as bank address bit 1.
Valid Range: 0 to 30
Internal Base: 3
The selected HIF address bit for each of the bank address bits is determined by adding the internal base to the value of this field.
Value After Reset: 0x0</t>
  </si>
  <si>
    <t>Description: Selects the HIF address bits used as bank address bit 0.
Valid Range: 0 to 30
Internal Base: 2
The selected HIF address bit for each of the bank address bits is determined by adding the internal base to the value of this field.
Value After Reset: 0x0</t>
  </si>
  <si>
    <t>Description: Selects the HIF address bit used as row address bit 11.
Valid Range: 0 to 11, and 15
Internal Base: 17
The selected HIF address bit is determined by adding the internal base to the value of this field.
If set to 15, row address bit 11 is set to 0.
Value After Reset: 0x0</t>
  </si>
  <si>
    <t>Description: Selects the HIF address bits used as row address bits 2 to 10.
Valid Range: 0 to 11
Internal Base: 8 (for row address bit 2), 9 (for row address bit 3), 10 (for row address bit 4) and so on, increasing to 16 (for row address bit 10)
The selected HIF address bit for each of the row address bits is determined by adding the internal base to the value of this field.
Value After Reset: 0x0</t>
  </si>
  <si>
    <t>Description: Selects the HIF address bits used as row address bit 1.
Valid Range: 0 to 11
Internal Base: 7
The selected HIF address bit for each of the row address bits is determined by adding the internal base to the value of this field.
Value After Reset: 0x0</t>
  </si>
  <si>
    <t>Description: Selects the HIF address bits used as row address bit 0.
Valid Range: 0 to 11
Internal Base: 6
The selected HIF address bit for each of the row address bits is determined by adding the internal base to the value of this field.
Value After Reset: 0x0</t>
  </si>
  <si>
    <t>Description: Selects the HIF address bit used as row address bit 15.
Valid Range: 0 to 11, and 15
Internal Base: 21
The selected HIF address bit is determined by adding the internal base to the value of this field.
If set to 15, row address bit 15 is set to 0.
Value After Reset: 0x0</t>
  </si>
  <si>
    <t>Description: Selects the HIF address bit used as row address bit 14.
Valid Range: 0 to 11, and 15
Internal Base: 20
The selected HIF address bit is determined by adding the internal base to the value of this field.
If set to 15, row address bit 14 is set to 0.
Value After Reset: 0x0</t>
  </si>
  <si>
    <t>Description: Selects the HIF address bit used as row address bit 13.
Valid Range: 0 to 11, and 15
Internal Base: 19
The selected HIF address bit is determined by adding the internal base to the value of this field.
If set to 15, row address bit 13 is set to 0.
Value After Reset: 0x0</t>
  </si>
  <si>
    <t>Description: Selects the HIF address bit used as row address bit 12.
Valid Range: 0 to 11, and 15
Internal Base: 18
The selected HIF address bit is determined by adding the internal base to the value of this field.
If set to 15, row address bit 12 is set to 0.
Value After Reset: 0x0</t>
  </si>
  <si>
    <t>Description: If lower bit is enabled the SDRAM initialization routine is skipped. The upper bit decides what state the controller starts up in when reset is removed
■ 00 - SDRAM Initialization routine is run after power-up
■ 01 - SDRAM Initialization routine is skipped after power-up. Controller starts up in Normal Mode
■ 11 - SDRAM Initialization routine is skipped after power-up. Controller starts up in Self-refresh Mode
■ 10 - SDRAM Initialization routine is run after power-up.
Value After Reset: 0x0</t>
  </si>
  <si>
    <t>Description: Only present for multi-rank configurations.
Background: Reads to the same rank can be performed back-to-back. Reads to different ranks require additional gap dictated by the register RANKCTL.diff_rank_rd_gap. This is to avoid possible data bus contention as well as to give PHY enough time to switch the delay when changing ranks. The uMCTL2 arbitrates for bus access on a cycle-by-cycle basis; therefore after a read is scheduled, there are few clock cycles (determined by the value on RANKCTL.diff_rank_rd_gap register) in which only reads from the same rank are eligible to be scheduled. This prevents reads from other ranks from having fair access to the data bus.
This parameter represents the maximum number of reads that can be scheduled consecutively to the same rank. After this number is reached, a delay equal to RANKCTL.diff_rank_rd_gap is inserted by the scheduler to allow all ranks a fair opportunity to be scheduled. Higher numbers increase bandwidth utilization, lower numbers increase fairness.
This feature can be DISABLED by setting this register to 0. When set to 0, the Controller stays on the same rank as long as commands are available for it.
Minimum programmable value is 0 (feature disabled) and maximum programmable value is 0xF.
FOR PERFORMANCE ONLY. Recommend leave as default.
Value After Reset: 0xf</t>
  </si>
  <si>
    <t>DDRC_DRAMTMG7</t>
  </si>
  <si>
    <t>DDRC_DRAMTMG6</t>
  </si>
  <si>
    <t>DDRC_ADDRMAP4</t>
  </si>
  <si>
    <t>DDRC_ZQCTL1</t>
  </si>
  <si>
    <r>
      <t>Number of BANK addresses</t>
    </r>
    <r>
      <rPr>
        <vertAlign val="superscript"/>
        <sz val="10"/>
        <rFont val="Arial"/>
        <family val="2"/>
      </rPr>
      <t>2</t>
    </r>
  </si>
  <si>
    <t>Reserved for future use. Set to zero as these bits are not write-able in this design.
Value After Reset: 0x0</t>
  </si>
  <si>
    <t>SKIP_DRAM_INIT</t>
  </si>
  <si>
    <t>POST_CKE_X1024</t>
  </si>
  <si>
    <t>PRE_CKE_X1024</t>
  </si>
  <si>
    <t>Number of DDRC Clock Cycles</t>
  </si>
  <si>
    <t>Number of DDR Clock Cycles or time (ns)</t>
  </si>
  <si>
    <t>WR2RD</t>
  </si>
  <si>
    <t>RD2WR</t>
  </si>
  <si>
    <t>WRITE_LATENCY</t>
  </si>
  <si>
    <t>READ_LATENCY</t>
  </si>
  <si>
    <t>T_XP</t>
  </si>
  <si>
    <t>RD2PRE</t>
  </si>
  <si>
    <t>T_MRW</t>
  </si>
  <si>
    <t>T_MRD</t>
  </si>
  <si>
    <t>T_MOD</t>
  </si>
  <si>
    <t>ACTIVE_RANKS</t>
  </si>
  <si>
    <t>BURST_RDWR</t>
  </si>
  <si>
    <t>DLL_OFF_MODE</t>
  </si>
  <si>
    <t>DATA_BUS_WIDTH</t>
  </si>
  <si>
    <t>BURSTCHOP</t>
  </si>
  <si>
    <t>BURST_MODE</t>
  </si>
  <si>
    <t>DDR3</t>
  </si>
  <si>
    <r>
      <rPr>
        <b/>
        <sz val="10"/>
        <color theme="1"/>
        <rFont val="Arial"/>
        <family val="2"/>
      </rPr>
      <t>Note, this information is automatically obtained from the Device Information table above.</t>
    </r>
    <r>
      <rPr>
        <sz val="10"/>
        <color theme="1"/>
        <rFont val="Arial"/>
        <family val="2"/>
      </rPr>
      <t xml:space="preserve">
Description: Select LPDDR3 SDRAM
■1 - LPDDR3 SDRAM device in use.
■0 - non-LPDDR3 device in use
Present only in designs configured to support LPDDR3.
Value After Reset: 0x0</t>
    </r>
  </si>
  <si>
    <r>
      <rPr>
        <b/>
        <sz val="10"/>
        <color theme="1"/>
        <rFont val="Arial"/>
        <family val="2"/>
      </rPr>
      <t>Note, this information is automatically obtained from the Device Information table above</t>
    </r>
    <r>
      <rPr>
        <sz val="10"/>
        <color theme="1"/>
        <rFont val="Arial"/>
        <family val="2"/>
      </rPr>
      <t>.
Description: Select LPDDR2 SDRAM
■1 - LPDDR2 SDRAM device in use.
■0 - non-LPDDR2 device in use
Present only in designs configured to support LPDDR2.
Value After Reset: 0x0</t>
    </r>
  </si>
  <si>
    <r>
      <rPr>
        <b/>
        <sz val="10"/>
        <color theme="1"/>
        <rFont val="Arial"/>
        <family val="2"/>
      </rPr>
      <t>Note, this information is automatically obtained from the Device Information table above.</t>
    </r>
    <r>
      <rPr>
        <sz val="10"/>
        <color theme="1"/>
        <rFont val="Arial"/>
        <family val="2"/>
      </rPr>
      <t xml:space="preserve">
Description: Select DDR3 SDRAM
■1 - DDR3 SDRAM device in use
■0 - non-DDR3 SDRAM device in use
Only present in designs that support DDR3.
Value After Reset: (MEMC_DDR3==1) ? 0x1 : 0x0</t>
    </r>
  </si>
  <si>
    <t>T_RCD</t>
  </si>
  <si>
    <t>T_CCD</t>
  </si>
  <si>
    <t>T_RRD</t>
  </si>
  <si>
    <t>T_RP</t>
  </si>
  <si>
    <t>T_CKSRX</t>
  </si>
  <si>
    <t>T_CKSRE</t>
  </si>
  <si>
    <t>T_CKCSX</t>
  </si>
  <si>
    <t>T_CKDPDX</t>
  </si>
  <si>
    <t>T_CKDPDE</t>
  </si>
  <si>
    <t>T_CKPDE</t>
  </si>
  <si>
    <t>T_CKPDX</t>
  </si>
  <si>
    <t>DRAM_RSTN_X1024</t>
  </si>
  <si>
    <t>PRE_OCD_X32</t>
  </si>
  <si>
    <t>T_RFC_NOM_X32</t>
  </si>
  <si>
    <t>T_RFC_MIN</t>
  </si>
  <si>
    <t>DIS_AUTO_ZQ</t>
  </si>
  <si>
    <t>DIS_SRX_ZQCL</t>
  </si>
  <si>
    <t>ZQ_RESISTOR_SHARED</t>
  </si>
  <si>
    <t>T_ZQ_LONG_NOP</t>
  </si>
  <si>
    <t>T_ZQ_SHORT_NOP</t>
  </si>
  <si>
    <t>T_ZQ_RESET_NOP</t>
  </si>
  <si>
    <t>T_ZQ_SHORT_INTERVAL_X1024</t>
  </si>
  <si>
    <t>DFI_T_CTRL_DELAY</t>
  </si>
  <si>
    <t>DFI_RDDATA_USE_SDR</t>
  </si>
  <si>
    <t>DFI_T_RDDDATA_EN</t>
  </si>
  <si>
    <t>DFI_WRDATA_USE_SDR</t>
  </si>
  <si>
    <t>DFI_TPHY_WRDATA</t>
  </si>
  <si>
    <t>DFI_TPHY_WRLAT</t>
  </si>
  <si>
    <t>DFI_T_WRDATA_DELAY</t>
  </si>
  <si>
    <t>DFI_T_DRAM_CLK_DISABLE</t>
  </si>
  <si>
    <t>DFI_T_DRAM_CLK_ENABLE</t>
  </si>
  <si>
    <t>DIS_AUTO_CTRLUPD</t>
  </si>
  <si>
    <t>DIS_AUTO_CTRLUPD_SRX</t>
  </si>
  <si>
    <t>DFI_T_CTRLUP_MAX</t>
  </si>
  <si>
    <t>DFI_T_CTRLUP_MIN</t>
  </si>
  <si>
    <t>DFI_T_CTRLUPD_INTERVAL_MIN_X1024</t>
  </si>
  <si>
    <t>DFI_T_CTRLUPD_INTERVAL_MAX_X1024</t>
  </si>
  <si>
    <t>DFI_PHYUPD_EN</t>
  </si>
  <si>
    <t>Description: Indicates burst mode.
0 - Sequential burst mode
1 - Interleaved burst mode (not supported in current design)
Value After Reset: 0x0</t>
  </si>
  <si>
    <t>The following ADDRMAP registers are automatically updated from the Device Information table above and should NOT be manually changed.</t>
  </si>
  <si>
    <t>ADDRMAP_CS_BIT1</t>
  </si>
  <si>
    <t>ADDRMAP_CS_BIT0</t>
  </si>
  <si>
    <t>ADDRMAP_BANK_B2</t>
  </si>
  <si>
    <t>ADDRMAP_BANK_B1</t>
  </si>
  <si>
    <t>ADDRMAP_BANK_B0</t>
  </si>
  <si>
    <t>ADDRMAP_COL_B11</t>
  </si>
  <si>
    <t>ADDRMAP_COL_B10</t>
  </si>
  <si>
    <t>ADDRMAP_ROW_B11</t>
  </si>
  <si>
    <t>ADDRMAP_ROW_B2_10</t>
  </si>
  <si>
    <t>ADDRMAP_ROW_B1</t>
  </si>
  <si>
    <t>ADDRMAP_ROW_B0</t>
  </si>
  <si>
    <t>ADDRMAP_ROW_B15</t>
  </si>
  <si>
    <t>ADDRMAP_ROW_B14</t>
  </si>
  <si>
    <t>ADDRMAP_ROW_B13</t>
  </si>
  <si>
    <t>ADDRMAP_ROW_B12</t>
  </si>
  <si>
    <t>The following registers are not recommended to be changed by the user</t>
  </si>
  <si>
    <t>The following register is not recommended to be changed by the user</t>
  </si>
  <si>
    <t>DIFF_RANK_WR_GAP</t>
  </si>
  <si>
    <t>DIFF_RANK_RD_GAP</t>
  </si>
  <si>
    <t>MAX_RANK_RD</t>
  </si>
  <si>
    <t>WR2PRE</t>
  </si>
  <si>
    <t>T_FAW</t>
  </si>
  <si>
    <t>T_RAS_MAX</t>
  </si>
  <si>
    <t>T_RAS_MIN</t>
  </si>
  <si>
    <t>(Automatically Calculated) Number of DDRC Clock Cycles</t>
  </si>
  <si>
    <t>RANK1_RD_ODT</t>
  </si>
  <si>
    <t>RANK1_WR_ODT</t>
  </si>
  <si>
    <t>RANK0_RD_ODT</t>
  </si>
  <si>
    <t>RANK0_WR_ODT</t>
  </si>
  <si>
    <t>Mode register programming - CONFIGURABLE BASED ON DRAM TYPE</t>
  </si>
  <si>
    <t>Mode Register Settings are the same for all Chip Selects. 
Look for the supported memory type and fill in the parameters for that memory type.</t>
  </si>
  <si>
    <t>Details:</t>
  </si>
  <si>
    <t>Version number
(Highest to Lowest)</t>
  </si>
  <si>
    <t>1. Important: it is necessary to populate this field with the density in Gbits as it is used in later calculations. This field is cacluated from the previous two fields. The user can also simply type in the total density as well in this field.</t>
  </si>
  <si>
    <t>Latest Version Number</t>
  </si>
  <si>
    <t>The following register is automatically updated from the Device Information table above and should NOT be manually changed.</t>
  </si>
  <si>
    <r>
      <t>The following are to be completed in the "</t>
    </r>
    <r>
      <rPr>
        <i/>
        <sz val="11"/>
        <rFont val="Calibri"/>
        <family val="2"/>
      </rPr>
      <t>Register Configuration"</t>
    </r>
    <r>
      <rPr>
        <sz val="11"/>
        <rFont val="Calibri"/>
        <family val="2"/>
      </rPr>
      <t xml:space="preserve"> Worksheet tab.</t>
    </r>
  </si>
  <si>
    <t>This tool is configured to work with (enter board name):</t>
  </si>
  <si>
    <t>ENABLED</t>
  </si>
  <si>
    <t>DISABLED</t>
  </si>
  <si>
    <t>Description: Selects proportion of DQ bus width that is used by the SDRAM
■00 - Full DQ bus width to SDRAM 
■01 - Half DQ bus width to SDRAM
(The following bit settings are not implmented in this design)
■10 - Quarter DQ bus width to SDRAM
■11 - Reserved.
Value After Reset: 0x0</t>
  </si>
  <si>
    <t>DDRC_DRAMTMG14</t>
  </si>
  <si>
    <t>T_XSR</t>
  </si>
  <si>
    <t>LPDDR4</t>
  </si>
  <si>
    <t>DDR4</t>
  </si>
  <si>
    <t xml:space="preserve">Bus Width </t>
  </si>
  <si>
    <t>DEVICE_CONFIG</t>
  </si>
  <si>
    <r>
      <rPr>
        <b/>
        <sz val="10"/>
        <color theme="1"/>
        <rFont val="Arial"/>
        <family val="2"/>
      </rPr>
      <t>Note, this information is automatically obtained from the Device Information table above.</t>
    </r>
    <r>
      <rPr>
        <sz val="10"/>
        <color theme="1"/>
        <rFont val="Arial"/>
        <family val="2"/>
      </rPr>
      <t xml:space="preserve">
Description: Maps the Chip Selects in use.
Only the following bit configurations are legal:
■ 01 - for one rank (CS0 populated)
■ 11 - for two ranks (CS1 and CS0 populated)
Value After Reset: 0x3</t>
    </r>
  </si>
  <si>
    <t>FREQUENCY_MODE</t>
  </si>
  <si>
    <t>Description: When set, enable burst-chop in DDR3/DDR4. This is only supported in AXI bus configurations (UMCTL2_INCL_ARB not set) using full bus width mode (MSTR.data_bus_width = 00).
■ 0 - Disabled.
■ 1 - Burst-Chop enabled.
Value After Reset: 0x0</t>
  </si>
  <si>
    <r>
      <rPr>
        <b/>
        <sz val="10"/>
        <color theme="1"/>
        <rFont val="Arial"/>
        <family val="2"/>
      </rPr>
      <t>Note, this information is automatically obtained from the Device Information table above.</t>
    </r>
    <r>
      <rPr>
        <sz val="10"/>
        <color theme="1"/>
        <rFont val="Arial"/>
        <family val="2"/>
      </rPr>
      <t xml:space="preserve">
Description: Select LPDDR4 SDRAM
■1 - LPDDR4 SDRAM device in use.
■0 - non-LPDDR4 device in use
Present only in designs configured to support LPDDR4.
Value After Reset: 0x0</t>
    </r>
  </si>
  <si>
    <r>
      <rPr>
        <b/>
        <sz val="10"/>
        <color theme="1"/>
        <rFont val="Arial"/>
        <family val="2"/>
      </rPr>
      <t>Note, this information is automatically obtained from the Device Information table above.</t>
    </r>
    <r>
      <rPr>
        <sz val="10"/>
        <color theme="1"/>
        <rFont val="Arial"/>
        <family val="2"/>
      </rPr>
      <t xml:space="preserve">
Description: Select DDR4 SDRAM
■1 - DDR4 SDRAM device in use.
■0 - non-DDR4 device in use
Present only in designs configured to support DDR4.
Value After Reset: 0x0</t>
    </r>
  </si>
  <si>
    <r>
      <t xml:space="preserve">Description: SDRAM burst length used:
■0001 - Reserved.
</t>
    </r>
    <r>
      <rPr>
        <b/>
        <sz val="10"/>
        <color theme="1"/>
        <rFont val="Arial"/>
        <family val="2"/>
      </rPr>
      <t>■0010 - Burst length of 4 (recommended for LPDDR2)</t>
    </r>
    <r>
      <rPr>
        <sz val="10"/>
        <color theme="1"/>
        <rFont val="Arial"/>
        <family val="2"/>
      </rPr>
      <t xml:space="preserve">
■</t>
    </r>
    <r>
      <rPr>
        <b/>
        <sz val="10"/>
        <color theme="1"/>
        <rFont val="Arial"/>
        <family val="2"/>
      </rPr>
      <t>0100 - Burst length of 8 (recommended for DDR4/DDR3/LPDDR3)</t>
    </r>
    <r>
      <rPr>
        <sz val="10"/>
        <color theme="1"/>
        <rFont val="Arial"/>
        <family val="2"/>
      </rPr>
      <t xml:space="preserve">
■</t>
    </r>
    <r>
      <rPr>
        <b/>
        <sz val="10"/>
        <color theme="1"/>
        <rFont val="Arial"/>
        <family val="2"/>
      </rPr>
      <t>1000 - Burst length of 16 (recommended for LPDDR4)</t>
    </r>
    <r>
      <rPr>
        <sz val="10"/>
        <color theme="1"/>
        <rFont val="Arial"/>
        <family val="2"/>
      </rPr>
      <t xml:space="preserve">
All other values are reserved.
This controls the burst size used to access the SDRAM. This must match the burst length mode register setting in the SDRAM. 
Value After Reset: 0x4</t>
    </r>
  </si>
  <si>
    <t>DDRC_INIT1 is used only for DDR3/LPDDR4 configurations and can be left as is for LPDDR3/LPDDR2. In either case, it is not recommended to change these settings.</t>
  </si>
  <si>
    <r>
      <rPr>
        <b/>
        <sz val="10"/>
        <rFont val="Arial"/>
        <family val="2"/>
      </rPr>
      <t>LPDDR4 MR1:</t>
    </r>
    <r>
      <rPr>
        <sz val="10"/>
        <rFont val="Arial"/>
        <family val="2"/>
      </rPr>
      <t xml:space="preserve">
Read Pre-amble Type
0B: RD Pre-amble = Static (default)
1B: RD Pre-amble = Toggle</t>
    </r>
  </si>
  <si>
    <r>
      <rPr>
        <b/>
        <sz val="10"/>
        <rFont val="Arial"/>
        <family val="2"/>
      </rPr>
      <t>LPDDR4 MR1:</t>
    </r>
    <r>
      <rPr>
        <sz val="10"/>
        <rFont val="Arial"/>
        <family val="2"/>
      </rPr>
      <t xml:space="preserve">
Write Pre-amble Length
0B: Reserved
1B: WR Pre-amble = 2*tCK</t>
    </r>
  </si>
  <si>
    <r>
      <rPr>
        <b/>
        <sz val="10"/>
        <rFont val="Arial"/>
        <family val="2"/>
      </rPr>
      <t>LPDDR4 MR1:</t>
    </r>
    <r>
      <rPr>
        <sz val="10"/>
        <rFont val="Arial"/>
        <family val="2"/>
      </rPr>
      <t xml:space="preserve">
Burst Length
00B: BL=16 Sequential (default)
01B: BL=32 Sequential
10B: BL=16 or 32 Sequential (on-the-fly)
All Others: Reserved</t>
    </r>
  </si>
  <si>
    <r>
      <rPr>
        <b/>
        <sz val="10"/>
        <rFont val="Arial"/>
        <family val="2"/>
      </rPr>
      <t>LPDDR4 MR2:</t>
    </r>
    <r>
      <rPr>
        <sz val="10"/>
        <rFont val="Arial"/>
        <family val="2"/>
      </rPr>
      <t xml:space="preserve">
Enable write leveling
0B: Disabled (default)
1B: Enabled</t>
    </r>
  </si>
  <si>
    <r>
      <rPr>
        <b/>
        <sz val="10"/>
        <rFont val="Arial"/>
        <family val="2"/>
      </rPr>
      <t>LPDDR4 MR2:</t>
    </r>
    <r>
      <rPr>
        <sz val="10"/>
        <rFont val="Arial"/>
        <family val="2"/>
      </rPr>
      <t xml:space="preserve">
Write latency set: MR2 OP[6] setting
0B: WL set "A" (default)
1B: WL set "B"</t>
    </r>
  </si>
  <si>
    <r>
      <t xml:space="preserve">LPDDR4 MR3:
</t>
    </r>
    <r>
      <rPr>
        <sz val="10"/>
        <rFont val="Arial"/>
        <family val="2"/>
      </rPr>
      <t>DBI-WR</t>
    </r>
    <r>
      <rPr>
        <b/>
        <sz val="10"/>
        <rFont val="Arial"/>
        <family val="2"/>
      </rPr>
      <t xml:space="preserve">
</t>
    </r>
    <r>
      <rPr>
        <sz val="10"/>
        <rFont val="Arial"/>
        <family val="2"/>
      </rPr>
      <t>0B: Disabled (default)
1B: Enabled</t>
    </r>
  </si>
  <si>
    <r>
      <t xml:space="preserve">LPDDR4 MR3:
</t>
    </r>
    <r>
      <rPr>
        <sz val="10"/>
        <rFont val="Arial"/>
        <family val="2"/>
      </rPr>
      <t>DBI-RD</t>
    </r>
    <r>
      <rPr>
        <b/>
        <sz val="10"/>
        <rFont val="Arial"/>
        <family val="2"/>
      </rPr>
      <t xml:space="preserve">
</t>
    </r>
    <r>
      <rPr>
        <sz val="10"/>
        <rFont val="Arial"/>
        <family val="2"/>
      </rPr>
      <t>0B: Disabled (default)
1B: Enabled</t>
    </r>
  </si>
  <si>
    <r>
      <t xml:space="preserve">LPDDR4 MR3:
</t>
    </r>
    <r>
      <rPr>
        <sz val="10"/>
        <rFont val="Arial"/>
        <family val="2"/>
      </rPr>
      <t>PDDS</t>
    </r>
    <r>
      <rPr>
        <b/>
        <sz val="10"/>
        <rFont val="Arial"/>
        <family val="2"/>
      </rPr>
      <t xml:space="preserve">
</t>
    </r>
    <r>
      <rPr>
        <sz val="10"/>
        <rFont val="Arial"/>
        <family val="2"/>
      </rPr>
      <t>000B: RFU
001B: RZQ/1
010B: RZQ/2
011B: RZQ/3
100B: RZQ/4
101B: RZQ/5
110B: RZQ/6 (default)
111B: Reserved</t>
    </r>
  </si>
  <si>
    <r>
      <t xml:space="preserve">LPDDR4 MR3:
</t>
    </r>
    <r>
      <rPr>
        <sz val="10"/>
        <rFont val="Arial"/>
        <family val="2"/>
      </rPr>
      <t>PPRP
0B: PPR protection disabled (default)
1B: PPR protection enabled</t>
    </r>
  </si>
  <si>
    <r>
      <t xml:space="preserve">LPDDR4 MR3:
</t>
    </r>
    <r>
      <rPr>
        <sz val="10"/>
        <rFont val="Arial"/>
        <family val="2"/>
      </rPr>
      <t>WR PST
0B: WR Post-amble = 0.5*tCK (default)
1B: WR Post-amble = 1.5*tCK(Vendor specific
function)</t>
    </r>
  </si>
  <si>
    <r>
      <t xml:space="preserve">LPDDR4 MR3:
</t>
    </r>
    <r>
      <rPr>
        <sz val="10"/>
        <rFont val="Arial"/>
        <family val="2"/>
      </rPr>
      <t>PU-CAL
0B: VDDQ/2.5
1B: VDDQ/3 (default)</t>
    </r>
  </si>
  <si>
    <r>
      <t xml:space="preserve">LPDDR4 MR13:
</t>
    </r>
    <r>
      <rPr>
        <sz val="10"/>
        <rFont val="Arial"/>
        <family val="2"/>
      </rPr>
      <t>FSP-OP
0B: Frequency-Set-Point[0] (default)
1B: Frequency-Set-Point [1]</t>
    </r>
  </si>
  <si>
    <r>
      <t xml:space="preserve">LPDDR4 MR13:
</t>
    </r>
    <r>
      <rPr>
        <sz val="10"/>
        <rFont val="Arial"/>
        <family val="2"/>
      </rPr>
      <t>FSP-WR</t>
    </r>
    <r>
      <rPr>
        <b/>
        <sz val="10"/>
        <rFont val="Arial"/>
        <family val="2"/>
      </rPr>
      <t xml:space="preserve">
</t>
    </r>
    <r>
      <rPr>
        <sz val="10"/>
        <rFont val="Arial"/>
        <family val="2"/>
      </rPr>
      <t>0B: Frequency-Set-Point[0] (default)
1B: Frequency-Set-Point [1]</t>
    </r>
  </si>
  <si>
    <r>
      <t xml:space="preserve">LPDDR4 MR13:
</t>
    </r>
    <r>
      <rPr>
        <sz val="10"/>
        <rFont val="Arial"/>
        <family val="2"/>
      </rPr>
      <t>DMD</t>
    </r>
    <r>
      <rPr>
        <b/>
        <sz val="10"/>
        <rFont val="Arial"/>
        <family val="2"/>
      </rPr>
      <t xml:space="preserve">
</t>
    </r>
    <r>
      <rPr>
        <sz val="10"/>
        <rFont val="Arial"/>
        <family val="2"/>
      </rPr>
      <t>0B: Data Mask Operation Enabled (default)
1B: Data Mask Operation Disabled</t>
    </r>
  </si>
  <si>
    <r>
      <t xml:space="preserve">LPDDR4 MR13:
</t>
    </r>
    <r>
      <rPr>
        <sz val="10"/>
        <rFont val="Arial"/>
        <family val="2"/>
      </rPr>
      <t>RRO</t>
    </r>
    <r>
      <rPr>
        <b/>
        <sz val="10"/>
        <rFont val="Arial"/>
        <family val="2"/>
      </rPr>
      <t xml:space="preserve">
</t>
    </r>
    <r>
      <rPr>
        <sz val="10"/>
        <rFont val="Arial"/>
        <family val="2"/>
      </rPr>
      <t>0B: Disable codes 001 and 010 in MR4 OP[2:0]
1B: Enable all codes in MR4 OP[2:0]</t>
    </r>
  </si>
  <si>
    <r>
      <t xml:space="preserve">LPDDR4 MR13:
</t>
    </r>
    <r>
      <rPr>
        <sz val="10"/>
        <rFont val="Arial"/>
        <family val="2"/>
      </rPr>
      <t>VRO</t>
    </r>
    <r>
      <rPr>
        <b/>
        <sz val="10"/>
        <rFont val="Arial"/>
        <family val="2"/>
      </rPr>
      <t xml:space="preserve">
</t>
    </r>
    <r>
      <rPr>
        <sz val="10"/>
        <rFont val="Arial"/>
        <family val="2"/>
      </rPr>
      <t>0B: Normal operation (default)
1B: Output the VREF(ca) and VREF(dq) values on DQ bits</t>
    </r>
  </si>
  <si>
    <r>
      <t xml:space="preserve">LPDDR4 MR13:
</t>
    </r>
    <r>
      <rPr>
        <sz val="10"/>
        <rFont val="Arial"/>
        <family val="2"/>
      </rPr>
      <t>RPT</t>
    </r>
    <r>
      <rPr>
        <b/>
        <sz val="10"/>
        <rFont val="Arial"/>
        <family val="2"/>
      </rPr>
      <t xml:space="preserve">
</t>
    </r>
    <r>
      <rPr>
        <sz val="10"/>
        <rFont val="Arial"/>
        <family val="2"/>
      </rPr>
      <t>0B : Disable (default)
1B : Enable</t>
    </r>
  </si>
  <si>
    <r>
      <t xml:space="preserve">LPDDR4 MR13:
</t>
    </r>
    <r>
      <rPr>
        <sz val="10"/>
        <rFont val="Arial"/>
        <family val="2"/>
      </rPr>
      <t>CBT
0B: Normal Operation (default)
1B: Command Bus Training Mode Enabled</t>
    </r>
  </si>
  <si>
    <t>DDRC_DRAMTMG6 is used only for LPDDR4/LPDDR3/LPDDR2 configurations and can be left as is for other memory types In either case, it is not recommended to change these settings.</t>
  </si>
  <si>
    <t>DDRC_DRAMTMG7 is used only for LPDDR4/LPDDR3/LPDDR2 configurations and can be left as is for other memory types. In either case, it is not recommended to change these settings.</t>
  </si>
  <si>
    <t>T_CMDCKE</t>
  </si>
  <si>
    <t>T_MRD_PDA</t>
  </si>
  <si>
    <t>DDRC_DRAMTMG12</t>
  </si>
  <si>
    <t>ODTLOFF</t>
  </si>
  <si>
    <t>T_CCD_MW</t>
  </si>
  <si>
    <t>T_PPD</t>
  </si>
  <si>
    <t>DDRC_DRAMTMG13</t>
  </si>
  <si>
    <t>DIS_MPSMX_ZQCL</t>
  </si>
  <si>
    <t>Description:
■1 - Disable issuing of ZQCL command at Maximum Power Saving Mode exit. Only applicable when run in DDR4 mode.
■0 - Enable issuing of ZQCL command at Maximum Power Saving Mode exit. Only applicable when run in DDR4 mode.
This is only present for designs supporting DDR4 devices.</t>
  </si>
  <si>
    <t>DFI_T_CMD_LAT</t>
  </si>
  <si>
    <t>Description: Specifies the number of DFI PHY clocks between when the dfi_cs signal is asserted and when the associated command is driven. This field is used for CAL mode, should be set to '0' or the value which matches the CAL mode register setting in the DRAM.
If the PHY can add the latency for CAL mode, this should be set to '0'.
Valid Range: 0, 3, 4, 5, 6, and 8
Value After Reset: 0x0</t>
  </si>
  <si>
    <t>DFI_T_PARIN_LAT</t>
  </si>
  <si>
    <t>Description: Specifies the number of DFI PHY clocks between when the dfi_cs signal is asserted and when the associated dfi_parity_in signal is driven.
Value After Reset: 0x0</t>
  </si>
  <si>
    <t>DDRC_DFITMG2</t>
  </si>
  <si>
    <t>DFI_TPHY_RDCSLAT</t>
  </si>
  <si>
    <t>DFI_TPHY_WRCSLAT</t>
  </si>
  <si>
    <t>DDRC_DFIMISC</t>
  </si>
  <si>
    <t>DFI_DATA_CS_POLARITY</t>
  </si>
  <si>
    <t>PHY_DBI_MODE</t>
  </si>
  <si>
    <t>DFI_INIT_COMPLETE_EN</t>
  </si>
  <si>
    <t>Description: Defines polarity of dfi_wrdata_cs and dfi_rddata_cs signals.
■0: Signals are active low
■1: Signals are active high
Value After Reset: 0x0</t>
  </si>
  <si>
    <t>Description: DBI implemented in DDRC or PHY.
■0 - DDRC implements DBI functionality.
■1 - PHY implements DBI functionality. Present only in designs configured to support DDR4 and LPDDR4.
Value After Reset: 0x0</t>
  </si>
  <si>
    <t>Description: PHY initialization complete enable signal.
When asserted the dfi_init_complete signal can be used to trigger SDRAM initialization
Value After Reset: 0x1</t>
  </si>
  <si>
    <t>Description: This is the maximum amount of time between uMCTL2 initiated DFI update requests.
This timer resets with each update request; when the timer expires dfi_ctrlupd_req is sent and traffic is blocked until the dfi_ctrlupd_ackx is received. PHY can use this idle time to recalibrate the delay lines to the DLLs. The DFI controller update is also used to reset PHY FIFO pointers in case of data capture errors. Updates are required to maintain calibration over PVT, but frequent updates may impact performance.
Note: Value programmed for DFIUPD1.dfi_t_ctrlupd_interval_max_x1024 must be greater than DFIUPD1.dfi_t_ctrlupd_interval_min_x1024.
Unit: 1024 clocks
Value After Reset: 0x0</t>
  </si>
  <si>
    <t>DDRC MR and EMR:
LPDDR4/LPDDR3/LPDDR2 MR1 and MR2 Register Settings
or
DDR3 MR0 and MR1 Register Settings</t>
  </si>
  <si>
    <t>DDRC EMR and EMR3:
LPDDR4/LPDDR3/LPDDR2 MR3 Register Settings 
or
DDR3 MR2 and MR3 Register Settings</t>
  </si>
  <si>
    <r>
      <rPr>
        <b/>
        <sz val="10"/>
        <rFont val="Arial"/>
        <family val="2"/>
      </rPr>
      <t>MR</t>
    </r>
    <r>
      <rPr>
        <sz val="10"/>
        <rFont val="Arial"/>
        <family val="2"/>
      </rPr>
      <t xml:space="preserve">
LPDDR4 </t>
    </r>
    <r>
      <rPr>
        <b/>
        <sz val="10"/>
        <rFont val="Arial"/>
        <family val="2"/>
      </rPr>
      <t>MR1:</t>
    </r>
    <r>
      <rPr>
        <sz val="10"/>
        <rFont val="Arial"/>
        <family val="2"/>
      </rPr>
      <t xml:space="preserve"> RPST (RD Post-Amble Length)</t>
    </r>
  </si>
  <si>
    <r>
      <rPr>
        <b/>
        <sz val="10"/>
        <rFont val="Arial"/>
        <family val="2"/>
      </rPr>
      <t>MR</t>
    </r>
    <r>
      <rPr>
        <sz val="10"/>
        <rFont val="Arial"/>
        <family val="2"/>
      </rPr>
      <t xml:space="preserve">
LPDDR4 </t>
    </r>
    <r>
      <rPr>
        <b/>
        <sz val="10"/>
        <rFont val="Arial"/>
        <family val="2"/>
      </rPr>
      <t>MR1:</t>
    </r>
    <r>
      <rPr>
        <sz val="10"/>
        <rFont val="Arial"/>
        <family val="2"/>
      </rPr>
      <t xml:space="preserve"> nWR (Write-Recovery for Auto-Pre-charge commands)</t>
    </r>
  </si>
  <si>
    <r>
      <rPr>
        <b/>
        <sz val="10"/>
        <rFont val="Arial"/>
        <family val="2"/>
      </rPr>
      <t>MR</t>
    </r>
    <r>
      <rPr>
        <sz val="10"/>
        <rFont val="Arial"/>
        <family val="2"/>
      </rPr>
      <t xml:space="preserve">
LPDDR4 </t>
    </r>
    <r>
      <rPr>
        <b/>
        <sz val="10"/>
        <rFont val="Arial"/>
        <family val="2"/>
      </rPr>
      <t>MR1:</t>
    </r>
    <r>
      <rPr>
        <sz val="10"/>
        <rFont val="Arial"/>
        <family val="2"/>
      </rPr>
      <t xml:space="preserve"> RD-PRE (RD Pre-amble Type)</t>
    </r>
  </si>
  <si>
    <r>
      <rPr>
        <b/>
        <sz val="10"/>
        <rFont val="Arial"/>
        <family val="2"/>
      </rPr>
      <t>MR</t>
    </r>
    <r>
      <rPr>
        <sz val="10"/>
        <rFont val="Arial"/>
        <family val="2"/>
      </rPr>
      <t xml:space="preserve">
LPDDR4 </t>
    </r>
    <r>
      <rPr>
        <b/>
        <sz val="10"/>
        <rFont val="Arial"/>
        <family val="2"/>
      </rPr>
      <t>MR1:</t>
    </r>
    <r>
      <rPr>
        <sz val="10"/>
        <rFont val="Arial"/>
        <family val="2"/>
      </rPr>
      <t xml:space="preserve"> WR-PRE (WR Pre-amble Length)</t>
    </r>
  </si>
  <si>
    <r>
      <rPr>
        <b/>
        <sz val="10"/>
        <rFont val="Arial"/>
        <family val="2"/>
      </rPr>
      <t>MR</t>
    </r>
    <r>
      <rPr>
        <sz val="10"/>
        <rFont val="Arial"/>
        <family val="2"/>
      </rPr>
      <t xml:space="preserve">
LPDDR4 </t>
    </r>
    <r>
      <rPr>
        <b/>
        <sz val="10"/>
        <rFont val="Arial"/>
        <family val="2"/>
      </rPr>
      <t>MR1:</t>
    </r>
    <r>
      <rPr>
        <sz val="10"/>
        <rFont val="Arial"/>
        <family val="2"/>
      </rPr>
      <t xml:space="preserve"> BL (Burst Length)</t>
    </r>
  </si>
  <si>
    <r>
      <rPr>
        <b/>
        <sz val="10"/>
        <rFont val="Arial"/>
        <family val="2"/>
      </rPr>
      <t>EMR</t>
    </r>
    <r>
      <rPr>
        <sz val="10"/>
        <rFont val="Arial"/>
        <family val="2"/>
      </rPr>
      <t xml:space="preserve">
LPDDR4 </t>
    </r>
    <r>
      <rPr>
        <b/>
        <sz val="10"/>
        <rFont val="Arial"/>
        <family val="2"/>
      </rPr>
      <t>MR2:</t>
    </r>
    <r>
      <rPr>
        <sz val="10"/>
        <rFont val="Arial"/>
        <family val="2"/>
      </rPr>
      <t xml:space="preserve"> WR Lev (Write Leveling)</t>
    </r>
  </si>
  <si>
    <r>
      <rPr>
        <b/>
        <sz val="10"/>
        <rFont val="Arial"/>
        <family val="2"/>
      </rPr>
      <t>EMR</t>
    </r>
    <r>
      <rPr>
        <sz val="10"/>
        <rFont val="Arial"/>
        <family val="2"/>
      </rPr>
      <t xml:space="preserve">
LPDDR4 </t>
    </r>
    <r>
      <rPr>
        <b/>
        <sz val="10"/>
        <rFont val="Arial"/>
        <family val="2"/>
      </rPr>
      <t>MR2:</t>
    </r>
    <r>
      <rPr>
        <sz val="10"/>
        <rFont val="Arial"/>
        <family val="2"/>
      </rPr>
      <t xml:space="preserve"> WLS (Write Latency Set)</t>
    </r>
  </si>
  <si>
    <r>
      <rPr>
        <b/>
        <sz val="10"/>
        <rFont val="Arial"/>
        <family val="2"/>
      </rPr>
      <t>EMR</t>
    </r>
    <r>
      <rPr>
        <sz val="10"/>
        <rFont val="Arial"/>
        <family val="2"/>
      </rPr>
      <t xml:space="preserve">
LPDDR4 </t>
    </r>
    <r>
      <rPr>
        <b/>
        <sz val="10"/>
        <rFont val="Arial"/>
        <family val="2"/>
      </rPr>
      <t>MR2:</t>
    </r>
    <r>
      <rPr>
        <sz val="10"/>
        <rFont val="Arial"/>
        <family val="2"/>
      </rPr>
      <t xml:space="preserve"> WL (Write Latency)</t>
    </r>
  </si>
  <si>
    <r>
      <rPr>
        <b/>
        <sz val="10"/>
        <rFont val="Arial"/>
        <family val="2"/>
      </rPr>
      <t>EMR</t>
    </r>
    <r>
      <rPr>
        <sz val="10"/>
        <rFont val="Arial"/>
        <family val="2"/>
      </rPr>
      <t xml:space="preserve">
LPDDR4 </t>
    </r>
    <r>
      <rPr>
        <b/>
        <sz val="10"/>
        <rFont val="Arial"/>
        <family val="2"/>
      </rPr>
      <t>MR2:</t>
    </r>
    <r>
      <rPr>
        <sz val="10"/>
        <rFont val="Arial"/>
        <family val="2"/>
      </rPr>
      <t xml:space="preserve"> RL (Read Latency)</t>
    </r>
  </si>
  <si>
    <r>
      <rPr>
        <b/>
        <sz val="10"/>
        <rFont val="Arial"/>
        <family val="2"/>
      </rPr>
      <t>EMR2</t>
    </r>
    <r>
      <rPr>
        <sz val="10"/>
        <rFont val="Arial"/>
        <family val="2"/>
      </rPr>
      <t xml:space="preserve">
LPDDR4 </t>
    </r>
    <r>
      <rPr>
        <b/>
        <sz val="10"/>
        <rFont val="Arial"/>
        <family val="2"/>
      </rPr>
      <t>MR3:</t>
    </r>
    <r>
      <rPr>
        <sz val="10"/>
        <rFont val="Arial"/>
        <family val="2"/>
      </rPr>
      <t xml:space="preserve"> DBI-WR (DBI-WRITE Enable)</t>
    </r>
  </si>
  <si>
    <r>
      <rPr>
        <b/>
        <sz val="10"/>
        <rFont val="Arial"/>
        <family val="2"/>
      </rPr>
      <t>EMR2</t>
    </r>
    <r>
      <rPr>
        <sz val="10"/>
        <rFont val="Arial"/>
        <family val="2"/>
      </rPr>
      <t xml:space="preserve">
LPDDR4 </t>
    </r>
    <r>
      <rPr>
        <b/>
        <sz val="10"/>
        <rFont val="Arial"/>
        <family val="2"/>
      </rPr>
      <t>MR3:</t>
    </r>
    <r>
      <rPr>
        <sz val="10"/>
        <rFont val="Arial"/>
        <family val="2"/>
      </rPr>
      <t xml:space="preserve"> DBI-RD (DBI-READ Enable)</t>
    </r>
  </si>
  <si>
    <r>
      <rPr>
        <b/>
        <sz val="10"/>
        <rFont val="Arial"/>
        <family val="2"/>
      </rPr>
      <t>EMR2</t>
    </r>
    <r>
      <rPr>
        <sz val="10"/>
        <rFont val="Arial"/>
        <family val="2"/>
      </rPr>
      <t xml:space="preserve">
LPDDR4 </t>
    </r>
    <r>
      <rPr>
        <b/>
        <sz val="10"/>
        <rFont val="Arial"/>
        <family val="2"/>
      </rPr>
      <t>MR3:</t>
    </r>
    <r>
      <rPr>
        <sz val="10"/>
        <rFont val="Arial"/>
        <family val="2"/>
      </rPr>
      <t xml:space="preserve"> PDDS (Pull-Down Drive Strength)</t>
    </r>
  </si>
  <si>
    <r>
      <rPr>
        <b/>
        <sz val="10"/>
        <rFont val="Arial"/>
        <family val="2"/>
      </rPr>
      <t>EMR2</t>
    </r>
    <r>
      <rPr>
        <sz val="10"/>
        <rFont val="Arial"/>
        <family val="2"/>
      </rPr>
      <t xml:space="preserve">
LPDDR4 </t>
    </r>
    <r>
      <rPr>
        <b/>
        <sz val="10"/>
        <rFont val="Arial"/>
        <family val="2"/>
      </rPr>
      <t>MR3:</t>
    </r>
    <r>
      <rPr>
        <sz val="10"/>
        <rFont val="Arial"/>
        <family val="2"/>
      </rPr>
      <t xml:space="preserve"> Post Package Repair Protection</t>
    </r>
  </si>
  <si>
    <r>
      <rPr>
        <b/>
        <sz val="10"/>
        <rFont val="Arial"/>
        <family val="2"/>
      </rPr>
      <t>EMR2</t>
    </r>
    <r>
      <rPr>
        <sz val="10"/>
        <rFont val="Arial"/>
        <family val="2"/>
      </rPr>
      <t xml:space="preserve">
LPDDR4 </t>
    </r>
    <r>
      <rPr>
        <b/>
        <sz val="10"/>
        <rFont val="Arial"/>
        <family val="2"/>
      </rPr>
      <t>MR3:</t>
    </r>
    <r>
      <rPr>
        <sz val="10"/>
        <rFont val="Arial"/>
        <family val="2"/>
      </rPr>
      <t xml:space="preserve"> WR PST (WR Post-Amble Length)</t>
    </r>
  </si>
  <si>
    <r>
      <rPr>
        <b/>
        <sz val="10"/>
        <rFont val="Arial"/>
        <family val="2"/>
      </rPr>
      <t>EMR2</t>
    </r>
    <r>
      <rPr>
        <sz val="10"/>
        <rFont val="Arial"/>
        <family val="2"/>
      </rPr>
      <t xml:space="preserve">
LPDDR4 </t>
    </r>
    <r>
      <rPr>
        <b/>
        <sz val="10"/>
        <rFont val="Arial"/>
        <family val="2"/>
      </rPr>
      <t>MR3:</t>
    </r>
    <r>
      <rPr>
        <sz val="10"/>
        <rFont val="Arial"/>
        <family val="2"/>
      </rPr>
      <t xml:space="preserve"> PU-Cal (Pull-up Calibration Point)</t>
    </r>
  </si>
  <si>
    <r>
      <t xml:space="preserve">EMR3
</t>
    </r>
    <r>
      <rPr>
        <sz val="10"/>
        <rFont val="Arial"/>
        <family val="2"/>
      </rPr>
      <t xml:space="preserve">LPDDR4 </t>
    </r>
    <r>
      <rPr>
        <b/>
        <sz val="10"/>
        <rFont val="Arial"/>
        <family val="2"/>
      </rPr>
      <t>MR13:</t>
    </r>
    <r>
      <rPr>
        <sz val="10"/>
        <rFont val="Arial"/>
        <family val="2"/>
      </rPr>
      <t xml:space="preserve"> FSP-OP (Frequency Set Point Operation Mode)</t>
    </r>
  </si>
  <si>
    <r>
      <t xml:space="preserve">EMR3
</t>
    </r>
    <r>
      <rPr>
        <sz val="10"/>
        <rFont val="Arial"/>
        <family val="2"/>
      </rPr>
      <t xml:space="preserve">LPDDR4 </t>
    </r>
    <r>
      <rPr>
        <b/>
        <sz val="10"/>
        <rFont val="Arial"/>
        <family val="2"/>
      </rPr>
      <t>MR13:</t>
    </r>
    <r>
      <rPr>
        <sz val="10"/>
        <rFont val="Arial"/>
        <family val="2"/>
      </rPr>
      <t xml:space="preserve"> FSP-WR (Frequency Set Point Write Enable)</t>
    </r>
  </si>
  <si>
    <r>
      <t xml:space="preserve">EMR3
</t>
    </r>
    <r>
      <rPr>
        <sz val="10"/>
        <rFont val="Arial"/>
        <family val="2"/>
      </rPr>
      <t xml:space="preserve">LPDDR4 </t>
    </r>
    <r>
      <rPr>
        <b/>
        <sz val="10"/>
        <rFont val="Arial"/>
        <family val="2"/>
      </rPr>
      <t>MR13:</t>
    </r>
    <r>
      <rPr>
        <sz val="10"/>
        <rFont val="Arial"/>
        <family val="2"/>
      </rPr>
      <t xml:space="preserve"> DMD (Data Mask Disable)</t>
    </r>
  </si>
  <si>
    <r>
      <t xml:space="preserve">EMR3
</t>
    </r>
    <r>
      <rPr>
        <sz val="10"/>
        <rFont val="Arial"/>
        <family val="2"/>
      </rPr>
      <t xml:space="preserve">LPDDR4 </t>
    </r>
    <r>
      <rPr>
        <b/>
        <sz val="10"/>
        <rFont val="Arial"/>
        <family val="2"/>
      </rPr>
      <t>MR13:</t>
    </r>
    <r>
      <rPr>
        <sz val="10"/>
        <rFont val="Arial"/>
        <family val="2"/>
      </rPr>
      <t xml:space="preserve"> RRO Refresh rate option</t>
    </r>
  </si>
  <si>
    <r>
      <t xml:space="preserve">EMR3
</t>
    </r>
    <r>
      <rPr>
        <sz val="10"/>
        <rFont val="Arial"/>
        <family val="2"/>
      </rPr>
      <t xml:space="preserve">LPDDR4 </t>
    </r>
    <r>
      <rPr>
        <b/>
        <sz val="10"/>
        <rFont val="Arial"/>
        <family val="2"/>
      </rPr>
      <t>MR13:</t>
    </r>
    <r>
      <rPr>
        <sz val="10"/>
        <rFont val="Arial"/>
        <family val="2"/>
      </rPr>
      <t xml:space="preserve"> VRCG (VREF Current Generator)</t>
    </r>
  </si>
  <si>
    <r>
      <t xml:space="preserve">EMR3
</t>
    </r>
    <r>
      <rPr>
        <sz val="10"/>
        <rFont val="Arial"/>
        <family val="2"/>
      </rPr>
      <t xml:space="preserve">LPDDR4 </t>
    </r>
    <r>
      <rPr>
        <b/>
        <sz val="10"/>
        <rFont val="Arial"/>
        <family val="2"/>
      </rPr>
      <t>MR13:</t>
    </r>
    <r>
      <rPr>
        <sz val="10"/>
        <rFont val="Arial"/>
        <family val="2"/>
      </rPr>
      <t xml:space="preserve"> VRO (VREF Output)</t>
    </r>
  </si>
  <si>
    <r>
      <t xml:space="preserve">EMR3
</t>
    </r>
    <r>
      <rPr>
        <sz val="10"/>
        <rFont val="Arial"/>
        <family val="2"/>
      </rPr>
      <t xml:space="preserve">LPDDR4 </t>
    </r>
    <r>
      <rPr>
        <b/>
        <sz val="10"/>
        <rFont val="Arial"/>
        <family val="2"/>
      </rPr>
      <t>MR13:</t>
    </r>
    <r>
      <rPr>
        <sz val="10"/>
        <rFont val="Arial"/>
        <family val="2"/>
      </rPr>
      <t xml:space="preserve"> RPT (Read Preamble Training Mode)</t>
    </r>
  </si>
  <si>
    <r>
      <t xml:space="preserve">EMR3
</t>
    </r>
    <r>
      <rPr>
        <sz val="10"/>
        <rFont val="Arial"/>
        <family val="2"/>
      </rPr>
      <t xml:space="preserve">LPDDR4 </t>
    </r>
    <r>
      <rPr>
        <b/>
        <sz val="10"/>
        <rFont val="Arial"/>
        <family val="2"/>
      </rPr>
      <t>MR13:</t>
    </r>
    <r>
      <rPr>
        <sz val="10"/>
        <rFont val="Arial"/>
        <family val="2"/>
      </rPr>
      <t xml:space="preserve"> CBT (Command Bus Training)</t>
    </r>
  </si>
  <si>
    <t>DDRC0 Base Address (do not modify)</t>
  </si>
  <si>
    <t>DDRC0 Register address</t>
  </si>
  <si>
    <t>DDRC0 Register address (HEX)</t>
  </si>
  <si>
    <t>DDRC_RFSHCTL0</t>
  </si>
  <si>
    <t>refresh_margin</t>
  </si>
  <si>
    <t>Threshold value in number of DFI clock cycles before the critical refresh or page timer expires. A critical refresh is to be issued before this threshold is reached. It is recommended that this not be changed from the default value, currently shown as 0x2. It must always be less than internally used t_rfc_nom_x32. Note that, in LPDDR2/LPDDR3/LPDDR4, internally used t_rfc_nom_x32 may be equal to RFSHTMG.t_rfc_nom_x32&gt;&gt;2 if derating is enabled (DERATEEN.derate_enable=1). Otherwise, internally used t_rfc_nom_x32 will be equal to RFSHTMG.t_rfc_nom_x32.
Unit: Multiples of 32 DFI clocks.
Value After Reset: 0x2
Exists: Always</t>
  </si>
  <si>
    <t>refresh_to_x32</t>
  </si>
  <si>
    <t>If the refresh timer (tRFCnom, also known as tREFI) has expired at least once, but it has not expired (RFSHCTL0.refresh_burst+1) times yet, then a speculative refresh may be performed. A speculative refresh is a refresh performed at a time when refresh would be useful, but before it is absolutely required. When the SDRAM bus is idle for a period of time determined by this RFSHCTL0.refresh_to_x32 and the refresh timer has expired at least once since the last refresh, then a speculative refresh is performed. Speculative refreshes continues successively until there are no refreshes pending or until new reads or writes are issued to the uMCTL2.
FOR PERFORMANCE ONLY.
Unit: Multiples of 32 DFI clocks.
Value After Reset: 0x10
Exists: Always</t>
  </si>
  <si>
    <t>refresh_burst</t>
  </si>
  <si>
    <t>The programmed value + 1 is the number of refresh timeouts that is allowed to accumulate before traffic is blocked and the refreshes are forced to execute. Closing pages to perform a refresh is a one-time penalty that must be paid for each group of refreshes. Therefore, performing refreshes in a burst reduces the per-refresh penalty of these page closings. Higher numbers for RFSHCTL.refresh_burst slightly increases utilization; lower numbers decreases the worst-case latency associated with refreshes.
■0 - single refresh
■1 - burst-of-2 refresh
■7 - burst-of-8 refresh
For information on burst refresh feature refer to section 3.9 of DDR2 JEDEC specification - JESD79-2F.pdf.
For DDR2/3, the refresh is always per-rank and not per-bank. The rank refresh can be accumulated over 8*tREFI cycles using the burst refresh feature. In DDR4 mode, according to Fine Granularity feature, 8 refreshes can be postponed in 1X mode, 16 refreshes in 2X mode and 32 refreshes in 4X mode. If using PHY-initiated updates, care must be taken in the setting of RFSHCTL0.refresh_burst, to ensure that tRFCmax is not violated due to a PHY-initiated update occurring shortly before a refresh burst was due. In this situation, the refresh burst will be delayed until the PHY-initiated update is complete.
Value After Reset: 0x0
Exists: Always</t>
  </si>
  <si>
    <t>per_bank_refresh</t>
  </si>
  <si>
    <t>■1 - Per bank refresh;
■0 - All bank refresh.
Per bank refresh allows traffic to flow to other banks. Per bank refresh is not supported by all LPDDR2 devices but should be supported by all LPDDR3/LPDDR4 devices. Present only in designs configured to support LPDDR2/LPDDR3/LPDDR4
Value After Reset: 0x0
Exists: MEMC_LPDDR2==1</t>
  </si>
  <si>
    <t>T_RC</t>
  </si>
  <si>
    <t>tMOD: Parameter used only in DDR3 and DDR4. Cycles between load mode command and following non-load mode command.
If C/A parity for DDR4 is used, set to tMOD_PAR(tMOD+PL) instead.
Set to tMOD if controller is operating in 1:1 frequency ratio mode, or tMOD/2 (rounded up to next integer) if controller is operating in 1:2 frequency ratio mode. Note that if using RDIMM/LRDIMM, depending on the PHY, it may be necessary to adjust the value of this parameter to compensate for the extra cycle of latency applied to mode register writes by the RDIMM/LRDIMM chip.
Also note that if using LRDIMM, the minimum value of this register is tMRD_L2 if controller is operating in 1:1 frequency ratio mode, or tMRD_L2/2 (rounded up to next integer) if controller is operating in 1:2 frequency ratio mode.</t>
  </si>
  <si>
    <r>
      <rPr>
        <b/>
        <sz val="10"/>
        <color theme="1"/>
        <rFont val="Arial"/>
        <family val="2"/>
      </rPr>
      <t>Note, this field is updated automatically and it is not recommended to manually configure it.</t>
    </r>
    <r>
      <rPr>
        <sz val="10"/>
        <color theme="1"/>
        <rFont val="Arial"/>
        <family val="2"/>
      </rPr>
      <t xml:space="preserve">
Number of cycles to assert SDRAM reset signal during init sequence.
This is only present for designs supporting DDR3, DDR4 or LPDDR4 devices. For use with a Synopsys DDR PHY, this should be set to a minimum of 1.
When the controller is operating in 1:2 frequency ratio mode, program this to JEDEC spec value divided by 2, and round it up to the next integer value.
Unit: 1024 DFI clock cycles.
Value After Reset: 0x0</t>
    </r>
  </si>
  <si>
    <r>
      <t xml:space="preserve">Description: Selects the HIF address bit used as column address bit 11.
Valid Range: 0 to 7 and 15
Internal Base: 11
The selected HIF address bit is determined by adding the internal base to the value of this field.
If set to 15, column address bit 11 is set to 0.
Value After Reset: 0x0
</t>
    </r>
    <r>
      <rPr>
        <b/>
        <sz val="10"/>
        <color theme="1"/>
        <rFont val="Arial"/>
        <family val="2"/>
      </rPr>
      <t>NOTE, documentation may be wrong. Per designer, RTL says this is a 5-bit field and to disable, must set to 0x1F.</t>
    </r>
  </si>
  <si>
    <r>
      <t xml:space="preserve">Description: Selects the HIF address bit used as column address bit 10.
Valid Range: 0 to 7 and 15
Internal Base: 10
The selected HIF address bit is determined by adding the internal base to the value of this field.
If set to 15, bank column bit 10 is set to 0.
Value After Reset: 0x0
</t>
    </r>
    <r>
      <rPr>
        <b/>
        <sz val="10"/>
        <color theme="1"/>
        <rFont val="Arial"/>
        <family val="2"/>
      </rPr>
      <t>NOTE, documentation may be wrong. Per designer, RTL says this is a 5-bit field and to disable, must set to 0x1F.</t>
    </r>
  </si>
  <si>
    <r>
      <rPr>
        <b/>
        <sz val="10"/>
        <rFont val="Arial"/>
        <family val="2"/>
      </rPr>
      <t>LPDDR4 MR1:</t>
    </r>
    <r>
      <rPr>
        <sz val="10"/>
        <rFont val="Arial"/>
        <family val="2"/>
      </rPr>
      <t xml:space="preserve">
Write-Recovery for Auto-Pre-charge commands
000B: nWR = 6 (default)
001B: nWR = 10
010B: nWR = 16
011B: nWR = 20
100B: nWR = 24
101B: nWR = 30
110B: nWR = 34
111B: nWR = 40
Some LPDDR4 memory vendor data sheets contain a RL, WL, and nWR settings table for various frequency ranges.
This setting is automatically calculated.</t>
    </r>
  </si>
  <si>
    <t>DDRC_DBICTL</t>
  </si>
  <si>
    <t>RD_DBI_EN</t>
  </si>
  <si>
    <t>WR_DBI_EN</t>
  </si>
  <si>
    <t>DM_EN</t>
  </si>
  <si>
    <t>Read DBI enable signal in DDRC.
■0 - Read DBI is disabled.
■1 - Read DBI is enabled.
This signal must be set the same value as DRAM's mode register.
■DDR4: MR5 bit A12. When x4 devices are used, this signal must be set to 0.
■LPDDR4: MR3[6]
Value After Reset: 0x0</t>
  </si>
  <si>
    <t>Write DBI enable signal in DDRC.
■0 - Write DBI is disabled.
■1 - Write DBI is enabled.
This signal must be set the same value as DRAM's mode register.
■DDR4: MR5 bit A11. When x4 devices are used, this signal must be set to 0.
■LPDDR4: MR3[7]
Value After Reset: 0x0</t>
  </si>
  <si>
    <t>DM enable signal in DDRC.
■0 - DM is disabled.
■1 - DM is enabled.
This signal must be set the same logical value as DRAM's mode register.
■DDR4: Set this to same value as MR5 bit A10. When x4 devices are used, this signal must be set to 0.
■LPDDR4: Set this to inverted value of MR13[5] which is opposite polarity from this signal
Value After Reset: 0x1</t>
  </si>
  <si>
    <t>Micron</t>
  </si>
  <si>
    <r>
      <t>Density per channel (Gb)</t>
    </r>
    <r>
      <rPr>
        <vertAlign val="superscript"/>
        <sz val="10"/>
        <rFont val="Arial"/>
        <family val="2"/>
      </rPr>
      <t>1</t>
    </r>
    <r>
      <rPr>
        <sz val="10"/>
        <rFont val="Arial"/>
        <family val="2"/>
      </rPr>
      <t>:</t>
    </r>
  </si>
  <si>
    <t>3. Even though i.MX8 runs at 1.596GHz, set timings according to 1.6GHz to allow for a little more margin</t>
  </si>
  <si>
    <t>This register configuration is included for future reference and may not be currently used.</t>
  </si>
  <si>
    <r>
      <rPr>
        <b/>
        <sz val="10"/>
        <color theme="1"/>
        <rFont val="Arial"/>
        <family val="2"/>
      </rPr>
      <t>Note, user must supply tREFI (in ns) from the DRAM data sheet, see description for more details.</t>
    </r>
    <r>
      <rPr>
        <sz val="10"/>
        <color theme="1"/>
        <rFont val="Arial"/>
        <family val="2"/>
      </rPr>
      <t xml:space="preserve">
tREFI: Average time interval between refreshes per rank (Specification: 7.8us for DDR2, DDR3 and DDR4. See JEDEC specification for mDDR, LPDDR2, LPDDR3 and LPDDR4).
For LPDDR2/LPDDR3/LPDDR4:
■if using all-bank refreshes (RFSHCTL0.per_bank_refresh = 0), this register should be set to tREFIab
■if using per-bank refreshes (RFSHCTL0.per_bank_refresh = 1), this register should be set to tREFIpb
When the controller is operating in 1:2 frequency ratio mode, program this to (tREFI/2), no rounding up.
In DDR4 mode, tREFI value is different depending on the refresh mode. The user should program the appropriate value from the spec based on the value programmed in the refresh mode register.
Note that RFSHTMG.t_rfc_nom_x32 * 32 must be greater than RFSHTMG.t_rfc_min, and RFSHTMG.t_rfc_nom_x32 must be greater than 0x1.
■Non-DDR4 or DDR4 Fixed 1x mode: RFSHTMG.t_rfc_nom_x32 must be less than or equal to 0xFFE.
■DDR4 Fixed 2x mode: RFSHTMG.t_rfc_nom_x32 must be less than or equal to 0x7FF.
■DDR4 Fixed 4x mode: RFSHTMG.t_rfc_nom_x32 must be less than or equal to 0x3FF.
Unit: Multiples of 32 clocks.
Value After Reset: 0x62</t>
    </r>
  </si>
  <si>
    <r>
      <rPr>
        <b/>
        <sz val="10"/>
        <color theme="1"/>
        <rFont val="Arial"/>
        <family val="2"/>
      </rPr>
      <t>Note, user must supply tRFC (min) (in ns) from the DRAM data sheet</t>
    </r>
    <r>
      <rPr>
        <sz val="10"/>
        <color theme="1"/>
        <rFont val="Arial"/>
        <family val="2"/>
      </rPr>
      <t xml:space="preserve">
tRFC (min): Minimum time from refresh to refresh or activate.
When the controller is operating in 1:1 mode, t_rfc_min should be set to RoundUp(tRFCmin/tCK).
When the controller is operating in 1:2 mode, t_rfc_min should be set to RoundUp(RoundUp(tRFCmin/tCK)/2).
In LPDDR2/LPDDR3/LPDDR4 mode:
■if using all-bank refreshes, the tRFCmin value in the above equations is equal to tRFCab
■if using per-bank refreshes, the tRFCmin value in the above equations is equal to tRFCpb
In DDR4 mode, the tRFCmin value in the above equations is different depending on the refresh mode (fixed 1X,2X,4X) and the device density. The user should program the appropriate value from the spec based on the 'refresh_mode' and the device density that is used.
Unit: Clocks.
Value After Reset: 0x8c</t>
    </r>
  </si>
  <si>
    <r>
      <rPr>
        <b/>
        <sz val="10"/>
        <color theme="1"/>
        <rFont val="Arial"/>
        <family val="2"/>
      </rPr>
      <t>Note, this field is updated automatically and it is not recommended to manually configure it.</t>
    </r>
    <r>
      <rPr>
        <sz val="10"/>
        <color theme="1"/>
        <rFont val="Arial"/>
        <family val="2"/>
      </rPr>
      <t xml:space="preserve">
Cycles to wait after reset before driving CKE high to start the SDRAM initialization sequence.
Unit: 1024 DFI clock cycles.
DDR2 specifications typically require this to be programmed for a delay of &gt;= 200 us.
LPDDR2/LPDDR3: tINIT1 of 100 ns (min)
LPDDR4: tINIT3 of 2 ms (min)
When the controller is operating in 1:2 frequency ratio mode, program this to JEDEC spec value divided by 2, and round it up to the next integer value.
For DDR3/DDR4 RDIMMs, this should include the time needed to satisfy tSTAB
Value After Reset: 0x4e</t>
    </r>
  </si>
  <si>
    <t>Only present for multi-rank configurations.
Indicates the number of clocks of gap in data responses when performing consecutive writes to different ranks.
This is used to switch the delays in the PHY to match the rank requirements. This value should consider both PHY requirement and ODT requirement.
■PHY requirement:
tphy_wrcsgap (see PHY databook for value of tphy_wrcsgap)
If CRC feature is enabled, should be increased by 1.
If write preamble is set to 2tCK(DDR4 only), should be increased by 1.
If write postamble is set to 1.5tCK(LPDDR4 only), should be increased by 1.
■ODT requirement:
The value programmed in this register takes care of the ODT switch off timing requirement when switching ranks during writes.
For LPDDR4, the requirement is ODTLoff - ODTLon - BL/2 + 1
When the controller is operating in 1:1 mode, program this to the larger of PHY requirement or ODT requirement.
When the controller is operating in 1:2 mode, program this to the larger value divided by two and round it up to the next integer.
Note that, if using DDR4-LRDIMM, refer to TWRWR timing requirements in JEDEC DDR4 Data Buffer (DDR4DB01) Specification.
Value After Reset: 0x6</t>
  </si>
  <si>
    <r>
      <rPr>
        <b/>
        <sz val="10"/>
        <color theme="1"/>
        <rFont val="Arial"/>
        <family val="2"/>
      </rPr>
      <t>Note, this field is updated automatically and it is not recommended to manually configure it.</t>
    </r>
    <r>
      <rPr>
        <sz val="10"/>
        <color theme="1"/>
        <rFont val="Arial"/>
        <family val="2"/>
      </rPr>
      <t xml:space="preserve">
tRAS(max): Maximum time between activate and precharge to same bank. This is the maximum time that a page can be kept open
Minimum value of this register is 1. Zero is invalid.
When the controller is operating in 1:2 frequency ratio mode, program this to (tRAS(max)-1)/2. No rounding up.
Unit: Multiples of 1024 clocks.
Value After Reset: 0x1b</t>
    </r>
  </si>
  <si>
    <t>T_CKESR</t>
  </si>
  <si>
    <t>T_CKE</t>
  </si>
  <si>
    <t>This is the time before Deep Power Down Exit that CK is maintained as a valid clock before issuing DPDX. Specifies the clock stable time before DPDX.
Recommended settings:
■mDDR: 1
■LPDDR2: 2
■LPDDR3: 2
When the controller is operating in 1:2 frequency ratio mode, program this to recommended value divided by two and round it up to next integer.
This is only present for designs supporting mDDR or LPDDR2 devices.
Value After Reset: 0x2</t>
  </si>
  <si>
    <t>This is the time after Deep Power Down Entry that CK is maintained as a valid clock. Specifies the clock disable delay after DPDE.
Recommended settings:
■mDDR: 0
■LPDDR2: 2
■LPDDR3: 2
When the controller is operating in 1:2 frequency ratio mode, program this to recommended value divided by two and round it up to next integer.
This is only present for designs supporting mDDR or LPDDR2/LPDDR3 devices.
Value After Reset: 0x2</t>
  </si>
  <si>
    <t>This is the time before Power Down Exit that CK is maintained as a valid clock before issuing PDX. Specifies the clock stable time before PDX.
Recommended settings:
■mDDR: 0
■LPDDR2: 2
■LPDDR3: 2
■LPDDR4: 2
When using DDR2/3/4 SDRAM, this register should be set to the same value as DRAMTMG5.t_cksrx. When the controller is operating in 1:2 frequency ratio mode, program this to recommended value divided by two and round it up to next integer.
This is only present for designs supporting mDDR or LPDDR2/LPDDR3/LPDDR4 devices.
Value After Reset: 0x2</t>
  </si>
  <si>
    <r>
      <t xml:space="preserve">Description: LPDDR4: tODTLoff: This is the latency from CAS-2 command to tODToff reference.
</t>
    </r>
    <r>
      <rPr>
        <b/>
        <sz val="10"/>
        <color theme="1"/>
        <rFont val="Arial"/>
        <family val="2"/>
      </rPr>
      <t>In the JEDEC spec and memory vendor data sheet, this value is found in table which provides latency values for various frequency ranges, input the desired ODTLoff latency setting in clock cycles.</t>
    </r>
    <r>
      <rPr>
        <sz val="10"/>
        <color theme="1"/>
        <rFont val="Arial"/>
        <family val="2"/>
      </rPr>
      <t xml:space="preserve">
When the controller is operating in 1:2 frequency ratio mode, program this to (tODTLoff/2) and round it up to the next integer value.
Unit: Clocks.
Value After Reset: 0x1c</t>
    </r>
  </si>
  <si>
    <r>
      <t xml:space="preserve">Description: LPDDR4: tCCDMW: This is the minimum time from write or masked write to masked write command for same bank.
</t>
    </r>
    <r>
      <rPr>
        <b/>
        <sz val="10"/>
        <color theme="1"/>
        <rFont val="Arial"/>
        <family val="2"/>
      </rPr>
      <t>In some memory vendor data sheets, this is listed as CAS-to-CAS delay masked write, input the value in clock cycles.</t>
    </r>
    <r>
      <rPr>
        <sz val="10"/>
        <color theme="1"/>
        <rFont val="Arial"/>
        <family val="2"/>
      </rPr>
      <t xml:space="preserve">
When the controller is operating in 1:2 frequency ratio mode, program this to (tCCDMW/2) and round it up to the next integer value.
Unit: Clocks.
Value After Reset: 0x20</t>
    </r>
  </si>
  <si>
    <t>Description: LPDDR4: tPPD: This is the minimum time from precharge to precharge command.
When the controller is operating in 1:2 frequency ratio mode, program this to (tPPD/2) and round it up to the next integer value.
Unit: Clocks.
Value After Reset: 0x4</t>
  </si>
  <si>
    <t>DDRC_ZQCTL1 is mainly used only for LPDDR4/LPDDR3/LPDDR2 configurations.</t>
  </si>
  <si>
    <r>
      <rPr>
        <b/>
        <sz val="10"/>
        <rFont val="Arial"/>
        <family val="2"/>
      </rPr>
      <t>LPDDR4 MR2:
IMPORTANT: Make sure to match WL setting with DDRC_DRAMTMG2[WRITE_LATENCY]
This setting is automatically calculated.</t>
    </r>
    <r>
      <rPr>
        <sz val="10"/>
        <rFont val="Arial"/>
        <family val="2"/>
      </rPr>
      <t xml:space="preserve">
</t>
    </r>
    <r>
      <rPr>
        <sz val="8"/>
        <rFont val="Arial"/>
        <family val="2"/>
      </rPr>
      <t>WL Set "A” (if Write Latency Set MR2 OP[6]=0B)
000B: WL=4 (Default)
001B: WL=6
010B: WL=8
011B: WL=10
100B: WL=12
101B: WL=14
110B: WL=16
111B: WL=18
WL Set "B" (if Write Latency Set MR2 OP[6]=1B)
000B: WL=4
001B: WL=8
010B: WL=12
011B: WL=18
100B: WL=22
101B: WL=26
110B: WL=30
111B: WL=34</t>
    </r>
  </si>
  <si>
    <r>
      <rPr>
        <b/>
        <sz val="10"/>
        <rFont val="Arial"/>
        <family val="2"/>
      </rPr>
      <t>LPDDR4 MR2:
IMPORTANT: Make sure to match RL setting with DDRC_DRAMTMG2[READ_LATENCY]
This setting is automatically calculated.</t>
    </r>
    <r>
      <rPr>
        <sz val="10"/>
        <rFont val="Arial"/>
        <family val="2"/>
      </rPr>
      <t xml:space="preserve">
</t>
    </r>
    <r>
      <rPr>
        <sz val="8"/>
        <rFont val="Arial"/>
        <family val="2"/>
      </rPr>
      <t>RL &amp; nRTP for DBI-RD Disabled (MR3 OP[6]=0B)
000B: RL=6, nRTP = 8 (Default)
001B: RL=10, nRTP = 8
010B: RL=14, nRTP = 8
011B: RL=20, nRTP = 8
100B: RL=24, nRTP = 10
101B: RL=28, nRTP = 12
110B: RL=32, nRTP = 14
111B: RL=36, nRTP = 16
RL &amp; nRTP for DBI-RD Enabled (MR3 OP[6]=1B)
000B: RL=6, nRTP = 8
001B: RL=12, nRTP = 8
010B: RL=16, nRTP = 8
011B: RL=22, nRTP = 8
100B: RL=28, nRTP = 10
101B: RL=32, nRTP = 12
110B: RL=36, nRTP = 14
111B: RL=40, nRTP = 16</t>
    </r>
  </si>
  <si>
    <t>Description: Defines whether dfi_rddata_en/dfi_rddata/dfi_rddata_valid is generated using HDR or SDR values Selects whether value in DFITMG0.dfi_t_rddata_en is in terms of SDR or HDR clock cycles:
■ 0 in terms of HDR clock cycles
■ 1 in terms of SDR clock cycles
Refer to PHY specification for correct value.
Value After Reset: 0x0
Note: Some documents may refer to this bit as dfi_rddata_use_dfi_phy_clk</t>
  </si>
  <si>
    <t>Description: Defines whether dfi_wrdata_en/dfi_wrdata/dfi_wrdata_mask is generated using HDR or SDR values Selects whether value in DFITMG0.dfi_tphy_wrlat is in terms of SDR or HDR clock cycles Selects whether value in DFITMG0.dfi_tphy_wrdata is in terms of SDR or HDR clock cycles
■ 0 in terms of HDR clock cycles
■ 1 in terms of SDR clock cycles
Refer to PHY specification for correct value.
Value After Reset: 0x0
Note: Some documents may refer to this bit as dfi_wrdata_use_dfi_phy_clk</t>
  </si>
  <si>
    <t>Instructions:</t>
  </si>
  <si>
    <t>DDR Controller/PHY Module 0</t>
  </si>
  <si>
    <t>Chan B</t>
  </si>
  <si>
    <t>Chan A</t>
  </si>
  <si>
    <t>DRAM data bus</t>
  </si>
  <si>
    <t>0x00000001</t>
  </si>
  <si>
    <t>0x00000000</t>
  </si>
  <si>
    <t>Margin added for refresh window.</t>
  </si>
  <si>
    <t>LPDDR4_6gb_12gb_24gb</t>
  </si>
  <si>
    <t>Indicates what type of LPDDR4 SDRAM device is in use. Per Rank
■ 2'b00: No LPDDR4 SDRAM 6Gb/12Gb/24Gb device in
use. All addresses are valid
■ 2'b01: LPDDR4 SDRAM 6Gb device in use. Every
address having row[14:13]==2'b11 is considered as
invalid
■ 2'b10: LPDDR4 SDRAM 12Gb device in use. Every
address having row[15:14]==2'b11 is considered as
invalid
■ 2'b11: LPDDR4 SDRAM 24Gb device in use.
Unsupported
Present only in designs configured to support LPDDR4.</t>
  </si>
  <si>
    <t>ADDRMAP_COL_B9</t>
  </si>
  <si>
    <t>DDRC_ADDRMAP3</t>
  </si>
  <si>
    <t>ADDRMAP_COL_B8</t>
  </si>
  <si>
    <t>ADDRMAP_COL_B7</t>
  </si>
  <si>
    <t>ADDRMAP_COL_B6</t>
  </si>
  <si>
    <t>Description:
• Full bus width mode: Selects the HIF address bit used as column address bit 6.
• Half bus width mode: Selects the HIF address bit used as column address bit 7.
• Quarter bus width mode: Selects the HIF address bit used as column address bit 8.
Valid Range: 0 to 7, and 15
Internal Base: 6
The selected HIF address bit is determined by adding the internal base to the value of this field. If set to
15, this column address bit is set to 0.
Value After Reset: 0x0</t>
  </si>
  <si>
    <t>0x200</t>
  </si>
  <si>
    <t>3D400000</t>
  </si>
  <si>
    <t>i.MX8M sets this to 0x3</t>
  </si>
  <si>
    <t>T_CKEHCMD</t>
  </si>
  <si>
    <r>
      <rPr>
        <b/>
        <sz val="10"/>
        <color theme="1"/>
        <rFont val="Arial"/>
        <family val="2"/>
      </rPr>
      <t>Note, this field is updated automatically and it is not recommended to manually configure it.</t>
    </r>
    <r>
      <rPr>
        <sz val="10"/>
        <color theme="1"/>
        <rFont val="Arial"/>
        <family val="2"/>
      </rPr>
      <t xml:space="preserve">
Cycles to wait after driving CKE high to start the SDRAM initialization sequence.
Unit: 1024 DFI clock cycles.
DDR2 typically requires a 400 ns delay, requiring this value to be programmed to 2 at all clock speeds.
LPDDR2/LPDDR3 typically requires this to be programmed for a delay of 200 us.
LPDDR4 typically requires this to be programmed for a delay of 2 us.
When the controller is operating in 1:2 frequency ratio mode, program this to JEDEC spec value divided by 2, and round it up to the next integer value.
Each settings give a range as follows:
0: no delay
1: 1 to 1024 cycle delay
2: 1025 to 2048 cycle delay
3: 2048 to 3072 cycle delay
4: 3073 to 4096 cycle delay
5: 4097 to 5120 cycle delay
and so on.
Hence, we need to select a value that meets/exceeds the min value for each range, therefore, we add 1 to the value calculated.
Value After Reset: 0x2</t>
    </r>
  </si>
  <si>
    <r>
      <rPr>
        <b/>
        <sz val="10"/>
        <rFont val="Arial"/>
        <family val="2"/>
      </rPr>
      <t>LPDDR4 MR1:</t>
    </r>
    <r>
      <rPr>
        <sz val="10"/>
        <rFont val="Arial"/>
        <family val="2"/>
      </rPr>
      <t xml:space="preserve">
Read Post-amble length
0B: RD Post-amble = 0.5*tCK (default)
1B: RD Post-amble = 1.5*tCK
For m850, recommend to set to 1.5*tCK to account for restrictions in the PHY.</t>
    </r>
  </si>
  <si>
    <t>Indicates the configuration of the device used in the system.
■ 10 - x16 device 
■ 11 - x32 device
For LPDDR4, setting this to 10 or 11 has no affect, so set to 10 to align with validation setting.</t>
  </si>
  <si>
    <t>DDRC_INIT6</t>
  </si>
  <si>
    <r>
      <t xml:space="preserve">LPDDR4 </t>
    </r>
    <r>
      <rPr>
        <b/>
        <sz val="10"/>
        <rFont val="Arial"/>
        <family val="2"/>
      </rPr>
      <t>MR11</t>
    </r>
    <r>
      <rPr>
        <sz val="10"/>
        <rFont val="Arial"/>
        <family val="2"/>
      </rPr>
      <t>: CA ODT</t>
    </r>
  </si>
  <si>
    <r>
      <t xml:space="preserve">LPDDR4 </t>
    </r>
    <r>
      <rPr>
        <b/>
        <sz val="10"/>
        <rFont val="Arial"/>
        <family val="2"/>
      </rPr>
      <t>MR11</t>
    </r>
    <r>
      <rPr>
        <sz val="10"/>
        <rFont val="Arial"/>
        <family val="2"/>
      </rPr>
      <t>: DQ ODT</t>
    </r>
  </si>
  <si>
    <r>
      <t xml:space="preserve">LPDDR4 </t>
    </r>
    <r>
      <rPr>
        <b/>
        <sz val="10"/>
        <rFont val="Arial"/>
        <family val="2"/>
      </rPr>
      <t>MR12</t>
    </r>
    <r>
      <rPr>
        <sz val="10"/>
        <rFont val="Arial"/>
        <family val="2"/>
      </rPr>
      <t>: VRCA</t>
    </r>
  </si>
  <si>
    <r>
      <t xml:space="preserve">LPDDR4 </t>
    </r>
    <r>
      <rPr>
        <b/>
        <sz val="10"/>
        <rFont val="Arial"/>
        <family val="2"/>
      </rPr>
      <t>MR12</t>
    </r>
    <r>
      <rPr>
        <sz val="10"/>
        <rFont val="Arial"/>
        <family val="2"/>
      </rPr>
      <t>: VREF(CA)</t>
    </r>
  </si>
  <si>
    <r>
      <t xml:space="preserve">LPDDR4 MR11:
</t>
    </r>
    <r>
      <rPr>
        <sz val="10"/>
        <rFont val="Arial"/>
        <family val="2"/>
      </rPr>
      <t>CA ODT</t>
    </r>
    <r>
      <rPr>
        <b/>
        <sz val="10"/>
        <rFont val="Arial"/>
        <family val="2"/>
      </rPr>
      <t xml:space="preserve">
</t>
    </r>
    <r>
      <rPr>
        <sz val="10"/>
        <rFont val="Arial"/>
        <family val="2"/>
      </rPr>
      <t>000b: Disable (default)
001b: RZQ/1
010b: RZQ/2
011b: RZQ/3
100b: RZQ/4
101b: RZQ/5
110b: RZQ/6
111b: RFU</t>
    </r>
  </si>
  <si>
    <r>
      <rPr>
        <b/>
        <sz val="10"/>
        <color theme="1"/>
        <rFont val="Arial"/>
        <family val="2"/>
      </rPr>
      <t>Doesn't apply for LPDDR4, hence can leave this as default 16 (0x10) or set to 0</t>
    </r>
    <r>
      <rPr>
        <sz val="10"/>
        <color theme="1"/>
        <rFont val="Arial"/>
        <family val="2"/>
      </rPr>
      <t xml:space="preserve">
tMRD_PDA: This is the Mode Register Set command cycle time in PDA mode.
When the controller is operating in 1:2 frequency ratio mode, program this to (tMRD_PDA/2) and round it up to the next integer value.
Value After Reset: 0x10</t>
    </r>
  </si>
  <si>
    <t>Average interval to wait between automatically issuing ZQCS (ZQ calibration short)/MPC(ZQ calibration) commands to DDR3/DDR4/LPDDR2/LPDDR3/LPDDR4 devices.
Meaningless, if ZQCTL0.dis_auto_zq=1.
Unit: 1024 DFI clock cycles.
This is only present for designs supporting DDR3/DDR4 or LPDDR2/LPDDR3/LPDDR4 devices.
Value After Reset: 0x100
Recommend to set to 32ms to align with DRAM vendor's temperature sensor interval.</t>
  </si>
  <si>
    <r>
      <t xml:space="preserve">Description: Time from the assertion of a read command on the DFI interface to the assertion of the dfi_rddata_en signal.
Refer to PHY specification for correct value.
This corresponds to the DFI parameter trddata_en. Note that, depending on the PHY, if using RDIMM, it may be necessary to use the value (CL + 1) in the calculation of trddata_en. This is to compensate for the extra cycle of latency through the RDIMM.
Unit: Clocks
Value After Reset: 0x2
</t>
    </r>
    <r>
      <rPr>
        <b/>
        <sz val="10"/>
        <color theme="1"/>
        <rFont val="Arial"/>
        <family val="2"/>
      </rPr>
      <t>Per PUB databook, trddata_en = RL-5, where RL is RL (read latency)</t>
    </r>
  </si>
  <si>
    <t>Description: Specifies the number of DFI clock cycles after an assertion or de-assertion of the DFI control signals that the control signals at the PHY-DRAM interface reflect the assertion or de-assertion. If the DFI clock and the memory clock are not phase-aligned, this timing parameter should be rounded up to the next integer value. Note that if using RDIMM/LRDIMM, it is necessary to increment this parameter by RDIMM's/LRDIMM's extra cycle of latency in terms of DFI clock.
Value After Reset: 0x7</t>
  </si>
  <si>
    <t>Enables support of ctl_idle signal, which is non-DFI related pin specific to certain Synopsys PHYs. See signal description of ctl_idle signal for further details of ctl_idle functionality.
Value After Reset: 0x0
Per SNPS, this isn't used and has no affect, so leave set.</t>
  </si>
  <si>
    <t>Description: Number of clocks between when a read command is sent on the DFI control interface and when the associated dfi_rddata_cs signal is asserted. This corresponds to the DFI timing parameter tphy_rdcslat. Refer to PHY specification for correct value.
Value After Reset: 0x2</t>
  </si>
  <si>
    <t>Description: Number of clocks between when a write command is sent on the DFI control interface and when the associated dfi_wrdata_cs signal is asserted. This corresponds to the DFI timing parameter tphy_wrcslat.
Refer to PHY specification for correct value.
Value After Reset: 0x2
Per PUB: tphy_wrcslat = WL-5, where WL = WL+1</t>
  </si>
  <si>
    <t>Description: Write latency
Number of clocks from the write command to write data enable (dfi_wrdata_en). This corresponds to the DFI timing parameter tphy_wrlat.
Refer to PHY specification for correct value.
This field is automatically updated.
Value After Reset: 0x2
Per PUB databook, should be WL-5, where WL=WL+1</t>
  </si>
  <si>
    <r>
      <rPr>
        <b/>
        <sz val="10"/>
        <rFont val="Arial"/>
        <family val="2"/>
      </rPr>
      <t xml:space="preserve">LPDDR4 MR11:
</t>
    </r>
    <r>
      <rPr>
        <sz val="10"/>
        <rFont val="Arial"/>
        <family val="2"/>
      </rPr>
      <t>000b: Disable (default)
001b: RZQ/1
010b: RZQ/2
011b: RZQ/3
100b: RZQ/4
101b: RZQ/5
110b: RZQ/6
111b: RFU</t>
    </r>
  </si>
  <si>
    <r>
      <rPr>
        <b/>
        <sz val="10"/>
        <rFont val="Arial"/>
        <family val="2"/>
      </rPr>
      <t>LPDDR4 MR12:</t>
    </r>
    <r>
      <rPr>
        <sz val="10"/>
        <rFont val="Arial"/>
        <family val="2"/>
      </rPr>
      <t xml:space="preserve">
0b: VREF(CA) range[0] enabled
1b: VREF(CA) range[1] enabled (default)</t>
    </r>
  </si>
  <si>
    <r>
      <rPr>
        <b/>
        <sz val="10"/>
        <rFont val="Arial"/>
        <family val="2"/>
      </rPr>
      <t>LPDDR4 MR12:</t>
    </r>
    <r>
      <rPr>
        <sz val="10"/>
        <rFont val="Arial"/>
        <family val="2"/>
      </rPr>
      <t xml:space="preserve">
000000b–110010b: See VREF Settings Table in DRAM vendor data sheet</t>
    </r>
  </si>
  <si>
    <t>DDRC_INIT7</t>
  </si>
  <si>
    <r>
      <t xml:space="preserve">LPDDR4 </t>
    </r>
    <r>
      <rPr>
        <b/>
        <sz val="10"/>
        <rFont val="Arial"/>
        <family val="2"/>
      </rPr>
      <t>MR22</t>
    </r>
    <r>
      <rPr>
        <sz val="10"/>
        <rFont val="Arial"/>
        <family val="2"/>
      </rPr>
      <t>: ODTD-CA</t>
    </r>
  </si>
  <si>
    <r>
      <t xml:space="preserve">LPDDR4 </t>
    </r>
    <r>
      <rPr>
        <b/>
        <sz val="10"/>
        <rFont val="Arial"/>
        <family val="2"/>
      </rPr>
      <t>MR22</t>
    </r>
    <r>
      <rPr>
        <sz val="10"/>
        <rFont val="Arial"/>
        <family val="2"/>
      </rPr>
      <t>: ODTE-CS</t>
    </r>
  </si>
  <si>
    <r>
      <t xml:space="preserve">LPDDR4 </t>
    </r>
    <r>
      <rPr>
        <b/>
        <sz val="10"/>
        <rFont val="Arial"/>
        <family val="2"/>
      </rPr>
      <t>MR22</t>
    </r>
    <r>
      <rPr>
        <sz val="10"/>
        <rFont val="Arial"/>
        <family val="2"/>
      </rPr>
      <t>: ODTE-CK</t>
    </r>
  </si>
  <si>
    <r>
      <t xml:space="preserve">LPDDR4 </t>
    </r>
    <r>
      <rPr>
        <b/>
        <sz val="10"/>
        <rFont val="Arial"/>
        <family val="2"/>
      </rPr>
      <t>MR22</t>
    </r>
    <r>
      <rPr>
        <sz val="10"/>
        <rFont val="Arial"/>
        <family val="2"/>
      </rPr>
      <t>: SOC ODT</t>
    </r>
  </si>
  <si>
    <r>
      <t xml:space="preserve">LPDDR4 </t>
    </r>
    <r>
      <rPr>
        <b/>
        <sz val="10"/>
        <rFont val="Arial"/>
        <family val="2"/>
      </rPr>
      <t>MR14</t>
    </r>
    <r>
      <rPr>
        <sz val="10"/>
        <rFont val="Arial"/>
        <family val="2"/>
      </rPr>
      <t>: VRDQ</t>
    </r>
  </si>
  <si>
    <r>
      <t xml:space="preserve">LPDDR4 </t>
    </r>
    <r>
      <rPr>
        <b/>
        <sz val="10"/>
        <rFont val="Arial"/>
        <family val="2"/>
      </rPr>
      <t>MR14</t>
    </r>
    <r>
      <rPr>
        <sz val="10"/>
        <rFont val="Arial"/>
        <family val="2"/>
      </rPr>
      <t>: VREF(DQ)</t>
    </r>
  </si>
  <si>
    <r>
      <rPr>
        <b/>
        <sz val="10"/>
        <rFont val="Arial"/>
        <family val="2"/>
      </rPr>
      <t>LPDDR4 MR14:</t>
    </r>
    <r>
      <rPr>
        <sz val="10"/>
        <rFont val="Arial"/>
        <family val="2"/>
      </rPr>
      <t xml:space="preserve">
0b: VREF(DQ) range[0] enabled
1b: VREF(DQ) range[1] enabled (default)</t>
    </r>
  </si>
  <si>
    <r>
      <rPr>
        <b/>
        <sz val="10"/>
        <rFont val="Arial"/>
        <family val="2"/>
      </rPr>
      <t>LPDDR4 MR14:</t>
    </r>
    <r>
      <rPr>
        <sz val="10"/>
        <rFont val="Arial"/>
        <family val="2"/>
      </rPr>
      <t xml:space="preserve">
000000b–110010b: See VREF Settings Table in DRAM vendor data sheet</t>
    </r>
  </si>
  <si>
    <r>
      <rPr>
        <b/>
        <sz val="10"/>
        <rFont val="Arial"/>
        <family val="2"/>
      </rPr>
      <t>LPDDR4 MR22:</t>
    </r>
    <r>
      <rPr>
        <sz val="10"/>
        <rFont val="Arial"/>
        <family val="2"/>
      </rPr>
      <t xml:space="preserve">
000b: Disable (default)
001b: RZQ/1
010b: RZQ/2
011b: RZQ/3
100b: RZQ/4
101b: RZQ/5
110b: RZQ/6
111b: RFU</t>
    </r>
  </si>
  <si>
    <r>
      <rPr>
        <b/>
        <sz val="10"/>
        <rFont val="Arial"/>
        <family val="2"/>
      </rPr>
      <t>LPDDR4 MR22:</t>
    </r>
    <r>
      <rPr>
        <sz val="10"/>
        <rFont val="Arial"/>
        <family val="2"/>
      </rPr>
      <t xml:space="preserve">
0b: ODT-CK override disabled (default)
1b: ODT-CK override enabled</t>
    </r>
  </si>
  <si>
    <r>
      <rPr>
        <b/>
        <sz val="10"/>
        <rFont val="Arial"/>
        <family val="2"/>
      </rPr>
      <t>LPDDR4 MR22:</t>
    </r>
    <r>
      <rPr>
        <sz val="10"/>
        <rFont val="Arial"/>
        <family val="2"/>
      </rPr>
      <t xml:space="preserve">
0b: ODT-CS override disabled (default) 
1b: ODT-CS override enabled</t>
    </r>
  </si>
  <si>
    <r>
      <rPr>
        <b/>
        <sz val="10"/>
        <rFont val="Arial"/>
        <family val="2"/>
      </rPr>
      <t>LPDDR4 MR22:</t>
    </r>
    <r>
      <rPr>
        <sz val="10"/>
        <rFont val="Arial"/>
        <family val="2"/>
      </rPr>
      <t xml:space="preserve">
0b: CA ODT obeys ODT_CA bond pad (default)
1b: CA ODT disabled</t>
    </r>
  </si>
  <si>
    <t>Only present for multi-rank configurations.
Indicates the number of clocks of gap in data responses when performing consecutive reads to different ranks.
This is used to switch the delays in the PHY to match the rank requirements.
This value should consider both PHY requirement and ODT requirement.
■PHY requirement:
tphy_rdcsgap (see PHY databook for value of tphy_rdcsgap)
If read preamble is set to 2tCK(DDR4 only), should be increased by 1.
If read postamble is set to 1.5tCK(LPDDR4 only), should be increased by 1.
■ODT requirement:
The value programmed in this register takes care of the ODT switch off timing requirement when switching ranks during reads.
When the controller is operating in 1:1 mode, program this to the larger of PHY requirement or ODT requirement.
When the controller is operating in 1:2 mode, program this to the larger value divided by two and round it up to the next integer.
Note that, if using DDR4-LRDIMM, refer to TRDRD timing requirements in JEDEC DDR4 Data Buffer (DDR4DB01) Specification.
Value After Reset: 0x6
Per PUB databook, tphy_rdcsgap = 2, then add 1 for read postamble, gives 3 clocks, divided by 2 yields 2. Add one to the final value to provide some margin.</t>
  </si>
  <si>
    <t>DDRC_DFIPHYMSTR</t>
  </si>
  <si>
    <t>DFI_PHYMSTR_EN</t>
  </si>
  <si>
    <t>CTL_IDLE_EN</t>
  </si>
  <si>
    <t>CTRLUPD_PRE_SRX</t>
  </si>
  <si>
    <t>Selects dfi_ctrlupd_req requirements at SRX:
■0 : send ctrlupd after SRX
■1 : send ctrlupd before SRX If DFIUPD0.dis_auto_ctrlupd_srx=1, this register has no impact, because no dfi_ctrlupd_req will be issued when SRX.
Value After Reset: 0x0</t>
  </si>
  <si>
    <t xml:space="preserve">memory set </t>
  </si>
  <si>
    <t>memory set</t>
  </si>
  <si>
    <t>################step2: DDRC configuration ################</t>
  </si>
  <si>
    <t>0x3d400304</t>
  </si>
  <si>
    <t>0x3d400030</t>
  </si>
  <si>
    <t>DDRC_DRAMTMG17</t>
  </si>
  <si>
    <t>T_VRCG_ENABLE</t>
  </si>
  <si>
    <t>T_VRCG_DISABLE</t>
  </si>
  <si>
    <t>LPDDR4: tVRCG_ENABLE: VREF high current mode enable time.
When the controller is operating in 1:2 frequency ratio mode, program this to (tVRCG_ENABLE/2) and round it up to the next integer value.
Unit: DFI clocks
Value After Reset: 0x0</t>
  </si>
  <si>
    <t>LPDDR4: tVRCG_ENABLE: VREF high current mode disable time.
When the controller is operating in 1:2 frequency ratio mode, program this to (tVRCG_DISABLE/2) and round it up to the next integer value.
Unit: DFI clocks
Value After Reset: 0x0</t>
  </si>
  <si>
    <t>0x3D400490</t>
  </si>
  <si>
    <t>#RESET DDRC</t>
  </si>
  <si>
    <t>0x80000000</t>
  </si>
  <si>
    <t>0x8F000004</t>
  </si>
  <si>
    <t>#SRC_DDRC_RCR_ADDR</t>
  </si>
  <si>
    <t>0x30391000</t>
  </si>
  <si>
    <t>0x8F000000</t>
  </si>
  <si>
    <t>0x3d400320</t>
  </si>
  <si>
    <t>#DDRC_DDR_SS_GPR0: LPDDR4 mode</t>
  </si>
  <si>
    <t>0x00000010</t>
  </si>
  <si>
    <t>#DDRC_DDR_DFIMISC:12:8]dfi_freq, [5]dfi_init_start, [4]ctl_idle_en</t>
  </si>
  <si>
    <t>#</t>
  </si>
  <si>
    <t>#      Note, though the extension of this file implies use with the DS5 debugger,</t>
  </si>
  <si>
    <t xml:space="preserve">#      the file is meant specifically for the DDR Stress Test GUI tool. </t>
  </si>
  <si>
    <t>#      It contains data commands which are not compatible with the DS5 debugger,</t>
  </si>
  <si>
    <t>#      trying to use this file with DS5 will result in errors.</t>
  </si>
  <si>
    <t>#      There are currently no plans to create a DS5 JTAG DRAM initialization script.</t>
  </si>
  <si>
    <t># DCD command:</t>
  </si>
  <si>
    <t># CMD_WRITE_DATA: memory set ADDR BITWIDTH VALUE                 : *ADDR = VALUE</t>
  </si>
  <si>
    <t># CMD_SET_BIT:    memory setbit ADDR BITWIDTH VALUE              : *ADDR = *ADDR | VALUE</t>
  </si>
  <si>
    <t># CMD_CLR_BIT:    memory clrbit ADDR BITWIDTH VALUE              : *ADDR = *ADDR &amp;~ VALUE</t>
  </si>
  <si>
    <t># CMD_CHECK_BIT_SET:  memory chkbit1 ADDR BITWIDTH VALUE         : while((*ADDR &amp; VALUE) != VALUE){}</t>
  </si>
  <si>
    <t># CMD_CHECK_BIT_CLR:  memory chkbit0 ADDR BITWIDTH VALUE         : while((*ADDR &amp; VALUE) != 0){}</t>
  </si>
  <si>
    <t>###########################################################################################################</t>
  </si>
  <si>
    <t>################step 1: DDR clock configuration################</t>
  </si>
  <si>
    <t xml:space="preserve">#change the clock source of dram_apb_clk_root </t>
  </si>
  <si>
    <t>#disable the clock gating</t>
  </si>
  <si>
    <t>memory setbit</t>
  </si>
  <si>
    <t>#DRAM_PLL_CONFIG</t>
  </si>
  <si>
    <t>memory clrbit</t>
  </si>
  <si>
    <t>memory chkbit1</t>
  </si>
  <si>
    <t>0x3038A088</t>
  </si>
  <si>
    <t>0x07070000</t>
  </si>
  <si>
    <t>#CCM_TARGET_ROOT_CLR(DRAM_APB_CLK_ROOT)</t>
  </si>
  <si>
    <t>0x3038A084</t>
  </si>
  <si>
    <t>0x04030000</t>
  </si>
  <si>
    <t>#CCM_TARGET_ROOT_SET(DRAM_APB_CLK_ROOT):MUX=4(system_pll1_800M_clk), PRE_PODF=3 //DRAM_APB_CLK=800/4=200MHz</t>
  </si>
  <si>
    <t>0x0000FFFF</t>
  </si>
  <si>
    <t>#PGC_CPU_MAPPING</t>
  </si>
  <si>
    <t>0x303A00EC</t>
  </si>
  <si>
    <t>0x303A00F8</t>
  </si>
  <si>
    <t>0x20</t>
  </si>
  <si>
    <t>#GPC_PU_PGC_SW_PUP_REQ: DDR1_SW_PUP_REQ=1</t>
  </si>
  <si>
    <t>0x8f000000</t>
  </si>
  <si>
    <t>#SRC_DDRC_RCR_ADDR:  release [0]ddr1_preset_n, [1]ddr1_core_reset_n, [2]ddr1_phy_reset, [3]ddr2_phy_pwrokin_n</t>
  </si>
  <si>
    <t>#SRC_DDRC2_RCR_ADDR: release [0]ddr2_preset_n, [1]ddr2_core_reset_n, [2]ddr2_phy_reset, [3]ddr2_phy_pwrokin_n</t>
  </si>
  <si>
    <t>0x30391004</t>
  </si>
  <si>
    <t>0x30360068</t>
  </si>
  <si>
    <t>0x30360060</t>
  </si>
  <si>
    <t>0x80</t>
  </si>
  <si>
    <t>#HW_DRAM_PLL_CFG0: SYS_PLL_PD</t>
  </si>
  <si>
    <t>#HW_DRAM_PLL_CFG0: PLL clock enable</t>
  </si>
  <si>
    <t>#HW_DRAM_PLL_CFG0:  PLL_BYPASS1 disable</t>
  </si>
  <si>
    <t>#HW_DRAM_PLL_CFG0: PLL_BYPASS2 disable</t>
  </si>
  <si>
    <t>#HW_DRAM_PLL_CFG0: wait PLL lock</t>
  </si>
  <si>
    <t>#SRC_DDRC_RCR_ADDR: release [0]ddr1_preset_n, [1]ddr1_core_reset_n, [2]ddr1_phy_reset, [3]ddr1_phy_pwrokin_n</t>
  </si>
  <si>
    <t>0x10</t>
  </si>
  <si>
    <t>0x8f000006</t>
  </si>
  <si>
    <t>MX8MQ LPDDR4 Channel:</t>
  </si>
  <si>
    <t>MX8MQdata bus (User Input)-&gt;</t>
  </si>
  <si>
    <t>MX8MQ byte lane</t>
  </si>
  <si>
    <t>MX8MQ data bus bits within byte lane</t>
  </si>
  <si>
    <t>DDR_PHY_Dq[7:0]LnSel_[3:0] registers programming</t>
  </si>
  <si>
    <t>Address</t>
  </si>
  <si>
    <t>Value</t>
  </si>
  <si>
    <t>dram_type</t>
  </si>
  <si>
    <t>ddrparam set</t>
  </si>
  <si>
    <t># DDR parameter settings</t>
  </si>
  <si>
    <t>#########################</t>
  </si>
  <si>
    <t>#DDR4=0,DDR3=1,LPDDR4=2,LPDDR3=3,DDR5=4</t>
  </si>
  <si>
    <t>0x131f</t>
  </si>
  <si>
    <t>#TrainCtrl[0] = Run DevInit - Device/phy initialization. Should always be set.</t>
  </si>
  <si>
    <t>#TrainCtrl[1] = Run WrLvl - Write leveling</t>
  </si>
  <si>
    <t>#TrainCtrl[2] = Run RxEn - Read gate training</t>
  </si>
  <si>
    <t>#TrainCtrl[3] = Run RdDQS1D - 1d read dqs training</t>
  </si>
  <si>
    <t>#TrainCtrl[4] = Run WrDQ1D - 1d write dq training</t>
  </si>
  <si>
    <t>#TrainCtrl[5] = RFU, must be zero</t>
  </si>
  <si>
    <t>#TrainCtrl[6] = RFU, must be zero</t>
  </si>
  <si>
    <t>#TrainCtrl[7] = RFU, must be zero</t>
  </si>
  <si>
    <t>#TrainCtrl[8] = Run RdDeskew - Per lane read dq deskew training</t>
  </si>
  <si>
    <t>#TrainCtrl[9] = Run MxRdLat - Max read latency training</t>
  </si>
  <si>
    <t>#TrainCtrl[11-10] = RFU, must be zero</t>
  </si>
  <si>
    <t>#TrainCtrl[12]      = Run LPCA - CA Training</t>
  </si>
  <si>
    <t>#TrainCtrl[15-13] = RFU, must be zero</t>
  </si>
  <si>
    <t>TrainInfo</t>
  </si>
  <si>
    <t>0xC8</t>
  </si>
  <si>
    <t>#0x05 = Detailed debug (e.g. eys delays)</t>
  </si>
  <si>
    <t>#0x0A = Coarse debug info (e.g. rank information)</t>
  </si>
  <si>
    <t xml:space="preserve">#0xC8 = Stage completion </t>
  </si>
  <si>
    <t>#0xC9 = Assertion messages</t>
  </si>
  <si>
    <t>#0xFF = Firmware complete</t>
  </si>
  <si>
    <t>#others = reserved</t>
  </si>
  <si>
    <t xml:space="preserve">MR1 </t>
  </si>
  <si>
    <t xml:space="preserve">MR2 </t>
  </si>
  <si>
    <t xml:space="preserve">MR3 </t>
  </si>
  <si>
    <t xml:space="preserve">MR4 </t>
  </si>
  <si>
    <t>MR11</t>
  </si>
  <si>
    <t>MR12</t>
  </si>
  <si>
    <t>MR13</t>
  </si>
  <si>
    <t>MR14</t>
  </si>
  <si>
    <t>MR16</t>
  </si>
  <si>
    <t>MR17</t>
  </si>
  <si>
    <t>MR22</t>
  </si>
  <si>
    <t>MR24</t>
  </si>
  <si>
    <t>0x00</t>
  </si>
  <si>
    <t>ATxImpedance</t>
  </si>
  <si>
    <t>ODTImpedance</t>
  </si>
  <si>
    <t xml:space="preserve">TxImpedance </t>
  </si>
  <si>
    <t xml:space="preserve">lp4x_mode   </t>
  </si>
  <si>
    <t xml:space="preserve">read_dbi    </t>
  </si>
  <si>
    <t xml:space="preserve">extCalRes   </t>
  </si>
  <si>
    <t xml:space="preserve">WDQSExt     </t>
  </si>
  <si>
    <t xml:space="preserve">SlewRiseDQ  </t>
  </si>
  <si>
    <t xml:space="preserve">SlewFallDQ  </t>
  </si>
  <si>
    <t xml:space="preserve">SlewFallAC  </t>
  </si>
  <si>
    <t xml:space="preserve">SlewRiseAC  </t>
  </si>
  <si>
    <t>CaliInterval</t>
  </si>
  <si>
    <t xml:space="preserve">CaliOnce    </t>
  </si>
  <si>
    <t>0x0f</t>
  </si>
  <si>
    <t>0x09</t>
  </si>
  <si>
    <t>DDR Parameters</t>
  </si>
  <si>
    <t>MR1</t>
  </si>
  <si>
    <t>MR2</t>
  </si>
  <si>
    <t>MR3</t>
  </si>
  <si>
    <t>MR4</t>
  </si>
  <si>
    <t>Do not update this value directly as this value is automatically updated from the value provided in register DDRC_INIT3 above.</t>
  </si>
  <si>
    <t>Do not update this value directly as this value is automatically updated from the value provided in register DDRC_INIT4 above.</t>
  </si>
  <si>
    <t>Do not update this value directly as this value is automatically updated from the value provided in register DDRC_INIT6 above.</t>
  </si>
  <si>
    <t>Do not update this value directly as this value is automatically updated from the value provided in register DDRC_INIT7 above.</t>
  </si>
  <si>
    <t>read_dbi</t>
  </si>
  <si>
    <t>Enables (1) or disables (0) the read-DBI feature. Note, the user must ensure other registers have been updated to support read-DBI (DDRC_DBICTL and mode registers for the LPDDR4/DDR4 memory, along with updating read latency).</t>
  </si>
  <si>
    <t>Desired ODT impedance in Ohm (Valid values for DDR4 = 240, 120, 80, 60, 40, Valid values for DDR3L = high-impedance, 120, 60, 40, Valid values for LPDDR4 = 240, 120, 80, 60, 40)</t>
  </si>
  <si>
    <t>Write Driver Impedance for DQ/DQS in ohm (Valid values for all DramType = 240, 120, 80, 60, 48, 40, 34)</t>
  </si>
  <si>
    <t>Write Driver Impedance for Address/Command (AC) bus in ohm (Valid values for all DramType = 120, 60, 40, 30, 24, 20)</t>
  </si>
  <si>
    <t>lp4x_mode</t>
  </si>
  <si>
    <t xml:space="preserve">Not a supported feature of this SoC and it is required to set this to 0. </t>
  </si>
  <si>
    <t xml:space="preserve">extCalRes     </t>
  </si>
  <si>
    <t>External pull-down resistor value in Ohm (recommend to set to 0 for normal operation)</t>
  </si>
  <si>
    <t xml:space="preserve">CaliOnce   </t>
  </si>
  <si>
    <t>Specifies the interval between successive calibrations, in mS (0= continuous,1= 0.01, 2=0.10, 3=1, 4=2, 5=3, 6=4, 7=8, 8=10, 9=20, other reserved). Recommend to set this to 0x9.</t>
  </si>
  <si>
    <t>This setting changes the behaviour of CSR CalRun (1: The 0-&gt;1 transition of CSR CalRun causes a single iteration of the calibration sequence to occur, 0: Calibration will proceed at the rate determined by CSR CaliInterval). Recommend to set this to 0.</t>
  </si>
  <si>
    <t>Pull-up slew rate control for DBYTE Tx. Value specified here will be applied directly to TxSlewRate. For optimal operation, recommend to set to 0x0f.</t>
  </si>
  <si>
    <t>Pull-down slew rate control for DBYTE Tx. Value specified here will be applied directly to TxSlewRate. For optimal operation, recommend to set to 0x0f.</t>
  </si>
  <si>
    <t>Pull-up slew rate control for ANIB Tx. Value specified here will be applied directly to ATxSlewRate. For optimal operation, recommend to set to 0x0f.</t>
  </si>
  <si>
    <t>Pull-down slew rate control for ANIB Tx. Value specified here will be applied directly to ATxSlewRate. For optimal operation, recommend to set to 0x0f.</t>
  </si>
  <si>
    <t>Configure this based on desired mode register setting (normally this should be 0).</t>
  </si>
  <si>
    <t># The following is to configure the recommended training, it is strongly recommended not to change this</t>
  </si>
  <si>
    <t># The following is for internal factory use, it is strongly recommended not to change this</t>
  </si>
  <si>
    <t>#DDRC_DBG1: dis_dq=1, indicates no reads or writes are issued to SDRAM</t>
  </si>
  <si>
    <t>#DDRC_PWRCTL: selfref_en=1, SDRAM enter self-refresh state</t>
  </si>
  <si>
    <t xml:space="preserve">#DDRC_MSTR   </t>
  </si>
  <si>
    <t>#DDRC_RFSHTMG</t>
  </si>
  <si>
    <t xml:space="preserve">#DDRC_INIT0  </t>
  </si>
  <si>
    <t xml:space="preserve">#DDRC_INIT1  </t>
  </si>
  <si>
    <t xml:space="preserve">#DDRC_INIT3  </t>
  </si>
  <si>
    <t xml:space="preserve">#DDRC_INIT4  </t>
  </si>
  <si>
    <t xml:space="preserve">#DDRC_INIT6  </t>
  </si>
  <si>
    <t xml:space="preserve">#DDRC_INIT7  </t>
  </si>
  <si>
    <t xml:space="preserve">#DDRC_DRAMTMG0 </t>
  </si>
  <si>
    <t xml:space="preserve">#DDRC_DRAMTMG1 </t>
  </si>
  <si>
    <t xml:space="preserve">#DDRC_DRAMTMG2 </t>
  </si>
  <si>
    <t xml:space="preserve">#DDRC_DRAMTMG3 </t>
  </si>
  <si>
    <t xml:space="preserve">#DDRC_DRAMTMG4 </t>
  </si>
  <si>
    <t xml:space="preserve">#DDRC_DRAMTMG5 </t>
  </si>
  <si>
    <t xml:space="preserve">#DDRC_DRAMTMG6 </t>
  </si>
  <si>
    <t xml:space="preserve">#DDRC_DRAMTMG7 </t>
  </si>
  <si>
    <t>#DDRC_DRAMTMG12</t>
  </si>
  <si>
    <t>#DDRC_DRAMTMG13</t>
  </si>
  <si>
    <t>#DDRC_DRAMTMG14</t>
  </si>
  <si>
    <t>#DDRC_DRAMTMG17</t>
  </si>
  <si>
    <t xml:space="preserve">#DDRC_ZQCTL0   </t>
  </si>
  <si>
    <t xml:space="preserve">#DDRC_ZQCTL1   </t>
  </si>
  <si>
    <t xml:space="preserve">#DDRC_DFITMG0  </t>
  </si>
  <si>
    <t xml:space="preserve">#DDRC_DFITMG1  </t>
  </si>
  <si>
    <t xml:space="preserve">#DDRC_DFIUPD0  </t>
  </si>
  <si>
    <t xml:space="preserve">#DDRC_DFIUPD1  </t>
  </si>
  <si>
    <t xml:space="preserve">#DDRC_DFIUPD2  </t>
  </si>
  <si>
    <t xml:space="preserve">#DDRC_DFIMISC  </t>
  </si>
  <si>
    <t xml:space="preserve">#DDRC_DFITMG2  </t>
  </si>
  <si>
    <t xml:space="preserve">#DDRC_DBICTL   </t>
  </si>
  <si>
    <t>#DDRC_DFI_PHYMSTR</t>
  </si>
  <si>
    <t xml:space="preserve">#DDRC_ADDRMAP0 </t>
  </si>
  <si>
    <t xml:space="preserve">#DDRC_ADDRMAP3 </t>
  </si>
  <si>
    <t xml:space="preserve">#DDRC_ADDRMAP4 </t>
  </si>
  <si>
    <t xml:space="preserve">#DDRC_ADDRMAP1 </t>
  </si>
  <si>
    <t xml:space="preserve">#DDRC_ADDRMAP5 </t>
  </si>
  <si>
    <t xml:space="preserve">#DDRC_ADDRMAP6 </t>
  </si>
  <si>
    <t xml:space="preserve">#DDRC_ODTMAP   </t>
  </si>
  <si>
    <t>#DDRC_PCTRL_0</t>
  </si>
  <si>
    <t>#DDRC_DBG1</t>
  </si>
  <si>
    <t>#DDRC_PWRCTL</t>
  </si>
  <si>
    <t>#DDRC_SWCTL</t>
  </si>
  <si>
    <t>DDRC_PWRCTL</t>
  </si>
  <si>
    <t>lpddr4_sr_allowed</t>
  </si>
  <si>
    <t>dis_cam_drain_selfref</t>
  </si>
  <si>
    <t>stay_in_selfref</t>
  </si>
  <si>
    <t>selfref_sw</t>
  </si>
  <si>
    <t>mpsm_en</t>
  </si>
  <si>
    <t>en_dfi_dram_clk_disable</t>
  </si>
  <si>
    <t>deeppowerdown_en</t>
  </si>
  <si>
    <t>powerdown_en</t>
  </si>
  <si>
    <t>selfref_en</t>
  </si>
  <si>
    <t>If true then the uMCTL2 puts the SDRAM into Self Refresh after a programmable number of cycles "maximum idle clocks before Self Refresh (PWRTMG.selfref_to_x32)". This register bit may be re-programmed during the course of normal operation.
Value After Reset: 0x0</t>
  </si>
  <si>
    <t>If true then the uMCTL2 goes into power-down after a programmable number of cycles "maximum idle clocks before power down" (PWRTMG.powerdown_to_x32).
This register bit may be re-programmed during the course of normal operation.
Value After Reset: 0x0</t>
  </si>
  <si>
    <t>When this is 1, uMCTL2 puts the SDRAM into deep power-down mode when the transaction store is empty.
This register must be reset to '0' to bring uMCTL2 out of deep power-down mode. Controller performs automatic SDRAM initialization on deep power-down exit.
Present only in designs configured to support mDDR or LPDDR2 or LPDDR3. For non-mDDR/non-LPDDR2/non-LPDDR3, this register should not be set to 1.
FOR PERFORMANCE ONLY.
Value After Reset: 0x0</t>
  </si>
  <si>
    <t>Enable the assertion of dfi_dram_clk_disable whenever a clock is not required by the SDRAM.
If set to 0, dfi_dram_clk_disable is never asserted.
Assertion of dfi_dram_clk_disable is as follows:
In DDR2/DDR3, can only be asserted in Self Refresh.
In DDR4, can be asserted in following:
■in Self Refresh.
■in Maximum Power Saving Mode
In mDDR/LPDDR2/LPDDR3, can be asserted in following:
■in Self Refresh
■in Power Down
■in Deep Power Down
■during Normal operation (Clock Stop)
In LPDDR4, can be asserted in following:
■in Self Refresh Power Down
■in Power Down
■during Normal operation (Clock Stop)
Value After Reset: 0x0</t>
  </si>
  <si>
    <t>When this is 1, the uMCTL2 puts the SDRAM into maximum power saving mode when the transaction store is empty.
This register must be reset to '0' to bring uMCTL2 out of maximum power saving mode.
Present only in designs configured to support DDR4. For non-DDR4, this register should not be set to 1.
Note that MPSM is not supported when using a Synopsys DWC DDR PHY, if the PHY parameter DWC_AC_CS_USE is disabled, as the MPSM exit sequence requires the chip-select signal to toggle.
FOR PERFORMANCE ONLY.
Value After Reset: 0x0</t>
  </si>
  <si>
    <t>A value of 1 to this register causes system to move to Self Refresh state immediately, as long as it is not in INIT or DPD/MPSM operating_mode. This is referred to as Software Entry/Exit to Self Refresh.
■1 - Software Entry to Self Refresh
■0 - Software Exit from Self Refresh
Value After Reset: 0x0</t>
  </si>
  <si>
    <t>Self refresh state is an intermediate state to enter to Self refresh power down state or exit Self refresh power down state for LPDDR4.
This register controls transition from the Self refresh state.
■1 - Prohibit transition from Self refresh state
■0 - Allow transition from Self refresh state
Value After Reset: 0x0</t>
  </si>
  <si>
    <t>Indicates whether skipping CAM draining is allowed when entering Self-Refresh.
This register field cannot be modified while PWRCTL.selfref_sw==1.
■0 - CAMs must be empty before entering SR
■1 - CAMs are not emptied before entering SR
Value After Reset: 0x0</t>
  </si>
  <si>
    <t>Indicates whether transition from SR-PD to SR and back to SR-PD is allowed.
This register field cannot be modified while PWRCTL.selfref_sw==1.
■0 - SR-PD -&gt; SR -&gt; SR-PD not allowed
■1 - SR-PD -&gt; SR -&gt; SR-PD allowed
Value After Reset: 0x0</t>
  </si>
  <si>
    <t># DDR PHY DQ lane to memory mapping</t>
  </si>
  <si>
    <t>0x3C040280</t>
  </si>
  <si>
    <t>0x3C040284</t>
  </si>
  <si>
    <t>0x3C040288</t>
  </si>
  <si>
    <t>0x3C04028C</t>
  </si>
  <si>
    <t>0x3C040290</t>
  </si>
  <si>
    <t>0x3C040294</t>
  </si>
  <si>
    <t>0x3C040298</t>
  </si>
  <si>
    <t>0x3C04029C</t>
  </si>
  <si>
    <t>0x3C044280</t>
  </si>
  <si>
    <t>0x3C044284</t>
  </si>
  <si>
    <t>0x3C044288</t>
  </si>
  <si>
    <t>0x3C04428C</t>
  </si>
  <si>
    <t>0x3C044290</t>
  </si>
  <si>
    <t>0x3C044294</t>
  </si>
  <si>
    <t>0x3C044298</t>
  </si>
  <si>
    <t>0x3C04429C</t>
  </si>
  <si>
    <t>0x3C048280</t>
  </si>
  <si>
    <t>0x3C048284</t>
  </si>
  <si>
    <t>0x3C048288</t>
  </si>
  <si>
    <t>0x3C04828C</t>
  </si>
  <si>
    <t>0x3C048290</t>
  </si>
  <si>
    <t>0x3C048294</t>
  </si>
  <si>
    <t>0x3C048298</t>
  </si>
  <si>
    <t>0x3C04829C</t>
  </si>
  <si>
    <t>0x3C04C280</t>
  </si>
  <si>
    <t>0x3C04C284</t>
  </si>
  <si>
    <t>0x3C04C288</t>
  </si>
  <si>
    <t>0x3C04C28C</t>
  </si>
  <si>
    <t>0x3C04C290</t>
  </si>
  <si>
    <t>0x3C04C294</t>
  </si>
  <si>
    <t>0x3C04C298</t>
  </si>
  <si>
    <t>0x3C04C29C</t>
  </si>
  <si>
    <t>#DDR_PHY_Dq0LnSel_0</t>
  </si>
  <si>
    <t>#DDR_PHY_Dq1LnSel_0</t>
  </si>
  <si>
    <t>#DDR_PHY_Dq2LnSel_0</t>
  </si>
  <si>
    <t>#DDR_PHY_Dq3LnSel_0</t>
  </si>
  <si>
    <t>#DDR_PHY_Dq4LnSel_0</t>
  </si>
  <si>
    <t>#DDR_PHY_Dq5LnSel_0</t>
  </si>
  <si>
    <t>#DDR_PHY_Dq6LnSel_0</t>
  </si>
  <si>
    <t>#DDR_PHY_Dq7LnSel_0</t>
  </si>
  <si>
    <t>#DDR_PHY_Dq0LnSel_1</t>
  </si>
  <si>
    <t>#DDR_PHY_Dq1LnSel_1</t>
  </si>
  <si>
    <t>#DDR_PHY_Dq2LnSel_1</t>
  </si>
  <si>
    <t>#DDR_PHY_Dq3LnSel_1</t>
  </si>
  <si>
    <t>#DDR_PHY_Dq4LnSel_1</t>
  </si>
  <si>
    <t>#DDR_PHY_Dq5LnSel_1</t>
  </si>
  <si>
    <t>#DDR_PHY_Dq6LnSel_1</t>
  </si>
  <si>
    <t>#DDR_PHY_Dq7LnSel_1</t>
  </si>
  <si>
    <t>#DDR_PHY_Dq0LnSel_2</t>
  </si>
  <si>
    <t>#DDR_PHY_Dq1LnSel_2</t>
  </si>
  <si>
    <t>#DDR_PHY_Dq2LnSel_2</t>
  </si>
  <si>
    <t>#DDR_PHY_Dq3LnSel_2</t>
  </si>
  <si>
    <t>#DDR_PHY_Dq4LnSel_2</t>
  </si>
  <si>
    <t>#DDR_PHY_Dq5LnSel_2</t>
  </si>
  <si>
    <t>#DDR_PHY_Dq6LnSel_2</t>
  </si>
  <si>
    <t>#DDR_PHY_Dq7LnSel_2</t>
  </si>
  <si>
    <t>#DDR_PHY_Dq0LnSel_3</t>
  </si>
  <si>
    <t>#DDR_PHY_Dq1LnSel_3</t>
  </si>
  <si>
    <t>#DDR_PHY_Dq2LnSel_3</t>
  </si>
  <si>
    <t>#DDR_PHY_Dq3LnSel_3</t>
  </si>
  <si>
    <t>#DDR_PHY_Dq4LnSel_3</t>
  </si>
  <si>
    <t>#DDR_PHY_Dq5LnSel_3</t>
  </si>
  <si>
    <t>#DDR_PHY_Dq6LnSel_3</t>
  </si>
  <si>
    <t>#DDR_PHY_Dq7LnSel_3</t>
  </si>
  <si>
    <t>FREQ1 setpoint Clock Cycle Freq (MHz)</t>
  </si>
  <si>
    <t>FREQ2 setpoint Clock Cycle Freq (MHz)</t>
  </si>
  <si>
    <t>FREQ1 Clock Cycle Time (ns)</t>
  </si>
  <si>
    <t>FREQ2 Clock Cycle Time (ns)</t>
  </si>
  <si>
    <t>DDRC0 FREQ1 Base Address (do not modify)</t>
  </si>
  <si>
    <t>DDRC0 FREQ2 Base Address (do not modify)</t>
  </si>
  <si>
    <t>3D402000</t>
  </si>
  <si>
    <t>3D403000</t>
  </si>
  <si>
    <t>FREQ1 Setpoint Parameters (strongly recommended not to modify)</t>
  </si>
  <si>
    <t>DDRC_FREQ1_DRAMTMG0</t>
  </si>
  <si>
    <t>DDRC_FREQ1_DRAMTMG2</t>
  </si>
  <si>
    <t>num_pstat</t>
  </si>
  <si>
    <t># number of frequency setpoints for Hardware Fast Frequency Change</t>
  </si>
  <si>
    <t>train_2d</t>
  </si>
  <si>
    <t>#0=1D training only, 1=1D&amp;2D training</t>
  </si>
  <si>
    <r>
      <t xml:space="preserve">Enable/disable 2D training
</t>
    </r>
    <r>
      <rPr>
        <sz val="11"/>
        <rFont val="宋体"/>
        <family val="2"/>
        <scheme val="minor"/>
      </rPr>
      <t>This setting allows user to enable (1) or disable (0) 2D training.</t>
    </r>
  </si>
  <si>
    <t>TrainCtrl0</t>
  </si>
  <si>
    <t>TrainCtrl1</t>
  </si>
  <si>
    <t>TrainCtrl2</t>
  </si>
  <si>
    <t>0x121f</t>
  </si>
  <si>
    <t>RX2D_trainOpt</t>
  </si>
  <si>
    <t>TX2D_trainOpt</t>
  </si>
  <si>
    <t>Share_2dVref</t>
  </si>
  <si>
    <t>Delay_weight2d</t>
  </si>
  <si>
    <t>Volt_weight2d</t>
  </si>
  <si>
    <t>#### DDR frequency point0 #####</t>
  </si>
  <si>
    <t>frequency0</t>
  </si>
  <si>
    <t>pllbypass0</t>
  </si>
  <si>
    <t xml:space="preserve">freq0 set    </t>
  </si>
  <si>
    <t xml:space="preserve">freq0 setbit </t>
  </si>
  <si>
    <t xml:space="preserve">freq0 clrbit </t>
  </si>
  <si>
    <t>freq0 chkbit1</t>
  </si>
  <si>
    <t>0x30389808</t>
  </si>
  <si>
    <t xml:space="preserve">0x20      </t>
  </si>
  <si>
    <t xml:space="preserve">0x200     </t>
  </si>
  <si>
    <t xml:space="preserve">0x10      </t>
  </si>
  <si>
    <t>0x01000000</t>
  </si>
  <si>
    <t>#PGC_CPU_MAPPING,disable the clock gating</t>
  </si>
  <si>
    <t>#CCM_TARGET_ROOT_CLR(DRAM_SEL): clear DRAM PLL bypass bit24</t>
  </si>
  <si>
    <t>#### DDR frequency point1 #####</t>
  </si>
  <si>
    <t>0x3038A008</t>
  </si>
  <si>
    <t>0x3038A004</t>
  </si>
  <si>
    <t>0x30389804</t>
  </si>
  <si>
    <t>0x02010000</t>
  </si>
  <si>
    <t>#CCM_TARGET_ROOT_CLR(DRAM_ALT_CLK_ROOT)</t>
  </si>
  <si>
    <t>#CCM_TARGET_ROOT_SET(DRAM_ALT_CLK_ROOT):MUX=5(system_pll1_400m_clk), PRE_PODF=1 //DRAM_ALT_CLK=400/1=400MHz</t>
  </si>
  <si>
    <t>#CCM_TARGET_ROOT_SET(DRAM_APB_CLK_ROOT):MUX=2(system_pll1_40m_clk),  PRE_PODF=2 //DRAM_APB_CLK=40/2=20MHz</t>
  </si>
  <si>
    <t>#CCM_TARGET_ROOT_CLR(DRAM_SEL): enable DRAM PLL bypass bit24</t>
  </si>
  <si>
    <t>#### DDR frequency point2 #####</t>
  </si>
  <si>
    <t>frequency1</t>
  </si>
  <si>
    <t>pllbypass1</t>
  </si>
  <si>
    <t>frequency2</t>
  </si>
  <si>
    <t>pllbypass2</t>
  </si>
  <si>
    <t>0x02000000</t>
  </si>
  <si>
    <t>#CCM_TARGET_ROOT_SET(DRAM_ALT_CLK_ROOT):MUX=2(system_pll1_100m_clk), PRE_PODF=1 //DRAM_ALT_CLK=100/1=100MHz</t>
  </si>
  <si>
    <t>#DDRC_FREQ1_DRAMTMG0</t>
  </si>
  <si>
    <t>#DDRC_FREQ1_DRAMTMG1</t>
  </si>
  <si>
    <t>#DDRC_FREQ1_DRAMTMG2</t>
  </si>
  <si>
    <t>#DDRC_FREQ1_DRAMTMG3</t>
  </si>
  <si>
    <t>#DDRC_FREQ1_DRAMTMG4</t>
  </si>
  <si>
    <t>#DDRC_FREQ1_DRAMTMG5</t>
  </si>
  <si>
    <t>#DDRC_FREQ1_DRAMTMG6</t>
  </si>
  <si>
    <t>#DDRC_FREQ1_DRAMTMG7</t>
  </si>
  <si>
    <t>#DDRC_FREQ1_DRAMTMG14</t>
  </si>
  <si>
    <t>#DDRC_FREQ1_DRAMTMG17</t>
  </si>
  <si>
    <t>#DDRC_FREQ1_DERATEINT</t>
  </si>
  <si>
    <t>#DDRC_FREQ1_RFSHCTL0</t>
  </si>
  <si>
    <t>#DDRC_FREQ1_DFITMG0</t>
  </si>
  <si>
    <t>#DDRC_FREQ1_DFITMG2</t>
  </si>
  <si>
    <t>#DDRC_FREQ1_RFSHTMG</t>
  </si>
  <si>
    <t>#DDRC_FREQ1_INIT3</t>
  </si>
  <si>
    <t>#DDRC_FREQ1_INIT6</t>
  </si>
  <si>
    <t>#DDRC_FREQ1_INIT7</t>
  </si>
  <si>
    <t>#DDRC_FREQ1_INIT4</t>
  </si>
  <si>
    <t># DDR-50MHz clock configuration</t>
  </si>
  <si>
    <t xml:space="preserve">#DDRC_FREQ2_DRAMTMG0 </t>
  </si>
  <si>
    <t xml:space="preserve">#DDRC_FREQ2_DRAMTMG1 </t>
  </si>
  <si>
    <t xml:space="preserve">#DDRC_FREQ2_DRAMTMG2 </t>
  </si>
  <si>
    <t xml:space="preserve">#DDRC_FREQ2_DRAMTMG3 </t>
  </si>
  <si>
    <t xml:space="preserve">#DDRC_FREQ2_DRAMTMG4 </t>
  </si>
  <si>
    <t xml:space="preserve">#DDRC_FREQ2_DRAMTMG5 </t>
  </si>
  <si>
    <t xml:space="preserve">#DDRC_FREQ2_DRAMTMG6 </t>
  </si>
  <si>
    <t xml:space="preserve">#DDRC_FREQ2_DRAMTMG7 </t>
  </si>
  <si>
    <t>#DDRC_FREQ2_DRAMTMG14</t>
  </si>
  <si>
    <t>#DDRC_FREQ2_DRAMTMG17</t>
  </si>
  <si>
    <t>#DDRC_FREQ2_DERATEINT</t>
  </si>
  <si>
    <t xml:space="preserve">#DDRC_FREQ2_RFSHCTL0 </t>
  </si>
  <si>
    <t xml:space="preserve">#DDRC_FREQ2_DFITMG0  </t>
  </si>
  <si>
    <t xml:space="preserve">#DDRC_FREQ2_DFITMG2  </t>
  </si>
  <si>
    <t xml:space="preserve">#DDRC_FREQ2_RFSHTMG  </t>
  </si>
  <si>
    <t xml:space="preserve">#DDRC_FREQ2_INIT3    </t>
  </si>
  <si>
    <t xml:space="preserve">#DDRC_FREQ2_INIT6    </t>
  </si>
  <si>
    <t xml:space="preserve">#DDRC_FREQ2_INIT7    </t>
  </si>
  <si>
    <t xml:space="preserve">#DDRC_FREQ2_INIT4    </t>
  </si>
  <si>
    <t>RC_DERATE_VALUE</t>
  </si>
  <si>
    <t>Derate value of tRC for LPDDR4
■0 - Derating uses +1.
■1 - Derating uses +2.
■2 - Derating uses +3.
■3 - Derating uses +4.
Present only in designs configured to support LPDDR4. The required number of cycles for derating can be determined by dividing 3.75ns by the core_ddrc_core_clk period, and rounding up the next integer.
This value is automatically calculated.</t>
  </si>
  <si>
    <t>DDRC_DERATEEN</t>
  </si>
  <si>
    <t>DERATE_BYTE</t>
  </si>
  <si>
    <t>Indicates which byte of the MRR data is used for derating.
Note, this parameter is automatically configured based on the information provided in the BoardDataBusConfig tab. It is important for the user to correctly configure the BoardDataBusConfig worksheet tab.</t>
  </si>
  <si>
    <t>DERATE_VALUE</t>
  </si>
  <si>
    <t>Derate value
■0 - Derating uses +1.
■1 - Derating uses +2.
For LPDDR4, if the period of core_ddrc_core_clk is less than 1.875ns, this register field should be set to 1; otherwise it should be set to 0.
This value is automatically calculated.</t>
  </si>
  <si>
    <t>DERATE_ENABLE</t>
  </si>
  <si>
    <t>Enables derating
■0 - Timing parameter derating is disabled
■1 - Timing parameter derating is enabled using MR4 read value.
Present only in designs configured to support LPDDR4
This field must be set to '0' for non-LPDDR4 mode</t>
  </si>
  <si>
    <t>MR4_READ_INTERVAL</t>
  </si>
  <si>
    <t>DDRC_DERATEINT</t>
  </si>
  <si>
    <t>DDRC_FREQ1_DERATEINT</t>
  </si>
  <si>
    <t>DDRC_FREQ1_DFITMG0</t>
  </si>
  <si>
    <t>DDRC_FREQ1_DFITMG2</t>
  </si>
  <si>
    <t>DDRC_FREQ1_INIT6</t>
  </si>
  <si>
    <t>DDRC_FREQ1_INIT7</t>
  </si>
  <si>
    <t>DDRC_FREQ1_INIT4</t>
  </si>
  <si>
    <t>DDRC_FREQ1_RFSHTMG</t>
  </si>
  <si>
    <t>DDRC_FREQ1_INIT3</t>
  </si>
  <si>
    <t>DDRC_FREQ1_RFSHCTL0</t>
  </si>
  <si>
    <t>DDRC_FREQ1_DRAMTMG17</t>
  </si>
  <si>
    <t>DDRC_FREQ1_DRAMTMG14</t>
  </si>
  <si>
    <t>DDRC_FREQ1_DRAMTMG7</t>
  </si>
  <si>
    <t>DDRC_FREQ1_DRAMTMG6</t>
  </si>
  <si>
    <t>DDRC_FREQ1_DRAMTMG5</t>
  </si>
  <si>
    <t>DDRC_FREQ1_DRAMTMG4</t>
  </si>
  <si>
    <t>DDRC_FREQ1_DRAMTMG3</t>
  </si>
  <si>
    <t>DDRC_FREQ1_DRAMTMG1</t>
  </si>
  <si>
    <t>Refer to this register's bit description previously described above</t>
  </si>
  <si>
    <t>tWR (automatically calculated based on JEDEC)
Minimum time between write and precharge to same bank.
Unit: Clocks
Specifications: WL + BL/2 + tWR = approximately 8 cycles + 15 ns = 14 clocks @400MHz and less for lower frequencies
where:
■WL = write latency
■BL = burst length. This must match the value programmed in the BL bit of the mode register to the SDRAM. BST (burst terminate) is not supported at present.
■tWR = Write recovery time. This comes directly from the SDRAM specification.
Add one extra cycle for LPDDR2/LPDDR3/LPDDR4 for this parameter.
When the controller is operating in 1:2 frequency ratio mode, 1T mode, divide the above value by 2. No rounding up.
When the controller is operating in 1:2 frequency ratio mode, 2T mode or LPDDR4 mode, divide the above value by 2 and round it up to the next integer value.
Note that, depending on the PHY, if using LRDIMM, it may be necessary to adjust the value of this parameter to compensate for the extra cycle of latency through the LRDIMM.
Value After Reset: 0xf</t>
  </si>
  <si>
    <t>tFAW (in ns) (automatically calculated based on JEDEC)
tFAW Valid only when 8 or more banks(or banks x bank groups) are present.
In 8-bank design, at most 4 banks must be activated in a rolling window of tFAW cycles.
When the controller is operating in 1:2 frequency ratio mode, program this to (tFAW/2) and round up to next integer value.
In a 4-bank design, set this register to 0x1 independent of the 1:1/1:2 frequency mode.
Unit: Clocks
Value After Reset: 0x10</t>
  </si>
  <si>
    <t>tRAS(min) (automatically calculated based on JEDEC)
tRAS(min): Minimum time between activate and precharge to the same bank.
When the controller is operating in 1:2 frequency mode, 1T mode, program this to tRAS(min)/2. No rounding up.
When the controller is operating in 1:2 frequency ratio mode, 2T mode or LPDDR4 mode, program this to (tRAS(min)/2) and round it up to the next integer value.
Unit: Clocks
Value After Reset: 0xf</t>
  </si>
  <si>
    <t>tXP (automatically calculated based on JEDEC)
tXP: Minimum time after power-down exit to any operation. For DDR3, this should be programmed to tXPDLL if slow powerdown exit is selected in MR0[12].
If C/A parity for DDR4 is used, set to (tXP+PL) instead.
If LPDDR4 is selected and its spec has tCKELPD parameter, set to the larger of tXP and tCKELPD instead.
When the controller is operating in 1:2 frequency ratio mode, program this to (tXP/2) and round it up to the next integer value.
Units: Clocks
Value After Reset: 0x8</t>
  </si>
  <si>
    <t>Set to WL (automatically calculated based on JEDEC)
Time from write command to write data on SDRAM interface. This must be set to WL.
For mDDR, it should normally be set to 1.
Note that, depending on the PHY, if using RDIMM/LRDIMM, it may be necessary to adjust the value of WL to compensate for the extra cycle of latency through the RDIMM/LRDIMM.
When the controller is operating in 1:2 frequency ratio mode, divide the value calculated using the above equation by 2, and round it up to next integer.
This register field is not required for DDR2 and DDR3 (except if MEMC_TRAINING is set), as the DFI read and write latencies defined in DFITMG0 and DFITMG1 are sufficient for those protocols
Unit: clocks
Value After Reset: 0x3</t>
  </si>
  <si>
    <t>Set to RL (automatically calculated based on JEDEC)
Time from read command to read data on SDRAM interface. This must be set to RL.
Note that, depending on the PHY, if using RDIMM/LRDIMM, it may be necessary to adjust the value of RL to compensate for the extra cycle of latency through the RDIMM/LRDIMM.
When the controller is operating in 1:2 frequency ratio mode, divide the value calculated using the above equation by 2, and round it up to next integer.
This register field is not required for DDR2 and DDR3 (except if MEMC_TRAINING is set), as the DFI read and write latencies defined in DFITMG0 and DFITMG1 are sufficient for those protocols
Unit: clocks
Value After Reset: 0x5</t>
  </si>
  <si>
    <t>Timing parameter automatically calculated based on JEDEC.
Description: Time to wait after a mode register write or read (MRW or MRR).
Present only in designs configured to support LPDDR2/LPDDR3/LPDDR4
LPDDR4: Set this to the larger of tMRW and tMRWCKEL in ns.
Value After Reset: 0x0</t>
  </si>
  <si>
    <t>tMRD (automatically calculated based on JEDEC).
tMRD: Cycles to wait after a mode register write or read. Depending on the connected SDRAM, tMRD represents:
DDR2/mDDR: Time from MRS to any command
DDR3/4: Time from MRS to MRS command
LPDDR2: not used
LPDDR3/4: Time from MRS to non-MRS command.
When the controller is operating in 1:2 frequency ratio mode, program this to (tMRD/2) and round it up to the next integer value.
If C/A parity for DDR4 is used, set to tMRD_PAR(tMOD+PL) instead.
Value After Reset: 0x4</t>
  </si>
  <si>
    <t>tCCD (automatically calculated based on JEDEC).
DDR4: tCCD_L: This is the minimum time between two reads or two writes for same bank group.
Others: tCCD: This is the minimum time between two reads or two writes.
When the controller is operating in 1:2 frequency ratio mode, program this to (tCCD_L/2 or tCCD/2) and round it up to the next integer value.
Unit: clocks.
Value After Reset: 0x4</t>
  </si>
  <si>
    <t>tRRD (automatically calculated based on JEDEC).
DDR4: tRRD_L: Minimum time between activates from bank "a" to bank "b" for same bank group.
Others: tRRD: Minimum time between activates from bank "a" to bank "b"
When the controller is operating in 1:2 frequency ratio mode, program this to (tRRD_L/2 or tRRD/2) and round it up to the next integer value.
Unit: Clocks.
Value After Reset: 0x4</t>
  </si>
  <si>
    <t>tRPpb (automatically calculated based on JEDEC).
tRP: Minimum time from precharge to activate of same bank.
When the controller is operating in 1:1 frequency ratio mode, t_rp should be set to RoundUp(tRP/tCK).
When the controller is operating in 1:2 frequency ratio mode, t_rp should be set to RoundDown(RoundUp(tRP/tCK)/2) + 1.
When the controller is operating in 1:2 frequency ratio mode in LPDDR4, t_rp should be set to RoundUp(RoundUp(tRP/tCK)/2).
Unit: Clocks.
Value After Reset: 0x5</t>
  </si>
  <si>
    <t>tCKCKEH (automatically calculated based on JEDEC).
This is the time before Self Refresh Exit that CK is maintained as a valid clock before issuing SRX. Specifies the clock stable time before SRX.
Recommended settings:
■mDDR: 1
■LPDDR2: 2
■LPDDR3: 2
■LPDDR4: tCKCKEH
■DDR2: 1
■DDR3: tCKSRX
■DDR4: tCKSRX
When the controller is operating in 1:2 frequency ratio mode, program this to recommended value divided by two and round it up to next integer.
Value After Reset: 0x5</t>
  </si>
  <si>
    <t>tCKELCK (automatically calculated based on JEDEC).
This is the time after Self Refresh Down Entry that CK is maintained as a valid clock. Specifies the clock disable delay after SRE.
Recommended settings:
■mDDR: 0
■LPDDR2: 2
■LPDDR3: 2
■LPDDR4: tCKELCK
■DDR2: 1
■DDR3: max (10 ns, 5 tCK)
■DDR4: max (10 ns, 5 tCK) (+ PL(parity latency)(*))
(*)Only if CRCPARCTL1.caparity_disable_before_sr=0, this register should be increased by PL.
When the controller is operating in 1:2 frequency ratio mode, program this to recommended value divided by two and round it up to next integer.
Value After Reset: 0x5</t>
  </si>
  <si>
    <t>max(tCKE, tSR) (automatically calculated based on JEDEC).
Minimum CKE low width for Self refresh or Self refresh power down entry to exit timing in memory clock cycles.
Recommended settings:
■mDDR: tRFC
■LPDDR2: tCKESR
■LPDDR3: tCKESR
■LPDDR4: max(tCKE, tSR)
tSR: max(15ns, 3tCK)
tCKE: max(7.5ns, 4tCK)
■DDR2: tCKE
■DDR3: tCKE + 1
■DDR4: tCKE + 1 (+ PL(parity latency)(*))
(*)Only if CRCPARCTL1.caparity_disable_before_sr=0, this register should be increased by PL.
When the controller is operating in 1:2 frequency ratio mode, program this to recommended value divided by two and round it up to next integer.
Value After Reset: 0x4</t>
  </si>
  <si>
    <t>max(tCKE, tSR) (automatically calculated based on JEDEC).
Minimum number of cycles of CKE HIGH/LOW during power-down and self refresh.
■LPDDR2/LPDDR3 mode: Set this to the larger of tCKE or tCKESR
■LPDDR4 mode: Set this to the larger of tCKE or tSR.
■Non-LPDDR2/non-LPDDR3/non-LPDDR4 designs: Set this to tCKE value.
When the controller is operating in 1:2 frequency ratio mode, program this to (value described above)/2 and round it up to the next integer value.
Unit: Clocks.
Value After Reset: 0x3</t>
  </si>
  <si>
    <r>
      <rPr>
        <b/>
        <sz val="10"/>
        <color theme="1"/>
        <rFont val="Arial"/>
        <family val="2"/>
      </rPr>
      <t>tXP + 2 (automatically calculated based on JEDEC)</t>
    </r>
    <r>
      <rPr>
        <sz val="10"/>
        <color theme="1"/>
        <rFont val="Arial"/>
        <family val="2"/>
      </rPr>
      <t xml:space="preserve">
This is the time before Clock Stop Exit that CK is maintained as a valid clock before issuing Clock Stop Exit. Specifies the clock stable time before next command after Clock Stop Exit.
Recommended settings:
■mDDR: 1
■LPDDR2: tXP + 2
■LPDDR3: tXP + 2
■LPDDR4: tXP + 2
When the controller is operating in 1:2 frequency ratio mode, program this to recommended value divided by two and round it up to next integer.
This is only present for designs supporting mDDR or LPDDR2/LPDDR3/LPDDR4 devices.
Value After Reset: 0x5</t>
    </r>
  </si>
  <si>
    <r>
      <rPr>
        <b/>
        <sz val="10"/>
        <color theme="1"/>
        <rFont val="Arial"/>
        <family val="2"/>
      </rPr>
      <t>tCKELCK (automatically calculated based on JEDEC)</t>
    </r>
    <r>
      <rPr>
        <sz val="10"/>
        <color theme="1"/>
        <rFont val="Arial"/>
        <family val="2"/>
      </rPr>
      <t xml:space="preserve">
This is the time after Power Down Entry that CK is maintained as a valid clock. Specifies the clock disable delay after PDE.
Recommended settings:
■mDDR: 0
■LPDDR2: 2
■LPDDR3: 2
■LPDDR4: tCKELCK
When using DDR2/3/4 SDRAM, this register should be set to the same value as DRAMTMG5.t_cksre. When the controller is operating in 1:2 frequency ratio mode, program this to recommended value divided by two and round it up to next integer.
This is only present for designs supporting mDDR or LPDDR2/LPDDR3/LPDDR4 devices.
Value After Reset: 0x2</t>
    </r>
  </si>
  <si>
    <r>
      <t xml:space="preserve">tCMDCKE: Delay from valid command to CKE input LOW.
</t>
    </r>
    <r>
      <rPr>
        <b/>
        <sz val="10"/>
        <color theme="1"/>
        <rFont val="Arial"/>
        <family val="2"/>
      </rPr>
      <t>Set this to the larger of tESCKE or tCMDCKE (automatically calculated based on JEDEC)
tESCKE: Max(1.75ns, 3nCK)
tCMDCKE: Max(1.75ns, 3tCK)</t>
    </r>
    <r>
      <rPr>
        <sz val="10"/>
        <color theme="1"/>
        <rFont val="Arial"/>
        <family val="2"/>
      </rPr>
      <t xml:space="preserve">
When the controller is operating in 1:2 frequency ratio mode, program this to (max(tESCKE, tCMDCKE)/2) and round it up to the next integer value.
Value After Reset: 0x2</t>
    </r>
  </si>
  <si>
    <r>
      <t>Description: tCKEHCMD: Valid command requirement after CKE input HIGH.</t>
    </r>
    <r>
      <rPr>
        <b/>
        <sz val="10"/>
        <color theme="1"/>
        <rFont val="Arial"/>
        <family val="2"/>
      </rPr>
      <t xml:space="preserve"> Input tCKEHCMD in ns. May also be referred to as tCKEHCS: Max(7.5ns,5tCK). (automatically calculated based on JEDEC)</t>
    </r>
    <r>
      <rPr>
        <sz val="10"/>
        <color theme="1"/>
        <rFont val="Arial"/>
        <family val="2"/>
      </rPr>
      <t xml:space="preserve">
When the controller is operating in 1:2 frequency ratio mode, program this to (tCKEHCMD/2) and round it up to next integer value.  (this is performed automatically)
Value After Reset: 0x6</t>
    </r>
  </si>
  <si>
    <r>
      <rPr>
        <b/>
        <sz val="10"/>
        <color theme="1"/>
        <rFont val="Arial"/>
        <family val="2"/>
      </rPr>
      <t>tXSR: Max (tRFCab + 7.5ns, 2tCK) (automatically calculated based on JEDEC)</t>
    </r>
    <r>
      <rPr>
        <sz val="10"/>
        <color theme="1"/>
        <rFont val="Arial"/>
        <family val="2"/>
      </rPr>
      <t xml:space="preserve">
tXSR: Exit Self Refresh to any command.
When the controller is operating in 1:2 frequency ratio mode, program this to the above value divided by 2 and round up to next integer value.
Note: Used only for mDDR/LPDDR2/LPDDR3/LPDDR4 mode.
Value After Reset: 0xa0</t>
    </r>
  </si>
  <si>
    <r>
      <rPr>
        <b/>
        <sz val="10"/>
        <color theme="1"/>
        <rFont val="Arial"/>
        <family val="2"/>
      </rPr>
      <t>tZQCAL: 1us (automatically calculated based on JEDEC)</t>
    </r>
    <r>
      <rPr>
        <sz val="10"/>
        <color theme="1"/>
        <rFont val="Arial"/>
        <family val="2"/>
      </rPr>
      <t xml:space="preserve">
tZQoper for DDR3/DDR4, tZQCL for LPDDR2/LPDDR3, tZQCAL for LPDDR4: Number of DFI clock cycles of NOP required after a ZQCL (ZQ calibration long)/MPC(ZQ Start) command is issued to SDRAM.
When the controller is operating in 1:2 frequency ratio mode:
DDR3/DDR4: program this to tZQoper/2 and round it up to the next integer value.
LPDDR2/LPDDR3: program this to tZQCL/2 and round it up to the next integer value.
LPDDR4: program this to tZQCAL/2 and round it up to the next integer value.
This is only present for designs supporting DDR3/DDR4 or LPDDR2/LPDDR3/LPDDR4 devices.
Value After Reset: 0x200</t>
    </r>
  </si>
  <si>
    <r>
      <rPr>
        <b/>
        <sz val="10"/>
        <color theme="1"/>
        <rFont val="Arial"/>
        <family val="2"/>
      </rPr>
      <t>tZQLAT: Max (30ns, 8tCK) (automatically calculated based on JEDEC)</t>
    </r>
    <r>
      <rPr>
        <sz val="10"/>
        <color theme="1"/>
        <rFont val="Arial"/>
        <family val="2"/>
      </rPr>
      <t xml:space="preserve">
tZQCS for DDR3/DD4/LPDDR2/LPDDR3, tZQLAT for LPDDR4: Number of DFI clock cycles of NOP required after a ZQCS (ZQ calibration short)/MPC(ZQ Latch) command is issued to SDRAM.
When the controller is operating in 1:2 frequency ratio mode, program this to tZQCS/2 and round it up to the next integer value.
This is only present for designs supporting DDR3/DDR4 or LPDDR2/LPDDR3/LPDDR4 devices.
Value After Reset: 0x40</t>
    </r>
  </si>
  <si>
    <r>
      <rPr>
        <b/>
        <sz val="10"/>
        <color theme="1"/>
        <rFont val="Arial"/>
        <family val="2"/>
      </rPr>
      <t>tZQRESET: Max (50ns, 3tCK) (automatically calculated based on JEDEC)</t>
    </r>
    <r>
      <rPr>
        <sz val="10"/>
        <color theme="1"/>
        <rFont val="Arial"/>
        <family val="2"/>
      </rPr>
      <t xml:space="preserve">
tZQReset: Number of DFI clock cycles of NOP required after a ZQReset (ZQ calibration Reset) command is issued to SDRAM.
When the controller is operating in 1:2 frequency ratio mode, program this to tZQReset/2 and round it up to the next integer value.
This is only present for designs supporting LPDDR2/LPDDR3/LPDDR4 devices.
Value After Reset: 0x20</t>
    </r>
  </si>
  <si>
    <t>FREQ2 Setpoint Parameters (strongly recommended not to modify)</t>
  </si>
  <si>
    <t>DDRC_FREQ2_DRAMTMG0</t>
  </si>
  <si>
    <t>Adjusted PRE_CKE_X1024, DRAM_RSTN_X1024 to add 1 (see Notes on Timing Registers in DDR Controller spec); changed WR2PRE tWR parameter to match JEDEC minimum of 6 clocks instead of 4 (Micron lists 4, but use JEDEC)</t>
  </si>
  <si>
    <t>PhyVref</t>
  </si>
  <si>
    <t>■Full bus width mode: Selects the HIF address bit used as column address bit 9.
■Half bus width mode: Selects the HIF address bit used as column address bit 11 (10 in LPDDR2/LPDDR3 mode).
■Quarter bus width mode: Selects the HIF address bit used as column address bit 13 (11 in LPDDR2/LPDDR3 mode).
Valid Range: 0 to 7, x, and 31. x indicate a valid value in inline ECC configuration.
Internal Base: 9
The selected HIF address bit is determined by adding the internal base to the value of this field.
If unused, set to 31 and then this column address bit is set to 0.
Note: Per JEDEC DDR2/3/mDDR specification, column address bit 10 is reserved for indicating auto-precharge, and hence no source address bit can be mapped to column address bit 10.
In LPDDR2/LPDDR3, there is a dedicated bit for auto-precharge in the CA bus and hence column bit 10 is used.
In Inline ECC configuration (MEMC_INLINE_ECC=1) and ECC is enabled (ECCCFG0.ecc_mode&gt;0), the highest 3 column address bits must map to the highest 3 valid HIF address bits.
If column bit 9 is the highest column address bit, it must map to the highest valid HIF address bit. (x = the highest valid HIF address bit - internal base)
If column bit 9 is the second highest column address bit, it must map to the second highest valid HIF address bit. (x = the highest valid HIF address bit - 1 - internal base)
If column bit 9 is the third highest column address bit, it must map to the third highest valid HIF address bit. (x = the highest valid HIF address bit - 2 - internal base)
if it is unused, set to 31.</t>
  </si>
  <si>
    <t>■Full bus width mode: Selects the HIF address bit used as column address bit 8.
■Half bus width mode: Selects the HIF address bit used as column address bit 9.
■Quarter bus width mode: Selects the HIF address bit used as column address bit 11 (10 in LPDDR2/LPDDR3 mode).
Valid Range: 0 to 7, x, and 31. x indicate a valid value in inline ECC configuration.
Internal Base: 8
The selected HIF address bit is determined by adding the internal base to the value of this field.
If unused, set to 31 and then this column address bit is set to 0.
Note: Per JEDEC DDR2/3/mDDR specification, column address bit 10 is reserved for indicating auto-precharge, and hence no source address bit can be mapped to column address bit 10.
In LPDDR2/LPDDR3, there is a dedicated bit for auto-precharge in the CA bus and hence column bit 10 is used.
In Inline ECC configuration (MEMC_INLINE_ECC=1) and ECC is enabled (ECCCFG0.ecc_mode&gt;0), the highest 3 column address bits must map to the highest 3 valid HIF address bits.
If column bit 8 is the second highest column address bit, it must map to the second highest valid HIF address bit. (x = the highest valid HIF address bit - 1 - internal base)
If column bit 8 is the third highest column address bit, it must map to the third highest valid HIF address bit. (x = the highest valid HIF address bit - 2 - internal base)
if it is unused, set to 31.</t>
  </si>
  <si>
    <t>■Full bus width mode: Selects the HIF address bit used as column address bit 7.
■Half bus width mode: Selects the HIF address bit used as column address bit 8.
■Quarter bus width mode: Selects the HIF address bit used as column address bit 9.
Valid Range: 0 to 7, x, and 31. x indicate a valid value in inline ECC configuration.
Internal Base: 7
The selected HIF address bit is determined by adding the internal base to the value of this field. If unused, set to 31 and then this column address bit is set to 0.
In Inline ECC configuration (MEMC_INLINE_ECC=1) and ECC is enabled (ECCCFG0.ecc_mode&gt;0), the highest 3 column address bits must map to the highest 3 valid HIF address bits.
If column bit 7 is the third highest column address bit, it must map to the third highest valid HIF address bit. (x = the highest valid HIF address bit - 2 - internal base)
if it is unused, set to 31.</t>
  </si>
  <si>
    <t>tRCD (automatically calculated based on JEDEC).
tRCD - tAL: Minimum time from activate to read or write command to same bank. Note, for LPDDR4, tAL is not used and is 0, therefore this parameter is based on tRCD only.
When the controller is operating in 1:2 frequency ratio mode, program this to ((tRCD - tAL)/2) and round it up to the next integer value.
Minimum value allowed for this register is 1, which implies minimum (tRCD - tAL) value to be 2 when the controller is operating in 1:2 frequency ratio mode.
Unit: Clocks.
Value After Reset: 0x5</t>
  </si>
  <si>
    <t>tRTP (automatically calculated based on JEDEC)
tRTP: Minimum time from read to precharge of same bank.
■DDR2: tAL + BL/2 + max(tRTP, 2) - 2
■DDR3: tAL + max (tRTP, 4)
■DDR4: Max of following two equations: tAL + max (tRTP, 4) or, RL + BL/2 - tRP (*).
■mDDR: BL/2
■LPDDR2: Depends on if it's LPDDR2-S2 or LPDDR2-S4: LPDDR2-S2: BL/2 + tRTP - 1. LPDDR2-S4: BL/2 + max(tRTP,2) - 2.
■LPDDR3: BL/2 + max(tRTP,4) - 4
■LPDDR4: BL/2 + max(tRTP,8) - 8
(*) When both DDR4 SDRAM and ST-MRAM are used simultaneously, use SDRAM's tRP value for calculation.
When the controller is operating in 1:2 mode, 1T mode, divide the above value by 2. No rounding up.
When the controller is operating in 1:2 mode, 2T mode or LPDDR4 mode, divide the above value by 2 and round it up to the next integer value.
Unit: Clocks.
Value After Reset: 0x4</t>
  </si>
  <si>
    <t>tRPab (automatically calculated based on JEDEC). This will then get added (automatically) to tRAS. 
tRC: Minimum time between activates to same bank.
When the controller is operating in 1:2 frequency ratio mode, program this to (tRC/2) and round up to next integer value.
Unit: Clocks.
Value After Reset: 0x14</t>
  </si>
  <si>
    <t>Initial value used for VREF. The value is updated following data training.</t>
  </si>
  <si>
    <t># Initial VREF value</t>
  </si>
  <si>
    <t>csPresent</t>
  </si>
  <si>
    <t>Indicates presence of DRAM at each chip select for PHY. (e.g. 0x3 means CS0 and CS1 are used, 0x1 means only CS0 is used)</t>
  </si>
  <si>
    <t>Added more DDR parameters (PhyVref, csPresent). Updated ADDRMAP3 COL9, 8, 7 bit fields to select 0x3F if not used. Updated RD2WR field to include RD_POSTAMBLE from MR1.</t>
  </si>
  <si>
    <t>data_width</t>
  </si>
  <si>
    <t>#16bit or 32bit only</t>
  </si>
  <si>
    <t>16bit or 32bit only</t>
  </si>
  <si>
    <t>0x01</t>
  </si>
  <si>
    <t>0x7F</t>
  </si>
  <si>
    <t>0x1F</t>
  </si>
  <si>
    <t>0x11</t>
  </si>
  <si>
    <t>#DDRC_SCHED</t>
  </si>
  <si>
    <t>#DDRC_SCHED1</t>
  </si>
  <si>
    <t>#DDRC_PERFLPR1</t>
  </si>
  <si>
    <t>#DDRC_PERFWR1</t>
  </si>
  <si>
    <t xml:space="preserve">#DDRC_PCCFG </t>
  </si>
  <si>
    <t xml:space="preserve">#DDRC_PCFGW_0 </t>
  </si>
  <si>
    <t xml:space="preserve">#DDRC_PCFGQOS0_0 </t>
  </si>
  <si>
    <t xml:space="preserve">#DDRC_PCFGQOS1_0 </t>
  </si>
  <si>
    <t>#DDRC_PCFGWQOS0_0</t>
  </si>
  <si>
    <t>#DDRC_PCFGWQOS1_0</t>
  </si>
  <si>
    <t>DDRC_SCHED</t>
  </si>
  <si>
    <t>rdwr_idle_gap</t>
  </si>
  <si>
    <t>go2critical_hysteresis</t>
  </si>
  <si>
    <t>lpr_num_entries</t>
  </si>
  <si>
    <t>pageclose</t>
  </si>
  <si>
    <t>prefer_write</t>
  </si>
  <si>
    <t>force_low_pri_n</t>
  </si>
  <si>
    <t>Active low signal. When asserted ('0'), all incoming transactions are forced to low priority. This implies that all High Priority Read (HPR) and Variable Priority Read commands (VPR) will be treated as Low Priority Read (LPR) commands. On the write side, all Variable Priority Write (VPW) commands will be treated as Normal Priority Write (NPW) commands. Forcing the incoming transactions to low priority implicitly turns off Bypass path for read commands.
FOR PERFORMANCE ONLY.
Value After Reset: 0x1</t>
  </si>
  <si>
    <t>If set then the bank selector prefers writes over reads.
FOR DEBUG ONLY.
Value After Reset: 0x0</t>
  </si>
  <si>
    <t>If true, bank is kept open only while there are page hit transactions available in the CAM to that bank. The last read or write command in the CAM with a bank and page hit will be executed with auto-precharge if SCHED1.pageclose_timer=0. Even if this register set to 1 and SCHED1.pageclose_timer is set to 0, explicit precharge (and not auto-precharge) may be issued in some cases where there is a mode switch between Write and Read or between LPR and HPR. The Read and Write commands that are executed as part of the ECC scrub requests are also executed without auto-precharge.
If false, the bank remains open until there is a need to close it (to open a different page, or for page timeout or refresh timeout) - also known as open page policy. The open page policy can be overridden by setting the per-command-autopre bit on the HIF interface (hif_cmd_autopre).
The pageclose feature provids a midway between Open and Close page policies.
FOR PERFORMANCE ONLY.
Value After Reset: 0x1</t>
  </si>
  <si>
    <t>Number of entries in the low priority transaction store is this value + 1.
(MEMC_NO_OF_ENTRY - (SCHED.lpr_num_entries + 1)) is the number of entries available for the high priority transaction store.
Setting this to maximum value allocates all entries to low priority transaction store.
Setting this to 0 allocates 1 entry to low priority transaction store and the rest to high priority transaction store.
Note: In ECC configurations, the numbers of write and low priority read credits issued is one less than in the non-ECC case. One entry each is reserved in the write and low-priority read CAMs for storing the RMW requests arising out of single bit error correction RMW operation.
Value After Reset: "MEMC_NO_OF_ENTRY/2"</t>
  </si>
  <si>
    <t>UNUSED
Value After Reset: 0x0</t>
  </si>
  <si>
    <t>When the preferred transaction store is empty for these many clock cycles, switch to the alternate transaction store if it is non-empty.
The read transaction store (both high and low priority) is the default preferred transaction store and the write transaction store is the alternative store.
When prefer write over read is set this is reversed.
0x0 is a legal value for this register. When set to 0x0, the transaction store switching will happen immediately when the switching conditions become true.
FOR PERFORMANCE ONLY
Value After Reset: 0x0</t>
  </si>
  <si>
    <t>pageclose_timer</t>
  </si>
  <si>
    <t>This field works in conjunction with SCHED.pageclose. It only has meaning if SCHED.pageclose==1.
If SCHED.pageclose==1 and pageclose_timer==0, then an auto-precharge may be scheduled for last read or write command in the CAM with a bank and page hit. Note, sometimes an explicit precharge is scheduled instead of the auto-precharge. See SCHED.pageclose for details of when this may happen.
If SCHED.pageclose==1 and pageclose_timer&gt;0, then an auto-precharge is not scheduled for last read or write command in the CAM with a bank and page hit. Instead, a timer is started, with pageclose_timer as the initial value. There is a timer on a per bank basis. The timer decrements unless the next read or write in the CAM to a bank is a page hit. It gets reset to pageclose_timer value if the next read or write in the CAM to a bank is a page hit. Once the timer has reached zero, an explcit precharge will be attempted to be scheduled.
Value After Reset: 0x0</t>
  </si>
  <si>
    <t>DDRC_SCHED1</t>
  </si>
  <si>
    <t>DDRC_PERFLPR1</t>
  </si>
  <si>
    <t>lpr_xact_run_length</t>
  </si>
  <si>
    <t>lpr_max_starve</t>
  </si>
  <si>
    <t>Number of transactions that are serviced once the LPR queue goes critical is the smaller of:
■(a) This number
■(b) Number of transactions available.
Unit: Transaction.
FOR PERFORMANCE ONLY.
Value After Reset: 0xf</t>
  </si>
  <si>
    <t>Number of DFI clocks that the LPR queue can be starved before it goes critical. The minimum valid functional value for this register is 0x1. Programming it to 0x0 will disable the starvation functionality; during normal operation, this function should not be disabled as it will cause excessive latencies.
FOR PERFORMANCE ONLY.
Value After Reset: 0x7f</t>
  </si>
  <si>
    <t>DDRC_PERFWR1</t>
  </si>
  <si>
    <t>w_xact_run_length</t>
  </si>
  <si>
    <t>w_max_starve</t>
  </si>
  <si>
    <t>Number of transactions that are serviced once the WR queue goes critical is the smaller of:
■(a) This number
■(b) Number of transactions available.
Unit: Transaction.
FOR PERFORMANCE ONLY.
Value After Reset: 0xf</t>
  </si>
  <si>
    <t>Number of DFI clocks that the WR queue can be starved before it goes critical. The minimum valid functional value for this register is 0x1. Programming it to 0x0 will disable the starvation functionality; during normal operation, this function should not be disabled as it will cause excessive latencies.
FOR PERFORMANCE ONLY.
Value After Reset: 0x7f</t>
  </si>
  <si>
    <t xml:space="preserve">DDRC_PCCFG </t>
  </si>
  <si>
    <t>bl_exp_mode</t>
  </si>
  <si>
    <t>pagematch_limit</t>
  </si>
  <si>
    <t>go2critical_en</t>
  </si>
  <si>
    <t>If set to 1 (enabled), sets co_gs_go2critical_wr and co_gs_go2critical_lpr/co_gs_go2critical_hpr signals going to DDRC based on urgent input (awurgent, arurgent) coming from AXI master. If set to 0 (disabled), co_gs_go2critical_wr and co_gs_go2critical_lpr/co_gs_go2critical_hpr signals at DDRC are driven to 1b'0.
Value After Reset: 0x0</t>
  </si>
  <si>
    <t>Page match four limit. If set to 1, limits the number of consecutive same page DDRC transactions that can be granted by the Port Arbiter to four when Page Match feature is enabled. If set to 0, there is no limit imposed on number of consecutive same page DDRC transactions.
Value After Reset: 0x0</t>
  </si>
  <si>
    <t>Burst length expansion mode. By default (i.e. bl_exp_mode==0) XPI expands every AXI burst into multiple HIF commands, using the memory burst length as a unit. If set to 1, then XPI will use half of the memory burst length as a unit. This applies to both reads and writes. When MSTR.data_bus_width==00, setting bl_exp_mode to 1 has no effect.
This can be used in cases where Partial Writes is enabled (UMCTL2_PARTIAL_WR=1), in order to avoid or minimize t_ccd_l penalty in DDR4 and t_ccd_mw penalty in LPDDR4. Hence, bl_exp_mode=1 is only recommended if DDR4 or LPDDR4.
Note that if DBICTL.dm_en=0, functionality is not supported in the following cases:
■UMCTL2_PARTIAL_WR=0
■UMCTL2_PARTIAL_WR=1, MSTR.data_bus_width=01, MEMC_BURST_LENGTH=8 and MSTR.burst_rdwr=1000 (LPDDR4 only)
■UMCTL2_PARTIAL_WR=1, MSTR.data_bus_width=01, MEMC_BURST_LENGTH=4 and MSTR.burst_rdwr=0100 (DDR4 only), with either MSTR.burstchop=0 or CRCPARCTL1.crc_enable=1
Functionality is also not supported if Data Channel Interleave is enabled
Value After Reset: 0x0</t>
  </si>
  <si>
    <t>wr_port_pagematch_en</t>
  </si>
  <si>
    <t>wr_port_urgent_en</t>
  </si>
  <si>
    <t>wr_port_aging_en</t>
  </si>
  <si>
    <t>wr_port_priority</t>
  </si>
  <si>
    <t>If set to 1, enables the Page Match feature. If enabled, once a requesting port is granted, the port is continued to be granted if the following immediate commands are to the same memory page (same bank and same row). See also related PCCFG.pagematch_limit register.
Value After Reset: 0x1</t>
  </si>
  <si>
    <t>If set to 1, enables the AXI urgent sideband signal (awurgent). When enabled and awurgent is asserted by the master, that port becomes the highest priority and co_gs_go2critical_wr signal to DDRC is asserted if enabled in PCCFG.go2critical_en register.
Note that awurgent signal can be asserted anytime and as long as required which is independent of address handshaking (it is not associated with any particular command).
Value After Reset: 0x0</t>
  </si>
  <si>
    <t>Determines the initial load value of write aging counters. These counters will be parallel loaded after reset, or after each grant to the corresponding port. The aging counters down-count every clock cycle where the port is requesting but not granted. The higher significant 5-bits of the write aging counter sets the initial priority of the write channel of a given port. Port's priority will increase as the higher significant 5-bits of the counter starts to decrease. When the aging counter becomes 0, the corresponding port channel will have the highest priority level.
For multi-port configurations, the aging counters cannot be used to set port priorities when external dynamic priority inputs (awqos) are enabled (timeout is still applicable).
For single port configurations, the aging counters are only used when they timeout (become 0) to force read-write direction switching.
Note: The two LSBs of this register field are tied internally to 2'b00.
Value After Reset: 0x0</t>
  </si>
  <si>
    <t>If set to 1, enables aging function for the write channel of the port.
Value After Reset: 0x0</t>
  </si>
  <si>
    <t>DDRC_PCFGW_0</t>
  </si>
  <si>
    <t>DDRC_PCFGQOS0_0</t>
  </si>
  <si>
    <t>rqos_map_region2</t>
  </si>
  <si>
    <t>This bitfield indicates the traffic class of region2.
For dual address queue configurations, region2 maps to the red address queue.
Valid values are 1: VPR and 2: HPR only.
When VPR support is disabled (UMCTL2_VPR_EN = 0) and traffic class of region2 is set to 1 (VPR), VPR traffic is aliased to LPR traffic.
Value After Reset: 0x2</t>
  </si>
  <si>
    <t>rqos_map_region1</t>
  </si>
  <si>
    <t>rqos_map_region0</t>
  </si>
  <si>
    <t>rqos_map_level2</t>
  </si>
  <si>
    <t>rqos_map_level1</t>
  </si>
  <si>
    <t>Separation level1 indicating the end of region0 mapping; start of region0 is 0. Possible values for level1 are 0 to 13 (for dual RAQ) or 0 to 14 (for single RAQ) which corresponds to arqos.
Note that for PA, arqos values are used directly as port priorities, where the higher the value corresponds to higher port priority.
All of the map_level* registers must be set to distinct values.
Value After Reset: 0x0</t>
  </si>
  <si>
    <t>This bitfield indicates the traffic class of region 1.
Valid values are:
0 : LPR, 1: VPR, 2: HPR.
For dual address queue configurations, region1 maps to the blue address queue.
In this case, valid values are
0: LPR and 1: VPR only.
When VPR support is disabled (UMCTL2_VPR_EN = 0) and traffic class of region 1 is set to 1 (VPR), VPR traffic is aliased to LPR traffic.
Value After Reset: 0x0</t>
  </si>
  <si>
    <t>This bitfield indicates the traffic class of region 0.
Valid values are:
0: LPR, 1: VPR, 2: HPR.
For dual address queue configurations, region 0 maps to the blue address queue.
In this case, valid values are:
0: LPR and 1: VPR only.
When VPR support is disabled (UMCTL2_VPR_EN = 0) and traffic class of region0 is set to 1 (VPR), VPR traffic is aliased to LPR traffic.
Value After Reset: 0x0</t>
  </si>
  <si>
    <t>Separation level2 indicating the end of region1 mapping; start of region1 is (level1 + 1). Possible values for level2 are (level1 + 1) to 14 which corresponds to arqos. Region2 starts from (level2 + 1) up to 15.
Note that for PA, arqos values are used directly as port priorities, where the higher the value corresponds to higher port priority.
All of the map_level* registers must be set to distinct values.
Value After Reset: 0xe</t>
  </si>
  <si>
    <t xml:space="preserve">DDRC_PCFGQOS1_0 </t>
  </si>
  <si>
    <t>rqos_map_timeoutr</t>
  </si>
  <si>
    <t>rqos_map_timeoutb</t>
  </si>
  <si>
    <t>Specifies the timeout value for transactions mapped to the red address queue.
Value After Reset: 0x0</t>
  </si>
  <si>
    <t>Specifies the timeout value for transactions mapped to the blue address queue.
Value After Reset: 0x0</t>
  </si>
  <si>
    <t>wqos_map_region1</t>
  </si>
  <si>
    <t>wqos_map_region0</t>
  </si>
  <si>
    <t>wqos_map_level</t>
  </si>
  <si>
    <t>Separation level indicating the end of region0 mapping; start of region0 is 0. Possible values for level1 are 0 to 14 which corresponds to awqos.
Note that for PA, awqos values are used directly as port priorities, where the higher the value corresponds to higher port priority.
Value After Reset: 0x0</t>
  </si>
  <si>
    <t>This bitfield indicates the traffic class of region 0.
Valid values are:
0: NPW, 1: VPW.
When VPW support is disabled (UMCTL2_VPW_EN = 0) and traffic class of region0 is set to 1 (VPW), VPW traffic is aliased to NPW traffic.
Value After Reset: 0x0</t>
  </si>
  <si>
    <t>This bitfield indicates the traffic class of region 1.
Valid values are:
0: NPW, 1: VPW.
When VPW support is disabled (UMCTL2_VPW_EN = 0) and traffic class of region 1 is set to 1 (VPW), VPW traffic is aliased to NPW traffic.
Value After Reset: 0x0</t>
  </si>
  <si>
    <t>DDRC_PCFGWQOS0_0</t>
  </si>
  <si>
    <t>wqos_map_timeout</t>
  </si>
  <si>
    <t>Specifies the timeout value for write transactions.
Value After Reset: 0x0</t>
  </si>
  <si>
    <t>DDRC_PCFGWQOS1_0</t>
  </si>
  <si>
    <t>Added datawidth support and fixed ADDRMAP_CS_BIT0 calculation for 16-bit mode. Added more DDR parameters and registers for performance optimization</t>
  </si>
  <si>
    <t>MR1-1</t>
  </si>
  <si>
    <t>MR2-1</t>
  </si>
  <si>
    <t>MR1-2</t>
  </si>
  <si>
    <t>MR2-2</t>
  </si>
  <si>
    <t xml:space="preserve">FREQ1 setting. Do not update this value directly as this value is automatically updated from the value provided in register DDRC_INIT3 above. </t>
  </si>
  <si>
    <t>FREQ1 setting. Do not update this value directly as this value is automatically updated from the value provided in register DDRC_INIT3 above.</t>
  </si>
  <si>
    <t>FREQ2 setting. Do not update this value directly as this value is automatically updated from the value provided in register DDRC_INIT3 above.</t>
  </si>
  <si>
    <t>#Freq0 setpoint frequency</t>
  </si>
  <si>
    <t>Added option for 800Mhz operation allowing user to choose to run at 1600 or 800MHz speeds. Added MR1 and MR2 options for other freqeuncy setpoints.</t>
  </si>
  <si>
    <t>DDRC_FREQ2_DRAMTMG1</t>
  </si>
  <si>
    <t>DDRC_FREQ2_DRAMTMG2</t>
  </si>
  <si>
    <t>DDRC_FREQ2_DRAMTMG3</t>
  </si>
  <si>
    <t>DDRC_FREQ2_DRAMTMG4</t>
  </si>
  <si>
    <t>DDRC_FREQ2_DRAMTMG5</t>
  </si>
  <si>
    <t>DDRC_FREQ2_DRAMTMG6</t>
  </si>
  <si>
    <t>DDRC_FREQ2_DRAMTMG7</t>
  </si>
  <si>
    <t>DDRC_FREQ2_DRAMTMG14</t>
  </si>
  <si>
    <t>DDRC_FREQ2_DRAMTMG17</t>
  </si>
  <si>
    <t>DDRC_FREQ2_DERATEINT</t>
  </si>
  <si>
    <t>DDRC_FREQ2_RFSHCTL0</t>
  </si>
  <si>
    <t>DDRC_FREQ2_DFITMG0</t>
  </si>
  <si>
    <t>DDRC_FREQ2_DFITMG2</t>
  </si>
  <si>
    <t>DDRC_FREQ2_RFSHTMG</t>
  </si>
  <si>
    <t>DDRC_FREQ2_INIT3</t>
  </si>
  <si>
    <t>DDRC_FREQ2_INIT6</t>
  </si>
  <si>
    <t>DDRC_FREQ2_INIT7</t>
  </si>
  <si>
    <t>DDRC_FREQ2_INIT4</t>
  </si>
  <si>
    <t>#DDRC_DERATEEN</t>
  </si>
  <si>
    <t>#DDRC_DERATEINT</t>
  </si>
  <si>
    <r>
      <t xml:space="preserve">LPDDR4 MR13:
</t>
    </r>
    <r>
      <rPr>
        <sz val="10"/>
        <rFont val="Arial"/>
        <family val="2"/>
      </rPr>
      <t>VRCG</t>
    </r>
    <r>
      <rPr>
        <b/>
        <sz val="10"/>
        <rFont val="Arial"/>
        <family val="2"/>
      </rPr>
      <t xml:space="preserve">
</t>
    </r>
    <r>
      <rPr>
        <sz val="10"/>
        <rFont val="Arial"/>
        <family val="2"/>
      </rPr>
      <t>0B: Normal Operation (default)
1B: VREF Fast Response (high current) mode
Recommend to set to 1 for PHY purposes for high speed operation.</t>
    </r>
  </si>
  <si>
    <r>
      <rPr>
        <b/>
        <sz val="10"/>
        <rFont val="Arial"/>
        <family val="2"/>
      </rPr>
      <t>Enable/
disable DBI</t>
    </r>
    <r>
      <rPr>
        <sz val="10"/>
        <rFont val="Arial"/>
        <family val="2"/>
      </rPr>
      <t xml:space="preserve">
This setting allows the user to enable or disable the DBI feature.</t>
    </r>
  </si>
  <si>
    <t>Fixed issue with number of chip select in DDR parameters. Added derate enable in stress test file tab.  Cleared DFI_PHYMSTR_EN since it is not supported. Added freq1 and fre2 programming to also be configued after freq0 before releasing DRC reset. Added option to neable DBI feature.</t>
  </si>
  <si>
    <t xml:space="preserve">Fixed issue with ADDRMAP6 lpddr4_6gb_12gb_24gb setting, now this setting is based on 6 or 12Gb parts and on the number of rows used. </t>
  </si>
  <si>
    <t>Fixed issue with read latency when DBI enabled for 800Mhz operation.</t>
  </si>
  <si>
    <t xml:space="preserve">Number of Channels </t>
  </si>
  <si>
    <t xml:space="preserve">Updated ADDRMAP0.addrmap_cs_bit0 value to be calculated based on the number of rows, cols, banks, and data bus width and if the density is a non-power-of-2 (6 or 12Gb).  Before, it was based solely on the density, now it is more accurately calculated.  Similarly, ADDRMAP6.addrmap_row_b13, b14, and b15 calculations are now based on number of rows, number of chip selects, bus width, and if the density is a non-power-of-2, which is more accurate calculation than basing this solely on the non-power-of-2 memory density. Finally, changed “Number of Channels per chip select” to be simply “Number of Channels” as this product has been tested only against 2-channel LP4 devices, where the number of chip selects may vary within a channel and not the other way around.  </t>
  </si>
  <si>
    <t>Updated DDRC_DFIUPD2.DFI_PHYUPD_EN to now be set.  This setting was recommended from the IP vendor for the purposes of performing the Delay Element Compensation for temperature and voltage drift in the PHY.</t>
  </si>
  <si>
    <t>#DDRC_FREQ1_DERATEEN</t>
  </si>
  <si>
    <t>#DDRC_FREQ2_DERATEEN</t>
  </si>
  <si>
    <t>DDRC_FREQ1_DERATEEN</t>
  </si>
  <si>
    <t>DDRC_FREQ2_DERATEEN</t>
  </si>
  <si>
    <t>DDRC_FREQ1_DRAMTMG12</t>
  </si>
  <si>
    <t>DDRC_FREQ1_DRAMTMG13</t>
  </si>
  <si>
    <t>DDRC_FREQ2_DRAMTMG12</t>
  </si>
  <si>
    <t>DDRC_FREQ2_DRAMTMG13</t>
  </si>
  <si>
    <t>DDRC_FREQ1_DFITMG1</t>
  </si>
  <si>
    <t>DDRC_FREQ1_ZQCTL0</t>
  </si>
  <si>
    <t>DDRC_FREQ2_ZQCTL0</t>
  </si>
  <si>
    <t>#DDRC_FREQ1_DRAMTMG12</t>
  </si>
  <si>
    <t>#DDRC_FREQ1_DRAMTMG13</t>
  </si>
  <si>
    <t>#DDRC_FREQ1_ZQCTL0</t>
  </si>
  <si>
    <t>#DDRC_FREQ1_DFITMG1</t>
  </si>
  <si>
    <t>DDRC_FREQ2_DFITMG1</t>
  </si>
  <si>
    <t>#DDRC_FREQ2_DRAMTMG12</t>
  </si>
  <si>
    <t>#DDRC_FREQ2_DRAMTMG13</t>
  </si>
  <si>
    <t>#DDRC_FREQ2_ZQCTL0</t>
  </si>
  <si>
    <t>#DDRC_FREQ2_DFITMG1</t>
  </si>
  <si>
    <t>DDRC_PERFHPR1</t>
  </si>
  <si>
    <t>hpr_xact_run_length</t>
  </si>
  <si>
    <t>hpr_max_starve</t>
  </si>
  <si>
    <t>Number of transactions that are serviced once the HPR queue goes critical is the smaller of:
■(a) This number
■(b) Number of transactions available.
Unit: Transaction.
FOR PERFORMANCE ONLY.
Value After Reset: 0xf</t>
  </si>
  <si>
    <t>Number of DFI clocks that the HPR queue can be starved before it goes critical. The minimum valid functional value for this register is 0x1. Programming it to 0x0 will disable the starvation functionality; during normal operation, this function should not be disabled as it will cause excessive latencies.
FOR PERFORMANCE ONLY.
Value After Reset: 0x1</t>
  </si>
  <si>
    <t>#DDRC_PERFHPR1</t>
  </si>
  <si>
    <t xml:space="preserve">Choose which registers are used.
■ 0 - Original registers 
■ 1 - Shadow registers </t>
  </si>
  <si>
    <t>target_frequency</t>
  </si>
  <si>
    <t>DDRC_MSTR2</t>
  </si>
  <si>
    <t>Set to 0x0 during initialization.
If MSTR.frequency_mode=1, this field specifies the target frequency.
■0 - Frequency 0/Normal
■1 - Frequency 1/FREQ1
■2 - Frequency 2/FREQ2
■3 - Frequency 3/FREQ3
If MSTR.frequency_mode=0, this field is ignored.
Note: If the target frequency can be changed through Hardware Low Power Interface only, this field is not needed.
Value After Reset: 0x1</t>
  </si>
  <si>
    <t>#DDRC_MSTR2</t>
  </si>
  <si>
    <t>0x3D400188</t>
  </si>
  <si>
    <t>#DDRC_ZQCTL2</t>
  </si>
  <si>
    <t xml:space="preserve">#DDRC_RANKCTL </t>
  </si>
  <si>
    <t>## the following may be refined by ddrphy training firmware</t>
  </si>
  <si>
    <t>0x3D400304</t>
  </si>
  <si>
    <t>0x00000016</t>
  </si>
  <si>
    <t>#DDRC_DBG0</t>
  </si>
  <si>
    <t>0x3D400300</t>
  </si>
  <si>
    <t>#DDRC_DBGCMD</t>
  </si>
  <si>
    <t>0x3D40030c</t>
  </si>
  <si>
    <t>DDRC_POISONCFG</t>
  </si>
  <si>
    <t>rd_poison_intr_clr</t>
  </si>
  <si>
    <t>rd_poison_intr_en</t>
  </si>
  <si>
    <t>rd_poison_slverr_en</t>
  </si>
  <si>
    <t>wr_poison_intr_clr</t>
  </si>
  <si>
    <t>wr_poison_intr_en</t>
  </si>
  <si>
    <t>wr_poison_slverr_en</t>
  </si>
  <si>
    <t>If set to 1, enables SLVERR response for write transaction poisoning
Value After Reset: 0x1</t>
  </si>
  <si>
    <t>If set to 1, enables interrupts for write transaction poisoning
Value After Reset: 0x1</t>
  </si>
  <si>
    <t>Interrupt clear for write transaction poisoning. Allow 2/3 clock cycles for correct value to propagate to core logic and clear the interrupts.
Value After Reset: 0x0</t>
  </si>
  <si>
    <t>If set to 1, enables SLVERR response for read transaction poisoning
Value After Reset: 0x1</t>
  </si>
  <si>
    <t>If set to 1, enables interrupts for read transaction poisoning
Value After Reset: 0x1</t>
  </si>
  <si>
    <t>Interrupt clear for read transaction poisoning. Allow 2/3 clock cycles for correct value to propagate to core logic and clear the interrupts.
Value After Reset: 0x0</t>
  </si>
  <si>
    <t>#DDRC_POISONCFG</t>
  </si>
  <si>
    <t>rdwr_ordered_en</t>
  </si>
  <si>
    <t>rd_port_pagematch_en</t>
  </si>
  <si>
    <t>rd_port_urgent_en</t>
  </si>
  <si>
    <t>rd_port_aging_en</t>
  </si>
  <si>
    <t>read_reorder_bypass_en</t>
  </si>
  <si>
    <t>rd_port_priority</t>
  </si>
  <si>
    <t>Enable ordered read/writes. If set to 1, preserves the ordering between read transaction and write transaction issued to the same address, on a given port. In other words, the controller ensures that all same address read and write commands from the application port interface are transported to the DFI interface in the order of acceptance. This feature is useful in cases where software coherency is desired for masters issuing back-to-back read/write transactions without waiting for write/read responses. Note that this register has an effect only if necessary logic is instantiated via the UMCTL2_RDWR_ORDERED_n parameter.</t>
  </si>
  <si>
    <t>If set to 1, enables the Page Match feature. If enabled, once a requesting port is granted, the port is continued to be granted if the following immediate commands are to the same memory page (same bank and same row). See also related PCCFG.pagematch_limit register.</t>
  </si>
  <si>
    <t>If set to 1, enables the AXI urgent sideband signal (arurgent). When enabled and arurgent is asserted by the master, that port becomes the highest priority and co_gs_go2critical_lpr/co_gs_go2critical_hpr signal to DDRC is asserted if enabled in PCCFG.go2critical_en register. Note that arurgent signal can be asserted anytime and as long as required which is independent of address handshaking (it is not associated with any particular command).</t>
  </si>
  <si>
    <t>If set to 1, enables aging function for the read channel of the port.</t>
  </si>
  <si>
    <t>If set to 1, read transactions with ID not covered by any of the virtual channel ID mapping registers are not reordered.</t>
  </si>
  <si>
    <t>Determines the initial load value of read aging counters. These counters will be parallel loaded after reset, or after each grant to the corresponding port. The aging counters down-count every clock cycle where the port is requesting but not granted. The higher significant 5-bits of the read aging counter sets the priority of the read channel of a given port. Port's priority will increase as the higher significant 5-bits of the counter starts to decrease. When the aging counter becomes 0, the corresponding port channel will have the highest priority level (timeout condition - Priority0). For multi-port configurations, the aging counters cannot be used to set port priorities when external dynamic priority inputs (arqos) are enabled (timeout is still applicable). For single port configurations, the aging counters are only used when they timeout (become 0) to force read-write direction switching. In this case, external dynamic priority input, arqos (for reads only) can still be used to set the DDRC read priority (2 priority levels: low priority read - LPR, high priority read - HPR) on a command by command basis.
Note: The two LSBs of this register field are tied internally to 2'b00.</t>
  </si>
  <si>
    <t>DDRC_PCFGR_0</t>
  </si>
  <si>
    <t xml:space="preserve">#DDRC_PCFGR_0 </t>
  </si>
  <si>
    <t>0x0223</t>
  </si>
  <si>
    <t>#DDRC_STAT: wait to enter Selfrefresh mode</t>
  </si>
  <si>
    <t>0x3D400004</t>
  </si>
  <si>
    <t>0x3D400320</t>
  </si>
  <si>
    <t>0x3D000000</t>
  </si>
  <si>
    <t>0x3D4001B0</t>
  </si>
  <si>
    <t>0x00f5a406</t>
  </si>
  <si>
    <t>#HW_DRAM_PLL_CFG2_ADDR: For 1600MHz DDR speed, Configure DRAM PLL for 800MHz operation</t>
  </si>
  <si>
    <t xml:space="preserve">0x07070000  </t>
  </si>
  <si>
    <r>
      <t xml:space="preserve">Number of frequency setpoints
</t>
    </r>
    <r>
      <rPr>
        <sz val="11"/>
        <rFont val="宋体"/>
        <family val="2"/>
        <scheme val="minor"/>
      </rPr>
      <t>This setting allows the user to select the number of frequency setpoints to include for the Hardware Fast Frequency Change.
Note: if FREQ1 is set to 334, then only 2 setpoints are allowed.</t>
    </r>
  </si>
  <si>
    <t>Description: Specifies the number of DFI clocks between when the dfi_wrdata_en signal is asserted and when the corresponding write data transfer is completed on the DRAM bus.
This corresponds to the DFI timing parameter twrdata_delay. Refer to PHY specification for correct value.
For DFI 3.0 PHY, set to twrdata_delay, a new timing parameter introduced in DFI 3.0.
For DFI 2.1 PHY, set to tphy_wrdata + (delay of DFI write data to the DRAM).
Value to be programmed is in terms of DFI clocks, not PHY clocks.
In FREQ_RATIO=2, divide PHY's value by 2 and round up to next integer.
If using DFITMG0.dfi_wrdata_use_sdr=1, add 1 to the value.
Unit: Clocks
Value After Reset: 0x0
Per PHY spec, assume timing for tphy_wrdata_delay which is 6 + BL/2, then add DFITMG0.dfi_wrdata_use_sdr setting.</t>
  </si>
  <si>
    <t>Description: Specifies the number of DFI clock cycles from the assertion of the dfi_dram_clk_disable signal on the DFI until the clock to the DRAM memory devices, at the PHY-DRAM boundary, maintains a low value.
If the DFI clock and the memory clock are not phase aligned, this timing parameter should be rounded up to the next integer value.
Value After Reset: 0x4
PHY spec recommends to set this to 3.</t>
  </si>
  <si>
    <t>Description: Specifies the number of DFI clock cycles from the de-assertion of the dfi_dram_clk_disable signal on the DFI until the first valid rising edge of the clock to the DRAM memory devices, at the PHY-DRAM boundary.
If the DFI clock and the memory clock are not phase aligned, this timing parameter should be rounded up to the next integer value.
Value After Reset: 0x4
PHY spec recommends to set this to 3.</t>
  </si>
  <si>
    <t>Updated RPA to allow 334 setpoint for FREQ1 (and when this is selected, only two setpoints will be allowed). Updated DDRC_PERFLPR1 settings in an effort to increase DRAM performance and to align with the Linux BSP GA release. Set PHYMSTR=1. Added more registers to the other freq setpoints and ability to comment out setpoints if not being used.  Reposition various register settings to align with BSP initialization (no change in functionality). Other register updates to align with the BSP and to support the updated training firmware: DDRC_MSTR.frequency_mode=1, DDRC_MSTR2 added, INIT6 CA_ODT updated to 0x6, VREF_CA updated to 0x4A, MR22.SOC_ODT=0x6 (40 ohms to align with SoC ODT setting) and VREF_DQ=0x4A. Added DDRC_PERFHPR1, DBG0, and DGBCMD to align with BSP code (no impact on operation). Changed PCCFG and QOS registers to align with BSP code.</t>
  </si>
  <si>
    <t>#Following frequency setpoint 1 settings are commented/uncommented based on frequency select and if number of setpoints &gt; 1</t>
  </si>
  <si>
    <t>Udpated DDR stress test file initialization to disable auto refresh at the end of the initialization (prior to entering self refresh). This is a PHY requirement prior to running data training. Later, as part of the training code and upon completion of data training, the auto refresh will be re-enabled.</t>
  </si>
  <si>
    <t>Removed disabling auto refresh in the DDR stress test file initialization per latest IP spec indicating it should not be disabled when PHY Master Interface is enabled
(DFIPHYMSTR.dfi_phymstr_en = 1). Also, updated the 800MHz DDR PLL clock setting (1600Mhz DRAM clock frequency) to align with GA release code; change from 0x00bbe580  to 0x00ece580.</t>
  </si>
  <si>
    <t>User input MX8M data bit connection to associated LPDDR4 data bit</t>
  </si>
  <si>
    <t>Updated BoardDataBusConfig worksheet to allow the user to input the SoC data bus data bits to either LPDDR4 channel with no restrictions.  The worksheet automatically assigns the proper register for each byte lane.  In addition, allowed the DDRC_DERATEEN.DERATE_BYTE to be automatically configured to select the SoC byte lane connected to the LPDDR4 channel A, byte 0.</t>
  </si>
  <si>
    <t>Updated DDRC_ZQCTL0.DIS_AUTO_ZQ and DIS_SRX_ZQCL to '1' per latest feedback from IP vendor. Also updated registers DDRC_PERFLPR1, DDRC_PERFWR1, DDRC_PCFGQOS0_0, DDRC_PCFGQOS1_0, DDRC_PCFGWQOS0, DDRC_PCFGWQOS1_0 to align with BSP performance optimizations.</t>
  </si>
  <si>
    <t>Removed pull-down menu option for selecting various DDR PLL frequencies in the Register Configuration tab Device Information table.  Instead, the user can input any frequency, but must determine the proper register programming value for the PLL in the DDR stress test file tab.</t>
  </si>
  <si>
    <t># For frequencies other than 1600Mhz, it is up to the user to create the appropriate register setting for the desired frequency.</t>
  </si>
  <si>
    <t># The RPA provides the HW_DRAM_PLL_CFG2_ADDR register (0x30360068) setting for 1600Mhz (0x00ece580), as well as a few other frequency examples.</t>
  </si>
  <si>
    <t># Formula is DDR_freq = [REF/DIVR1*2*DIVF1/DIVR2*DIVF2*2/2/DIVQ] x 2</t>
  </si>
  <si>
    <t>Enabled WDQSExt by default; this also affects timings for rd2wr and wr2rd. Removed incorrect verbiage from DFI_PHYMSTR_EN description.</t>
  </si>
  <si>
    <t>Enables the PHY Master Interface:
■0 - Disabled
■1 - Enabled
Value After Reset: 0x1</t>
  </si>
  <si>
    <t>WDQS_on:</t>
  </si>
  <si>
    <t>Must supply the tDQSCK_max from the DRAM data sheet for LPDDR4 (automatically calculated based on JEDEC).
DDR2/3/mDDR: RL + BL/2 + 2 - WL
DDR4: RL + BL/2 + 1 + WR_PREAMBLE - WL
LPDDR2/LPDDR3: RL + BL/2 + RU(tDQSCKmax/tCK) + 1 - WL
LPDDR4(DQ ODT is Disabled): RL + BL/2 + RU(tDQSCKmax/tCK) + WR_PREAMBLE + RD_POSTAMBLE - WL
LPDDR4(DQ ODT is Enabled) : RL + BL/2 + RU(tDQSCKmax/tCK) + RD_POSTAMBLE - ODTLon - RU(tODTon(min)/tCK)
Minimum time from read command to write command. Include time for bus turnaround and all per-bank, per-rank, and global constraints. Please see the relevant PHY databook for details of what should be included here.
Unit: Clocks.
Where:
■WL = write latency
■BL = burst length. This must match the value programmed in the BL bit of the mode register to the SDRAM
■RL = read latency = CAS latency
■WR_PREAMBLE = write preamble. This is unique to DDR4 and LPDDR4.
■RD_POSTAMBLE = read postamble. This is unique to LPDDR4.
For LPDDR2/LPDDR3/LPDDR4, if derating is enabled (DERATEEN.derate_enable=1), derated tDQSCKmax should be used.
When the controller is operating in 1:2 frequency ratio mode, divide the value calculated using the above equation by 2, and round it up to next integer.
Note that, depending on the PHY, if using LRDIMM, it may be necessary to adjust the value of this parameter to compensate for the extra cycle of latency through the LRDIMM.
Value After Reset: 0x6
Note, if WDQSExt is enabled we also need to add WDQSPREEXT, where WDQSPREEXT=WL-WDQS_on. WDQS_on value can be found a few cells to the right (its JEDEC timing is based on write latency)</t>
  </si>
  <si>
    <r>
      <rPr>
        <b/>
        <sz val="10"/>
        <rFont val="Arial"/>
        <family val="2"/>
      </rPr>
      <t>tWTR (automatically calculated based on JEDEC).</t>
    </r>
    <r>
      <rPr>
        <sz val="10"/>
        <rFont val="Arial"/>
        <family val="2"/>
      </rPr>
      <t xml:space="preserve">
DDR4: CWL + PL + BL/2 + tWTR_L
LPDDR2/3/4: WL + BL/2 + tWTR + 1
Others: CWL + BL/2 + tWTR
In DDR4, minimum time from write command to read command for same bank group. In others, minimum time from write command to read command. Includes time for bus turnaround, recovery times, and all per-bank, per-rank, and global constraints.
Unit: Clocks.
Where:
■CWL = CAS write latency
■WL = Write latency
■PL = Parity latency
■BL = burst length. This must match the value programmed in the BL bit of the mode register to the SDRAM
■tWTR_L = internal write to read command delay for same bank group. This comes directly from the SDRAM specification.
■tWTR = internal write to read command delay. This comes directly from the SDRAM specification.
Add one extra cycle for LPDDR2/LPDDR3/LPDDR4 operation.
When the controller is operating in 1:2 mode, divide the value calculated using the above equation by 2, and round it up to next integer.
Value After Reset: 0xd
Note, if WDQSExt is enalbed we also need to add "WDQSPSTEXT" (calculation automatically performed); WDQSPSTEXT value translate to WL/2.</t>
    </r>
  </si>
  <si>
    <t>Certain DRAM implementations are known to implement a clock divider circuit (clocked by DQS_T, DQS_C) to enable operating the internal receive data path at quarter bit-rate frequencies. As such, it requries that the Write DQS Extension be enabled. This is defaulted as enabled.</t>
  </si>
  <si>
    <t xml:space="preserve">Updated TxImpedance from 30 to 34 ohms to align with documented minimum impedance. </t>
  </si>
  <si>
    <t xml:space="preserve">debug_uart </t>
  </si>
  <si>
    <t>Interval between two MR4 reads, used to derate the timing parameters.
Present only in designs configured to support LPDDR4. This register must not be set to zero.
Unit: DFI clock cycle.
The value used is the JEDEC recommended 32ms interval.
Per IP vendor, they recommend to to reduce tTSI/100 which is automatically calculated.</t>
  </si>
  <si>
    <r>
      <rPr>
        <b/>
        <sz val="10"/>
        <rFont val="Arial"/>
        <family val="2"/>
      </rPr>
      <t>Debug UART port</t>
    </r>
    <r>
      <rPr>
        <sz val="10"/>
        <rFont val="Arial"/>
        <family val="2"/>
      </rPr>
      <t xml:space="preserve">
Assumes use UART pad for UART function, not mux'd on other pads</t>
    </r>
  </si>
  <si>
    <t xml:space="preserve">sysparam set </t>
  </si>
  <si>
    <t>################step 0: configure debug uart port. Assumes use of UART IO Pads.   #####</t>
  </si>
  <si>
    <t>##### If using non-UART pads (i.e. using other pads to mux out the UART signals), #####</t>
  </si>
  <si>
    <t>##### then it is up to the user to overwrite the following IO register settings   #####</t>
  </si>
  <si>
    <t>#UART index from 0 ('0' = UART1, '1' = UART2, '2' = UART3, '3' = UART4)</t>
  </si>
  <si>
    <t>Added UART configuration to stress test file script.
Per IP vendor, need to adjust MR4_READ_INTERVAL to tTSI/100.</t>
  </si>
  <si>
    <t xml:space="preserve">0x00000000 </t>
  </si>
  <si>
    <t>0x0000000E</t>
  </si>
  <si>
    <t xml:space="preserve">i.MX8MQ (m850) DDR Controller Configuration Spreadsheet </t>
  </si>
  <si>
    <t>Step 4. Go to the BoardDataBusConfig tab and correctly fill out the MX8 data bus mapping to the memory device.  The user should take special care to ensure this worksheet is configured correctly or else the LPDDR4 system may not work properly.</t>
  </si>
  <si>
    <t>Note: changes to the Register Configuration and BoardDataBusConfig worksheets are automatically updated in the DDR stress test file worksheet tab described next.</t>
  </si>
  <si>
    <t xml:space="preserve">Step 5. The final worksheet tab "DDR stress test file" is the output of the RPA and represents the DRAM initialization for use with the DDR Stress Test.  To create a DDR Stress Test script, the user must copy the contents in this worksheet tab and paste it to a text document, naming the document with the “.ds” file extension.  The user will later select this file when executing the DDR stress test.  
It is important that the user must make sure to copy all of the contents from the DDR stress test file worksheet tab.  One recommended method to ensure that all of the contents are selected before copying is to click on the arrow in the upper left hand corner of this sheet between row 1 and column A as shown below.    
</t>
  </si>
  <si>
    <t>See additional note below.</t>
  </si>
  <si>
    <t>Simplified naming of this tool. Fixed register address issues for DRAMTMG12, DRAMTMG13 and DFITMG1 in FREQ2 registers. The How To Use worksheet was also updated to more accurately describe how to use this tool.</t>
  </si>
  <si>
    <r>
      <rPr>
        <b/>
        <sz val="10"/>
        <rFont val="Arial"/>
        <family val="2"/>
      </rPr>
      <t>Enable/Disable Shared ZQ resistor</t>
    </r>
    <r>
      <rPr>
        <sz val="10"/>
        <rFont val="Arial"/>
        <family val="2"/>
      </rPr>
      <t xml:space="preserve">
Enabled: Denotes that ZQ resistor is shared between ranks.
Means ZQinit/ZQCL/ZQCS/MPC(ZQ calibration)
commands are sent to one rank at a time with
tZQinit/tZQCL/tZQCS/tZQCAL/tZQLAT timing met
between commands so that commands to different ranks
do not overlap.
Disabled: ZQ resistor is not shared.
This should be left disabled unless the board shares one ZQ resistor across ranks.</t>
    </r>
  </si>
  <si>
    <t xml:space="preserve">Added option to enable shared ZQ resistor at the top of the Register Configuration tab and added color codes to other options. </t>
  </si>
  <si>
    <t>Incorporated options for LPDDR4 MR4 manual de-rate workaround - Temperature Derating Options (pull down menu in register configuration).  Also, remove row-bank interleaved selection option as it is highly recommended to always enabled row-bank interleave for performance purposes and to align with NXP BSP.</t>
  </si>
  <si>
    <r>
      <rPr>
        <b/>
        <sz val="10"/>
        <rFont val="Arial"/>
        <family val="2"/>
      </rPr>
      <t>LPDDR4 MR4 manual de-rate workaround - Temperature Derating Options for errata e50125</t>
    </r>
    <r>
      <rPr>
        <sz val="10"/>
        <rFont val="Arial"/>
        <family val="2"/>
      </rPr>
      <t xml:space="preserve">
The auto derate logic of the DDR controller only samples the LPDDR4 MR4 register when the Temperature Update Flag (TUF) field (MR4[7] ) is 1’b1. If the LPDDR4 memory is initialized and starts operation above 85ºC (MR4[2:0] &gt; 3'b011), the MR4 TUF will not set and the DDR Controller will not automatically adjust the memory refresh rate or de-rate memory timings based on the LPDDR4 memory temperature.  If the LPDDR4 memory temperature remains below 85ºC at initialization, then the derating logic works as intended, automatically adjusting the memory refresh period and memory timing during the entire system operation
Three options to choose from:
</t>
    </r>
    <r>
      <rPr>
        <b/>
        <u/>
        <sz val="10"/>
        <rFont val="Arial"/>
        <family val="2"/>
      </rPr>
      <t>Automatic:</t>
    </r>
    <r>
      <rPr>
        <sz val="10"/>
        <rFont val="Arial"/>
        <family val="2"/>
      </rPr>
      <t xml:space="preserve"> this is the default and enables auto derating
</t>
    </r>
    <r>
      <rPr>
        <b/>
        <u/>
        <sz val="10"/>
        <rFont val="Arial"/>
        <family val="2"/>
      </rPr>
      <t>Option 1:</t>
    </r>
    <r>
      <rPr>
        <sz val="10"/>
        <rFont val="Arial"/>
        <family val="2"/>
      </rPr>
      <t xml:space="preserve"> disables auto derating and increases auto refresh x2; typically used for industrial temperature grade LPDDR4
</t>
    </r>
    <r>
      <rPr>
        <b/>
        <u/>
        <sz val="10"/>
        <rFont val="Arial"/>
        <family val="2"/>
      </rPr>
      <t>Option 2:</t>
    </r>
    <r>
      <rPr>
        <sz val="10"/>
        <rFont val="Arial"/>
        <family val="2"/>
      </rPr>
      <t xml:space="preserve"> disables auto derating and applies maximum auto refresh (x4) along with derating specific timings (tRCD, tRAS, tRC, tRP, tRRD), typically used for automotive temperature grade LPDDR4
For option 1 and 2, it is highly recommended to consult with your DRAM vendor on supported temperature grades.</t>
    </r>
  </si>
  <si>
    <t>Automatic</t>
  </si>
  <si>
    <t>RTT RLB board</t>
  </si>
  <si>
    <t>MT53D512M32D2DS-053 WT:D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</si>
</sst>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3">
    <font>
      <sz val="10"/>
      <name val="Arial"/>
    </font>
    <font>
      <sz val="8"/>
      <name val="Arial"/>
      <family val="2"/>
    </font>
    <font>
      <b/>
      <sz val="10"/>
      <name val="Arial"/>
      <family val="2"/>
    </font>
    <font>
      <sz val="10"/>
      <name val="Arial"/>
      <family val="2"/>
    </font>
    <font>
      <b/>
      <sz val="12"/>
      <name val="Arial"/>
      <family val="2"/>
    </font>
    <font>
      <b/>
      <sz val="24"/>
      <name val="Arial"/>
      <family val="2"/>
    </font>
    <font>
      <b/>
      <sz val="28"/>
      <name val="Arial"/>
      <family val="2"/>
    </font>
    <font>
      <sz val="11"/>
      <color rgb="FF3F3F76"/>
      <name val="宋体"/>
      <family val="2"/>
      <scheme val="minor"/>
    </font>
    <font>
      <b/>
      <sz val="10"/>
      <color theme="1"/>
      <name val="Arial"/>
      <family val="2"/>
    </font>
    <font>
      <sz val="10"/>
      <color theme="1"/>
      <name val="Arial"/>
      <family val="2"/>
    </font>
    <font>
      <b/>
      <sz val="11"/>
      <color rgb="FFFA7D00"/>
      <name val="宋体"/>
      <family val="2"/>
      <scheme val="minor"/>
    </font>
    <font>
      <vertAlign val="superscript"/>
      <sz val="10"/>
      <name val="Arial"/>
      <family val="2"/>
    </font>
    <font>
      <sz val="11"/>
      <name val="Calibri"/>
      <family val="2"/>
    </font>
    <font>
      <b/>
      <sz val="18"/>
      <name val="Arial"/>
      <family val="2"/>
    </font>
    <font>
      <b/>
      <sz val="10"/>
      <color theme="9" tint="-0.249977111117893"/>
      <name val="Arial"/>
      <family val="2"/>
    </font>
    <font>
      <b/>
      <sz val="11"/>
      <name val="宋体"/>
      <family val="2"/>
      <scheme val="minor"/>
    </font>
    <font>
      <b/>
      <i/>
      <sz val="10"/>
      <color theme="1"/>
      <name val="Arial"/>
      <family val="2"/>
    </font>
    <font>
      <sz val="11"/>
      <name val="宋体"/>
      <family val="2"/>
      <scheme val="minor"/>
    </font>
    <font>
      <sz val="10"/>
      <name val="Courier New"/>
      <family val="3"/>
    </font>
    <font>
      <i/>
      <sz val="11"/>
      <name val="Calibri"/>
      <family val="2"/>
    </font>
    <font>
      <sz val="12"/>
      <color rgb="FFFF0000"/>
      <name val="Arial"/>
      <family val="2"/>
    </font>
    <font>
      <sz val="10"/>
      <color rgb="FFFF0000"/>
      <name val="Arial"/>
      <family val="2"/>
    </font>
    <font>
      <b/>
      <sz val="12"/>
      <color rgb="FFFF0000"/>
      <name val="Arial"/>
      <family val="2"/>
    </font>
    <font>
      <b/>
      <sz val="10"/>
      <color rgb="FFFF0000"/>
      <name val="Arial"/>
      <family val="2"/>
    </font>
    <font>
      <b/>
      <sz val="11"/>
      <color theme="1"/>
      <name val="宋体"/>
      <family val="2"/>
      <scheme val="minor"/>
    </font>
    <font>
      <sz val="8"/>
      <color theme="1"/>
      <name val="宋体"/>
      <family val="2"/>
      <scheme val="minor"/>
    </font>
    <font>
      <sz val="11"/>
      <color theme="1"/>
      <name val="Courier New"/>
      <family val="3"/>
    </font>
    <font>
      <b/>
      <sz val="10"/>
      <color theme="1"/>
      <name val="宋体"/>
      <family val="2"/>
      <scheme val="minor"/>
    </font>
    <font>
      <sz val="8"/>
      <color theme="1"/>
      <name val="Arial"/>
      <family val="2"/>
    </font>
    <font>
      <sz val="11"/>
      <color rgb="FF006100"/>
      <name val="宋体"/>
      <family val="2"/>
      <scheme val="minor"/>
    </font>
    <font>
      <b/>
      <sz val="11"/>
      <name val="Arial"/>
      <family val="2"/>
    </font>
    <font>
      <b/>
      <u/>
      <sz val="10"/>
      <name val="Arial"/>
      <family val="2"/>
    </font>
    <font>
      <sz val="9"/>
      <name val="宋体"/>
      <family val="3"/>
      <charset val="134"/>
    </font>
  </fonts>
  <fills count="13">
    <fill>
      <patternFill patternType="none"/>
    </fill>
    <fill>
      <patternFill patternType="gray125"/>
    </fill>
    <fill>
      <patternFill patternType="solid">
        <fgColor indexed="9"/>
        <bgColor indexed="64"/>
      </patternFill>
    </fill>
    <fill>
      <patternFill patternType="solid">
        <fgColor rgb="FFFFCC99"/>
      </patternFill>
    </fill>
    <fill>
      <patternFill patternType="solid">
        <fgColor rgb="FFFFFF00"/>
        <bgColor indexed="64"/>
      </patternFill>
    </fill>
    <fill>
      <patternFill patternType="solid">
        <fgColor theme="9" tint="0.39997558519241921"/>
        <bgColor indexed="64"/>
      </patternFill>
    </fill>
    <fill>
      <patternFill patternType="solid">
        <fgColor theme="0"/>
        <bgColor indexed="64"/>
      </patternFill>
    </fill>
    <fill>
      <patternFill patternType="solid">
        <fgColor theme="6" tint="0.59999389629810485"/>
        <bgColor indexed="64"/>
      </patternFill>
    </fill>
    <fill>
      <patternFill patternType="solid">
        <fgColor rgb="FFF2F2F2"/>
      </patternFill>
    </fill>
    <fill>
      <patternFill patternType="solid">
        <fgColor theme="0" tint="-0.34998626667073579"/>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rgb="FFC6EFCE"/>
      </patternFill>
    </fill>
  </fills>
  <borders count="7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medium">
        <color indexed="64"/>
      </right>
      <top style="thin">
        <color indexed="64"/>
      </top>
      <bottom/>
      <diagonal/>
    </border>
    <border>
      <left style="thin">
        <color indexed="64"/>
      </left>
      <right style="medium">
        <color indexed="64"/>
      </right>
      <top/>
      <bottom style="thin">
        <color indexed="64"/>
      </bottom>
      <diagonal/>
    </border>
    <border>
      <left style="thin">
        <color indexed="64"/>
      </left>
      <right style="medium">
        <color indexed="64"/>
      </right>
      <top/>
      <bottom style="medium">
        <color indexed="64"/>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style="medium">
        <color indexed="64"/>
      </top>
      <bottom/>
      <diagonal/>
    </border>
    <border>
      <left style="medium">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bottom/>
      <diagonal/>
    </border>
    <border>
      <left style="thin">
        <color rgb="FF7F7F7F"/>
      </left>
      <right style="thin">
        <color rgb="FF7F7F7F"/>
      </right>
      <top style="thin">
        <color rgb="FF7F7F7F"/>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rgb="FF7F7F7F"/>
      </left>
      <right style="medium">
        <color indexed="64"/>
      </right>
      <top style="thin">
        <color rgb="FF7F7F7F"/>
      </top>
      <bottom style="thin">
        <color rgb="FF7F7F7F"/>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bottom style="medium">
        <color indexed="64"/>
      </bottom>
      <diagonal/>
    </border>
    <border>
      <left style="medium">
        <color indexed="64"/>
      </left>
      <right style="thin">
        <color indexed="64"/>
      </right>
      <top/>
      <bottom/>
      <diagonal/>
    </border>
    <border>
      <left style="thin">
        <color rgb="FF7F7F7F"/>
      </left>
      <right style="thin">
        <color rgb="FF7F7F7F"/>
      </right>
      <top style="medium">
        <color indexed="64"/>
      </top>
      <bottom style="thin">
        <color rgb="FF7F7F7F"/>
      </bottom>
      <diagonal/>
    </border>
    <border>
      <left/>
      <right style="thin">
        <color indexed="64"/>
      </right>
      <top style="medium">
        <color indexed="64"/>
      </top>
      <bottom style="medium">
        <color indexed="64"/>
      </bottom>
      <diagonal/>
    </border>
    <border>
      <left style="thin">
        <color rgb="FF7F7F7F"/>
      </left>
      <right style="thin">
        <color rgb="FF7F7F7F"/>
      </right>
      <top/>
      <bottom style="medium">
        <color indexed="64"/>
      </bottom>
      <diagonal/>
    </border>
    <border>
      <left style="thin">
        <color rgb="FF7F7F7F"/>
      </left>
      <right style="thin">
        <color rgb="FF7F7F7F"/>
      </right>
      <top style="medium">
        <color indexed="64"/>
      </top>
      <bottom/>
      <diagonal/>
    </border>
    <border>
      <left style="thin">
        <color indexed="64"/>
      </left>
      <right style="thin">
        <color indexed="64"/>
      </right>
      <top style="thin">
        <color rgb="FF7F7F7F"/>
      </top>
      <bottom style="thin">
        <color indexed="64"/>
      </bottom>
      <diagonal/>
    </border>
    <border>
      <left style="thin">
        <color rgb="FF7F7F7F"/>
      </left>
      <right style="thin">
        <color rgb="FF7F7F7F"/>
      </right>
      <top style="medium">
        <color indexed="64"/>
      </top>
      <bottom style="medium">
        <color indexed="64"/>
      </bottom>
      <diagonal/>
    </border>
    <border>
      <left style="thin">
        <color indexed="64"/>
      </left>
      <right/>
      <top/>
      <bottom/>
      <diagonal/>
    </border>
    <border>
      <left style="thin">
        <color indexed="64"/>
      </left>
      <right/>
      <top style="medium">
        <color indexed="64"/>
      </top>
      <bottom/>
      <diagonal/>
    </border>
    <border>
      <left style="thin">
        <color indexed="64"/>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top style="thin">
        <color indexed="64"/>
      </top>
      <bottom style="thin">
        <color rgb="FF7F7F7F"/>
      </bottom>
      <diagonal/>
    </border>
    <border>
      <left/>
      <right style="medium">
        <color indexed="64"/>
      </right>
      <top style="thin">
        <color indexed="64"/>
      </top>
      <bottom style="thin">
        <color rgb="FF7F7F7F"/>
      </bottom>
      <diagonal/>
    </border>
    <border>
      <left style="thin">
        <color rgb="FF7F7F7F"/>
      </left>
      <right/>
      <top style="thin">
        <color rgb="FF7F7F7F"/>
      </top>
      <bottom style="thin">
        <color rgb="FF7F7F7F"/>
      </bottom>
      <diagonal/>
    </border>
    <border>
      <left style="medium">
        <color indexed="64"/>
      </left>
      <right style="thin">
        <color rgb="FF7F7F7F"/>
      </right>
      <top style="thin">
        <color rgb="FF7F7F7F"/>
      </top>
      <bottom style="thin">
        <color rgb="FF7F7F7F"/>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style="thin">
        <color indexed="64"/>
      </right>
      <top style="medium">
        <color indexed="64"/>
      </top>
      <bottom/>
      <diagonal/>
    </border>
    <border>
      <left style="thin">
        <color rgb="FF7F7F7F"/>
      </left>
      <right style="thin">
        <color rgb="FF7F7F7F"/>
      </right>
      <top style="thin">
        <color rgb="FF7F7F7F"/>
      </top>
      <bottom/>
      <diagonal/>
    </border>
    <border>
      <left style="thin">
        <color rgb="FF7F7F7F"/>
      </left>
      <right style="medium">
        <color indexed="64"/>
      </right>
      <top style="thin">
        <color rgb="FF7F7F7F"/>
      </top>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top style="thin">
        <color indexed="64"/>
      </top>
      <bottom style="medium">
        <color indexed="64"/>
      </bottom>
      <diagonal/>
    </border>
    <border>
      <left style="thin">
        <color indexed="64"/>
      </left>
      <right/>
      <top/>
      <bottom style="thin">
        <color indexed="64"/>
      </bottom>
      <diagonal/>
    </border>
    <border>
      <left/>
      <right style="medium">
        <color indexed="64"/>
      </right>
      <top/>
      <bottom style="thin">
        <color indexed="64"/>
      </bottom>
      <diagonal/>
    </border>
    <border>
      <left style="thin">
        <color rgb="FF7F7F7F"/>
      </left>
      <right style="thin">
        <color rgb="FF7F7F7F"/>
      </right>
      <top/>
      <bottom style="thin">
        <color rgb="FF7F7F7F"/>
      </bottom>
      <diagonal/>
    </border>
  </borders>
  <cellStyleXfs count="5">
    <xf numFmtId="0" fontId="0" fillId="0" borderId="0"/>
    <xf numFmtId="0" fontId="7" fillId="3" borderId="22" applyNumberFormat="0" applyAlignment="0" applyProtection="0"/>
    <xf numFmtId="0" fontId="10" fillId="8" borderId="22" applyNumberFormat="0" applyAlignment="0" applyProtection="0"/>
    <xf numFmtId="0" fontId="3" fillId="0" borderId="0"/>
    <xf numFmtId="0" fontId="29" fillId="12" borderId="0" applyNumberFormat="0" applyBorder="0" applyAlignment="0" applyProtection="0"/>
  </cellStyleXfs>
  <cellXfs count="654">
    <xf numFmtId="0" fontId="0" fillId="0" borderId="0" xfId="0"/>
    <xf numFmtId="0" fontId="0" fillId="0" borderId="0" xfId="0" applyAlignment="1">
      <alignment horizontal="center"/>
    </xf>
    <xf numFmtId="0" fontId="2" fillId="0" borderId="3" xfId="0" applyFont="1" applyBorder="1" applyAlignment="1">
      <alignment horizontal="center" wrapText="1"/>
    </xf>
    <xf numFmtId="0" fontId="3" fillId="0" borderId="0" xfId="0" applyFont="1"/>
    <xf numFmtId="0" fontId="2" fillId="0" borderId="4" xfId="0" applyFont="1" applyBorder="1" applyAlignment="1">
      <alignment horizontal="center"/>
    </xf>
    <xf numFmtId="0" fontId="2" fillId="0" borderId="3" xfId="0" applyFont="1" applyFill="1" applyBorder="1" applyAlignment="1">
      <alignment horizontal="center" wrapText="1"/>
    </xf>
    <xf numFmtId="0" fontId="0" fillId="0" borderId="0" xfId="0" applyFill="1"/>
    <xf numFmtId="0" fontId="0" fillId="0" borderId="0" xfId="0" quotePrefix="1"/>
    <xf numFmtId="0" fontId="0" fillId="6" borderId="0" xfId="0" applyFill="1"/>
    <xf numFmtId="0" fontId="5" fillId="2" borderId="0" xfId="0" applyFont="1" applyFill="1"/>
    <xf numFmtId="0" fontId="5" fillId="0" borderId="0" xfId="0" applyFont="1"/>
    <xf numFmtId="0" fontId="5" fillId="6" borderId="0" xfId="0" applyFont="1" applyFill="1"/>
    <xf numFmtId="0" fontId="0" fillId="6" borderId="0" xfId="0" applyFill="1" applyBorder="1"/>
    <xf numFmtId="0" fontId="0" fillId="6" borderId="0" xfId="0" applyFill="1" applyAlignment="1">
      <alignment horizontal="center"/>
    </xf>
    <xf numFmtId="0" fontId="8" fillId="0" borderId="3" xfId="0" applyFont="1" applyBorder="1" applyAlignment="1">
      <alignment horizontal="center" wrapText="1"/>
    </xf>
    <xf numFmtId="0" fontId="8" fillId="0" borderId="4" xfId="0" applyFont="1" applyBorder="1" applyAlignment="1">
      <alignment horizontal="center"/>
    </xf>
    <xf numFmtId="0" fontId="8" fillId="0" borderId="3" xfId="0" applyFont="1" applyFill="1" applyBorder="1" applyAlignment="1">
      <alignment horizontal="center" wrapText="1"/>
    </xf>
    <xf numFmtId="0" fontId="9" fillId="0" borderId="1" xfId="0" applyFont="1" applyBorder="1" applyAlignment="1">
      <alignment wrapText="1"/>
    </xf>
    <xf numFmtId="0" fontId="9" fillId="6" borderId="0" xfId="0" applyFont="1" applyFill="1"/>
    <xf numFmtId="0" fontId="4" fillId="6" borderId="5" xfId="0" applyFont="1" applyFill="1" applyBorder="1"/>
    <xf numFmtId="0" fontId="0" fillId="6" borderId="6" xfId="0" applyFill="1" applyBorder="1"/>
    <xf numFmtId="0" fontId="0" fillId="6" borderId="7" xfId="0" applyFill="1" applyBorder="1" applyAlignment="1">
      <alignment horizontal="center"/>
    </xf>
    <xf numFmtId="0" fontId="3" fillId="0" borderId="8" xfId="0" applyFont="1" applyBorder="1"/>
    <xf numFmtId="0" fontId="3" fillId="0" borderId="8" xfId="0" applyFont="1" applyFill="1" applyBorder="1"/>
    <xf numFmtId="0" fontId="3" fillId="0" borderId="9" xfId="0" applyFont="1" applyFill="1" applyBorder="1"/>
    <xf numFmtId="0" fontId="3" fillId="6" borderId="0" xfId="0" applyFont="1" applyFill="1"/>
    <xf numFmtId="0" fontId="0" fillId="6" borderId="0" xfId="0" quotePrefix="1" applyFill="1"/>
    <xf numFmtId="0" fontId="0" fillId="6" borderId="7" xfId="0" applyFill="1" applyBorder="1"/>
    <xf numFmtId="0" fontId="0" fillId="6" borderId="0" xfId="0" applyFill="1" applyAlignment="1">
      <alignment wrapText="1"/>
    </xf>
    <xf numFmtId="0" fontId="0" fillId="6" borderId="0" xfId="0" applyFill="1" applyBorder="1" applyAlignment="1">
      <alignment horizontal="center"/>
    </xf>
    <xf numFmtId="0" fontId="0" fillId="0" borderId="0" xfId="0" quotePrefix="1" applyAlignment="1">
      <alignment horizontal="left"/>
    </xf>
    <xf numFmtId="0" fontId="3" fillId="0" borderId="0" xfId="0" quotePrefix="1" applyFont="1"/>
    <xf numFmtId="0" fontId="9" fillId="0" borderId="10" xfId="0" applyFont="1" applyBorder="1" applyAlignment="1">
      <alignment wrapText="1"/>
    </xf>
    <xf numFmtId="0" fontId="9" fillId="0" borderId="24" xfId="0" applyFont="1" applyBorder="1" applyAlignment="1">
      <alignment wrapText="1"/>
    </xf>
    <xf numFmtId="0" fontId="9" fillId="0" borderId="28" xfId="0" applyFont="1" applyBorder="1" applyAlignment="1">
      <alignment wrapText="1"/>
    </xf>
    <xf numFmtId="0" fontId="8" fillId="0" borderId="4" xfId="0" applyFont="1" applyFill="1" applyBorder="1" applyAlignment="1">
      <alignment horizontal="center" wrapText="1"/>
    </xf>
    <xf numFmtId="0" fontId="9" fillId="0" borderId="0" xfId="0" applyFont="1" applyBorder="1" applyAlignment="1">
      <alignment horizontal="center" vertical="center"/>
    </xf>
    <xf numFmtId="0" fontId="2" fillId="0" borderId="0" xfId="0" applyFont="1" applyBorder="1" applyAlignment="1">
      <alignment horizontal="center" wrapText="1"/>
    </xf>
    <xf numFmtId="0" fontId="2" fillId="0" borderId="0" xfId="0" applyFont="1" applyBorder="1" applyAlignment="1">
      <alignment horizontal="center"/>
    </xf>
    <xf numFmtId="0" fontId="2" fillId="0" borderId="0" xfId="0" applyFont="1" applyFill="1" applyBorder="1" applyAlignment="1">
      <alignment horizontal="center" wrapText="1"/>
    </xf>
    <xf numFmtId="0" fontId="3" fillId="0" borderId="8" xfId="0" applyFont="1" applyBorder="1" applyAlignment="1">
      <alignment wrapText="1"/>
    </xf>
    <xf numFmtId="0" fontId="0" fillId="0" borderId="0" xfId="0" applyFill="1" applyAlignment="1">
      <alignment horizontal="center" vertical="center" wrapText="1"/>
    </xf>
    <xf numFmtId="0" fontId="0" fillId="0" borderId="0" xfId="0" applyFill="1" applyBorder="1" applyAlignment="1">
      <alignment horizontal="center" vertical="center" wrapText="1"/>
    </xf>
    <xf numFmtId="0" fontId="3" fillId="0" borderId="0" xfId="0" applyFont="1" applyFill="1" applyBorder="1" applyAlignment="1">
      <alignment horizontal="left" vertical="center" wrapText="1"/>
    </xf>
    <xf numFmtId="0" fontId="3" fillId="0" borderId="0" xfId="0" applyFont="1" applyFill="1" applyBorder="1" applyAlignment="1">
      <alignment horizontal="center" vertical="center" wrapText="1"/>
    </xf>
    <xf numFmtId="0" fontId="0" fillId="2" borderId="0" xfId="0" applyFill="1" applyAlignment="1">
      <alignment horizontal="center"/>
    </xf>
    <xf numFmtId="0" fontId="2" fillId="0" borderId="4" xfId="0" applyFont="1" applyFill="1" applyBorder="1" applyAlignment="1">
      <alignment horizontal="center" wrapText="1"/>
    </xf>
    <xf numFmtId="0" fontId="0" fillId="0" borderId="0" xfId="0" applyBorder="1" applyAlignment="1"/>
    <xf numFmtId="0" fontId="3" fillId="6" borderId="8" xfId="0" applyFont="1" applyFill="1" applyBorder="1" applyAlignment="1">
      <alignment horizontal="left" vertical="center" wrapText="1"/>
    </xf>
    <xf numFmtId="0" fontId="10" fillId="8" borderId="39" xfId="2" applyBorder="1" applyAlignment="1">
      <alignment horizontal="center" wrapText="1"/>
    </xf>
    <xf numFmtId="0" fontId="10" fillId="6" borderId="39" xfId="2" applyFill="1" applyBorder="1" applyAlignment="1">
      <alignment horizontal="center" wrapText="1"/>
    </xf>
    <xf numFmtId="0" fontId="12" fillId="6" borderId="0" xfId="0" applyFont="1" applyFill="1" applyAlignment="1">
      <alignment wrapText="1"/>
    </xf>
    <xf numFmtId="0" fontId="9" fillId="0" borderId="24" xfId="0" applyFont="1" applyBorder="1" applyAlignment="1">
      <alignment horizontal="center" vertical="center"/>
    </xf>
    <xf numFmtId="0" fontId="9" fillId="0" borderId="1" xfId="0" applyFont="1" applyBorder="1" applyAlignment="1">
      <alignment horizontal="center" vertical="center"/>
    </xf>
    <xf numFmtId="0" fontId="9" fillId="0" borderId="28" xfId="0" applyFont="1" applyBorder="1" applyAlignment="1">
      <alignment horizontal="center" vertical="center"/>
    </xf>
    <xf numFmtId="0" fontId="9" fillId="0" borderId="0" xfId="0" applyNumberFormat="1" applyFont="1" applyBorder="1" applyAlignment="1">
      <alignment horizontal="center" vertical="center"/>
    </xf>
    <xf numFmtId="0" fontId="14" fillId="10" borderId="24" xfId="0" applyFont="1" applyFill="1" applyBorder="1" applyAlignment="1">
      <alignment horizontal="center" vertical="center" wrapText="1"/>
    </xf>
    <xf numFmtId="0" fontId="9" fillId="0" borderId="24" xfId="1" applyFont="1" applyFill="1" applyBorder="1" applyAlignment="1">
      <alignment horizontal="center" vertical="center" wrapText="1"/>
    </xf>
    <xf numFmtId="0" fontId="9" fillId="0" borderId="33" xfId="0" applyFont="1" applyBorder="1" applyAlignment="1">
      <alignment horizontal="center" vertical="center" wrapText="1"/>
    </xf>
    <xf numFmtId="0" fontId="9" fillId="0" borderId="8" xfId="0" applyFont="1" applyBorder="1" applyAlignment="1">
      <alignment horizontal="center" vertical="center" wrapText="1"/>
    </xf>
    <xf numFmtId="0" fontId="9" fillId="0" borderId="9" xfId="0" applyFont="1" applyBorder="1" applyAlignment="1">
      <alignment horizontal="center" vertical="center" wrapText="1"/>
    </xf>
    <xf numFmtId="0" fontId="9" fillId="0" borderId="1" xfId="0" applyFont="1" applyFill="1" applyBorder="1" applyAlignment="1">
      <alignment horizontal="center" vertical="center" wrapText="1"/>
    </xf>
    <xf numFmtId="0" fontId="9" fillId="0" borderId="1" xfId="1" applyFont="1" applyFill="1" applyBorder="1" applyAlignment="1">
      <alignment horizontal="center" vertical="center" wrapText="1"/>
    </xf>
    <xf numFmtId="0" fontId="9" fillId="0" borderId="28" xfId="0" applyFont="1" applyFill="1" applyBorder="1" applyAlignment="1">
      <alignment horizontal="center" vertical="center" wrapText="1"/>
    </xf>
    <xf numFmtId="0" fontId="9" fillId="0" borderId="28" xfId="1" applyFont="1" applyFill="1" applyBorder="1" applyAlignment="1">
      <alignment horizontal="center" vertical="center" wrapText="1"/>
    </xf>
    <xf numFmtId="0" fontId="9" fillId="0" borderId="24" xfId="0" applyFont="1" applyFill="1" applyBorder="1" applyAlignment="1">
      <alignment horizontal="center" vertical="center" wrapText="1"/>
    </xf>
    <xf numFmtId="0" fontId="3" fillId="6" borderId="0" xfId="0" quotePrefix="1" applyFont="1" applyFill="1"/>
    <xf numFmtId="0" fontId="3" fillId="0" borderId="0" xfId="0" applyFont="1" applyFill="1" applyBorder="1"/>
    <xf numFmtId="0" fontId="9" fillId="0" borderId="2" xfId="0" applyFont="1" applyBorder="1" applyAlignment="1">
      <alignment horizontal="center" vertical="center"/>
    </xf>
    <xf numFmtId="0" fontId="9" fillId="0" borderId="0" xfId="0" applyFont="1" applyBorder="1" applyAlignment="1">
      <alignment horizontal="center" wrapText="1"/>
    </xf>
    <xf numFmtId="0" fontId="9" fillId="0" borderId="0" xfId="0" applyFont="1" applyFill="1" applyBorder="1" applyAlignment="1">
      <alignment horizontal="center" wrapText="1"/>
    </xf>
    <xf numFmtId="0" fontId="9" fillId="0" borderId="0" xfId="1" applyFont="1" applyFill="1" applyBorder="1" applyAlignment="1">
      <alignment horizontal="center" wrapText="1"/>
    </xf>
    <xf numFmtId="0" fontId="9" fillId="0" borderId="0" xfId="0" applyFont="1" applyBorder="1" applyAlignment="1">
      <alignment horizontal="center"/>
    </xf>
    <xf numFmtId="0" fontId="9" fillId="0" borderId="0" xfId="0" applyFont="1" applyBorder="1" applyAlignment="1">
      <alignment wrapText="1"/>
    </xf>
    <xf numFmtId="0" fontId="9" fillId="0" borderId="27" xfId="0" applyFont="1" applyBorder="1" applyAlignment="1">
      <alignment horizontal="center" vertical="center" wrapText="1"/>
    </xf>
    <xf numFmtId="0" fontId="9" fillId="0" borderId="32" xfId="0" applyFont="1" applyBorder="1" applyAlignment="1">
      <alignment horizontal="center" vertical="center" wrapText="1"/>
    </xf>
    <xf numFmtId="0" fontId="9" fillId="0" borderId="0" xfId="0" applyFont="1" applyBorder="1" applyAlignment="1">
      <alignment horizontal="center" vertical="center" wrapText="1"/>
    </xf>
    <xf numFmtId="0" fontId="9" fillId="0" borderId="0" xfId="0" applyFont="1" applyFill="1" applyBorder="1" applyAlignment="1">
      <alignment horizontal="center" vertical="center" wrapText="1"/>
    </xf>
    <xf numFmtId="0" fontId="9" fillId="0" borderId="0" xfId="1" applyFont="1" applyFill="1" applyBorder="1" applyAlignment="1">
      <alignment horizontal="center" vertical="center" wrapText="1"/>
    </xf>
    <xf numFmtId="0" fontId="0" fillId="0" borderId="37" xfId="0" applyBorder="1" applyAlignment="1">
      <alignment horizontal="center" vertical="center"/>
    </xf>
    <xf numFmtId="0" fontId="0" fillId="0" borderId="38" xfId="0" applyBorder="1" applyAlignment="1">
      <alignment horizontal="center" vertical="center"/>
    </xf>
    <xf numFmtId="0" fontId="0" fillId="0" borderId="0" xfId="0" applyBorder="1" applyAlignment="1">
      <alignment horizontal="center" vertical="center"/>
    </xf>
    <xf numFmtId="0" fontId="9" fillId="6" borderId="0" xfId="0" applyFont="1" applyFill="1" applyAlignment="1">
      <alignment horizontal="center" vertical="center"/>
    </xf>
    <xf numFmtId="0" fontId="14" fillId="10" borderId="1" xfId="1" applyFont="1" applyFill="1" applyBorder="1" applyAlignment="1">
      <alignment horizontal="center" vertical="center" wrapText="1"/>
    </xf>
    <xf numFmtId="0" fontId="9" fillId="0" borderId="44" xfId="0" applyFont="1" applyBorder="1" applyAlignment="1">
      <alignment horizontal="center" vertical="center" wrapText="1"/>
    </xf>
    <xf numFmtId="0" fontId="3" fillId="0" borderId="9" xfId="0" applyFont="1" applyBorder="1" applyAlignment="1">
      <alignment horizontal="left" vertical="center" wrapText="1"/>
    </xf>
    <xf numFmtId="0" fontId="3" fillId="0" borderId="24" xfId="0" applyFont="1" applyBorder="1" applyAlignment="1">
      <alignment horizontal="center" vertical="center" wrapText="1"/>
    </xf>
    <xf numFmtId="0" fontId="3" fillId="0" borderId="2" xfId="0" applyFont="1" applyBorder="1" applyAlignment="1">
      <alignment horizontal="center" vertical="center" wrapText="1"/>
    </xf>
    <xf numFmtId="0" fontId="3" fillId="0" borderId="1" xfId="0" applyFont="1" applyBorder="1" applyAlignment="1">
      <alignment horizontal="center" vertical="center" wrapText="1"/>
    </xf>
    <xf numFmtId="0" fontId="3" fillId="0" borderId="24" xfId="0" applyFont="1" applyBorder="1" applyAlignment="1">
      <alignment horizontal="left" vertical="top" wrapText="1"/>
    </xf>
    <xf numFmtId="0" fontId="3" fillId="0" borderId="37" xfId="0" applyFont="1" applyBorder="1" applyAlignment="1">
      <alignment horizontal="center" vertical="center"/>
    </xf>
    <xf numFmtId="0" fontId="9" fillId="0" borderId="13" xfId="0" applyFont="1" applyBorder="1" applyAlignment="1">
      <alignment horizontal="center" vertical="center"/>
    </xf>
    <xf numFmtId="0" fontId="10" fillId="8" borderId="45" xfId="2" applyBorder="1" applyAlignment="1">
      <alignment horizontal="center" vertical="center" wrapText="1"/>
    </xf>
    <xf numFmtId="0" fontId="9" fillId="0" borderId="24" xfId="0" quotePrefix="1" applyFont="1" applyFill="1" applyBorder="1" applyAlignment="1">
      <alignment horizontal="center" vertical="center" wrapText="1"/>
    </xf>
    <xf numFmtId="0" fontId="9" fillId="0" borderId="1" xfId="0" quotePrefix="1" applyFont="1" applyFill="1" applyBorder="1" applyAlignment="1">
      <alignment horizontal="center" vertical="center" wrapText="1"/>
    </xf>
    <xf numFmtId="0" fontId="14" fillId="0" borderId="0" xfId="0" applyFont="1" applyFill="1" applyBorder="1" applyAlignment="1">
      <alignment horizontal="center" vertical="center" wrapText="1"/>
    </xf>
    <xf numFmtId="0" fontId="8" fillId="0" borderId="46" xfId="1" applyFont="1" applyFill="1" applyBorder="1" applyAlignment="1">
      <alignment horizontal="center" wrapText="1"/>
    </xf>
    <xf numFmtId="0" fontId="9" fillId="0" borderId="28" xfId="0" quotePrefix="1" applyFont="1" applyFill="1" applyBorder="1" applyAlignment="1">
      <alignment horizontal="center" vertical="center" wrapText="1"/>
    </xf>
    <xf numFmtId="0" fontId="16" fillId="6" borderId="0" xfId="0" applyFont="1" applyFill="1"/>
    <xf numFmtId="0" fontId="3" fillId="0" borderId="9" xfId="0" applyFont="1" applyBorder="1" applyAlignment="1">
      <alignment horizontal="center" vertical="center" wrapText="1"/>
    </xf>
    <xf numFmtId="0" fontId="3" fillId="0" borderId="1" xfId="3" quotePrefix="1" applyBorder="1" applyAlignment="1">
      <alignment horizontal="center" vertical="center"/>
    </xf>
    <xf numFmtId="0" fontId="3" fillId="0" borderId="24" xfId="3" quotePrefix="1" applyBorder="1" applyAlignment="1">
      <alignment horizontal="center" vertical="center"/>
    </xf>
    <xf numFmtId="0" fontId="3" fillId="0" borderId="28" xfId="3" quotePrefix="1" applyBorder="1" applyAlignment="1">
      <alignment horizontal="center" vertical="center"/>
    </xf>
    <xf numFmtId="0" fontId="9" fillId="0" borderId="0" xfId="0" quotePrefix="1" applyFont="1" applyFill="1" applyBorder="1" applyAlignment="1">
      <alignment horizontal="center" vertical="center" wrapText="1"/>
    </xf>
    <xf numFmtId="0" fontId="3" fillId="0" borderId="1" xfId="0" quotePrefix="1" applyFont="1" applyBorder="1" applyAlignment="1">
      <alignment horizontal="center" vertical="center" wrapText="1"/>
    </xf>
    <xf numFmtId="0" fontId="3" fillId="7" borderId="1" xfId="3" applyFont="1" applyFill="1" applyBorder="1" applyAlignment="1">
      <alignment horizontal="center" vertical="center"/>
    </xf>
    <xf numFmtId="0" fontId="3" fillId="0" borderId="28" xfId="0" quotePrefix="1" applyFont="1" applyBorder="1" applyAlignment="1">
      <alignment horizontal="center" vertical="center" wrapText="1"/>
    </xf>
    <xf numFmtId="0" fontId="3" fillId="0" borderId="28" xfId="0" applyFont="1" applyBorder="1" applyAlignment="1">
      <alignment horizontal="center" vertical="center" wrapText="1"/>
    </xf>
    <xf numFmtId="0" fontId="3" fillId="0" borderId="8" xfId="0" applyFont="1" applyBorder="1" applyAlignment="1">
      <alignment horizontal="left" vertical="center" wrapText="1"/>
    </xf>
    <xf numFmtId="0" fontId="2" fillId="0" borderId="26" xfId="3" applyFont="1" applyBorder="1" applyAlignment="1">
      <alignment horizontal="left" wrapText="1"/>
    </xf>
    <xf numFmtId="0" fontId="3" fillId="0" borderId="1" xfId="3" applyFont="1" applyBorder="1" applyAlignment="1">
      <alignment horizontal="center" vertical="center" wrapText="1"/>
    </xf>
    <xf numFmtId="0" fontId="0" fillId="0" borderId="0" xfId="0" applyFill="1" applyBorder="1"/>
    <xf numFmtId="0" fontId="2" fillId="0" borderId="0" xfId="0" applyFont="1" applyFill="1" applyBorder="1" applyAlignment="1">
      <alignment horizontal="center"/>
    </xf>
    <xf numFmtId="0" fontId="9" fillId="0" borderId="0" xfId="0" applyFont="1" applyFill="1" applyBorder="1" applyAlignment="1">
      <alignment horizontal="center" vertical="center"/>
    </xf>
    <xf numFmtId="0" fontId="10" fillId="8" borderId="1" xfId="2" applyBorder="1" applyAlignment="1">
      <alignment horizontal="center" vertical="center" wrapText="1"/>
    </xf>
    <xf numFmtId="0" fontId="10" fillId="8" borderId="47" xfId="2" applyBorder="1" applyAlignment="1">
      <alignment horizontal="center" vertical="center" wrapText="1"/>
    </xf>
    <xf numFmtId="0" fontId="10" fillId="8" borderId="48" xfId="2" applyBorder="1" applyAlignment="1">
      <alignment horizontal="center" vertical="center" wrapText="1"/>
    </xf>
    <xf numFmtId="0" fontId="10" fillId="8" borderId="24" xfId="2" applyBorder="1" applyAlignment="1">
      <alignment horizontal="center" vertical="center" wrapText="1"/>
    </xf>
    <xf numFmtId="0" fontId="10" fillId="8" borderId="49" xfId="2" applyBorder="1" applyAlignment="1">
      <alignment horizontal="center" vertical="center" wrapText="1"/>
    </xf>
    <xf numFmtId="0" fontId="10" fillId="0" borderId="0" xfId="2" applyFill="1" applyBorder="1" applyAlignment="1">
      <alignment horizontal="center" vertical="center" wrapText="1"/>
    </xf>
    <xf numFmtId="0" fontId="10" fillId="8" borderId="28" xfId="2" applyBorder="1" applyAlignment="1">
      <alignment horizontal="center" vertical="center" wrapText="1"/>
    </xf>
    <xf numFmtId="0" fontId="10" fillId="0" borderId="0" xfId="2" applyFill="1" applyBorder="1" applyAlignment="1">
      <alignment horizontal="center" vertical="center"/>
    </xf>
    <xf numFmtId="0" fontId="18" fillId="0" borderId="0" xfId="0" applyFont="1"/>
    <xf numFmtId="0" fontId="3" fillId="6" borderId="1" xfId="0" applyFont="1" applyFill="1" applyBorder="1" applyAlignment="1">
      <alignment horizontal="center" vertical="top" wrapText="1"/>
    </xf>
    <xf numFmtId="0" fontId="3" fillId="6" borderId="0" xfId="0" applyFont="1" applyFill="1" applyBorder="1" applyAlignment="1">
      <alignment horizontal="left" vertical="top" wrapText="1"/>
    </xf>
    <xf numFmtId="0" fontId="10" fillId="8" borderId="22" xfId="2" applyAlignment="1">
      <alignment horizontal="center" vertical="center" wrapText="1"/>
    </xf>
    <xf numFmtId="0" fontId="9" fillId="0" borderId="1" xfId="1" applyFont="1" applyFill="1" applyBorder="1" applyAlignment="1">
      <alignment horizontal="center" vertical="center" wrapText="1"/>
    </xf>
    <xf numFmtId="0" fontId="9" fillId="0" borderId="33" xfId="0" applyFont="1" applyFill="1" applyBorder="1" applyAlignment="1">
      <alignment horizontal="center" vertical="center" wrapText="1"/>
    </xf>
    <xf numFmtId="0" fontId="9" fillId="0" borderId="8" xfId="0" applyFont="1" applyFill="1" applyBorder="1" applyAlignment="1">
      <alignment horizontal="center" vertical="center" wrapText="1"/>
    </xf>
    <xf numFmtId="0" fontId="10" fillId="8" borderId="22" xfId="2" applyBorder="1" applyAlignment="1">
      <alignment horizontal="center" vertical="center"/>
    </xf>
    <xf numFmtId="0" fontId="10" fillId="8" borderId="35" xfId="2" applyBorder="1" applyAlignment="1">
      <alignment horizontal="center" vertical="center"/>
    </xf>
    <xf numFmtId="0" fontId="2" fillId="0" borderId="0" xfId="0" applyFont="1"/>
    <xf numFmtId="0" fontId="9" fillId="0" borderId="1" xfId="0" applyFont="1" applyBorder="1" applyAlignment="1">
      <alignment vertical="center" wrapText="1"/>
    </xf>
    <xf numFmtId="0" fontId="9" fillId="0" borderId="24" xfId="0" applyFont="1" applyBorder="1" applyAlignment="1">
      <alignment vertical="center" wrapText="1"/>
    </xf>
    <xf numFmtId="0" fontId="3" fillId="0" borderId="28" xfId="0" applyFont="1" applyBorder="1" applyAlignment="1">
      <alignment vertical="center" wrapText="1"/>
    </xf>
    <xf numFmtId="0" fontId="9" fillId="0" borderId="10" xfId="0" applyFont="1" applyBorder="1" applyAlignment="1">
      <alignment vertical="center" wrapText="1"/>
    </xf>
    <xf numFmtId="0" fontId="9" fillId="0" borderId="28" xfId="0" applyFont="1" applyBorder="1" applyAlignment="1">
      <alignment vertical="center" wrapText="1"/>
    </xf>
    <xf numFmtId="0" fontId="9" fillId="0" borderId="24" xfId="0" applyFont="1" applyBorder="1" applyAlignment="1">
      <alignment horizontal="left" vertical="center" wrapText="1"/>
    </xf>
    <xf numFmtId="0" fontId="9" fillId="0" borderId="28" xfId="0" applyFont="1" applyBorder="1" applyAlignment="1">
      <alignment horizontal="left" vertical="center" wrapText="1"/>
    </xf>
    <xf numFmtId="0" fontId="9" fillId="0" borderId="0" xfId="0" applyFont="1" applyBorder="1" applyAlignment="1">
      <alignment vertical="center" wrapText="1"/>
    </xf>
    <xf numFmtId="0" fontId="9" fillId="0" borderId="13" xfId="0" applyFont="1" applyBorder="1" applyAlignment="1">
      <alignment vertical="center" wrapText="1"/>
    </xf>
    <xf numFmtId="0" fontId="13" fillId="6" borderId="0" xfId="0" applyFont="1" applyFill="1"/>
    <xf numFmtId="0" fontId="13" fillId="0" borderId="0" xfId="0" applyFont="1"/>
    <xf numFmtId="0" fontId="13" fillId="2" borderId="0" xfId="0" applyFont="1" applyFill="1"/>
    <xf numFmtId="0" fontId="10" fillId="8" borderId="35" xfId="2" applyBorder="1" applyAlignment="1">
      <alignment horizontal="center" vertical="center" wrapText="1"/>
    </xf>
    <xf numFmtId="0" fontId="9" fillId="0" borderId="1" xfId="0" applyFont="1" applyBorder="1" applyAlignment="1">
      <alignment horizontal="center" vertical="center"/>
    </xf>
    <xf numFmtId="0" fontId="9" fillId="0" borderId="28" xfId="0" applyFont="1" applyBorder="1" applyAlignment="1">
      <alignment horizontal="center" vertical="center"/>
    </xf>
    <xf numFmtId="0" fontId="9" fillId="0" borderId="24" xfId="0" applyFont="1" applyBorder="1" applyAlignment="1">
      <alignment horizontal="center" vertical="center"/>
    </xf>
    <xf numFmtId="0" fontId="9" fillId="0" borderId="9" xfId="0" applyFont="1" applyFill="1" applyBorder="1" applyAlignment="1">
      <alignment horizontal="center" vertical="center" wrapText="1"/>
    </xf>
    <xf numFmtId="0" fontId="20" fillId="6" borderId="0" xfId="0" applyFont="1" applyFill="1"/>
    <xf numFmtId="0" fontId="17" fillId="6" borderId="0" xfId="0" applyFont="1" applyFill="1" applyAlignment="1">
      <alignment wrapText="1"/>
    </xf>
    <xf numFmtId="0" fontId="9" fillId="0" borderId="24" xfId="0" applyFont="1" applyFill="1" applyBorder="1" applyAlignment="1">
      <alignment horizontal="center" vertical="center"/>
    </xf>
    <xf numFmtId="0" fontId="9" fillId="0" borderId="24" xfId="0" applyFont="1" applyFill="1" applyBorder="1" applyAlignment="1">
      <alignment wrapText="1"/>
    </xf>
    <xf numFmtId="0" fontId="9" fillId="0" borderId="1" xfId="0" applyFont="1" applyFill="1" applyBorder="1" applyAlignment="1">
      <alignment horizontal="center" vertical="center"/>
    </xf>
    <xf numFmtId="0" fontId="9" fillId="0" borderId="28" xfId="0" applyFont="1" applyFill="1" applyBorder="1" applyAlignment="1">
      <alignment horizontal="center" vertical="center"/>
    </xf>
    <xf numFmtId="0" fontId="9" fillId="0" borderId="28" xfId="0" applyFont="1" applyFill="1" applyBorder="1" applyAlignment="1">
      <alignment wrapText="1"/>
    </xf>
    <xf numFmtId="0" fontId="10" fillId="6" borderId="0" xfId="2" applyFill="1" applyBorder="1" applyAlignment="1">
      <alignment horizontal="center" vertical="center" wrapText="1"/>
    </xf>
    <xf numFmtId="0" fontId="9" fillId="0" borderId="28" xfId="0" applyFont="1" applyFill="1" applyBorder="1" applyAlignment="1">
      <alignment vertical="center" wrapText="1"/>
    </xf>
    <xf numFmtId="0" fontId="10" fillId="10" borderId="47" xfId="2" applyFill="1" applyBorder="1" applyAlignment="1">
      <alignment horizontal="center" vertical="center" wrapText="1"/>
    </xf>
    <xf numFmtId="0" fontId="10" fillId="8" borderId="1" xfId="2" applyBorder="1" applyAlignment="1">
      <alignment horizontal="center" vertical="center" wrapText="1"/>
    </xf>
    <xf numFmtId="0" fontId="9" fillId="0" borderId="24" xfId="0" applyFont="1" applyBorder="1" applyAlignment="1">
      <alignment horizontal="center" vertical="center"/>
    </xf>
    <xf numFmtId="0" fontId="9" fillId="0" borderId="1" xfId="0" applyFont="1" applyBorder="1" applyAlignment="1">
      <alignment horizontal="center" vertical="center"/>
    </xf>
    <xf numFmtId="0" fontId="9" fillId="0" borderId="28" xfId="0" applyFont="1" applyBorder="1" applyAlignment="1">
      <alignment horizontal="center" vertical="center"/>
    </xf>
    <xf numFmtId="0" fontId="10" fillId="8" borderId="22" xfId="2" applyBorder="1" applyAlignment="1">
      <alignment horizontal="center" vertical="center" wrapText="1"/>
    </xf>
    <xf numFmtId="0" fontId="10" fillId="8" borderId="35" xfId="2" applyBorder="1" applyAlignment="1">
      <alignment horizontal="center" vertical="center" wrapText="1"/>
    </xf>
    <xf numFmtId="0" fontId="6" fillId="2" borderId="0" xfId="0" applyFont="1" applyFill="1" applyAlignment="1"/>
    <xf numFmtId="0" fontId="3" fillId="0" borderId="33" xfId="0" applyFont="1" applyBorder="1" applyAlignment="1">
      <alignment horizontal="center" vertical="center" wrapText="1"/>
    </xf>
    <xf numFmtId="0" fontId="3" fillId="0" borderId="24" xfId="0" quotePrefix="1" applyFont="1" applyBorder="1" applyAlignment="1">
      <alignment horizontal="center" vertical="center" wrapText="1"/>
    </xf>
    <xf numFmtId="0" fontId="3" fillId="0" borderId="27" xfId="0" applyFont="1" applyBorder="1" applyAlignment="1">
      <alignment horizontal="center" vertical="center" wrapText="1"/>
    </xf>
    <xf numFmtId="0" fontId="3" fillId="0" borderId="2" xfId="0" quotePrefix="1" applyFont="1" applyBorder="1" applyAlignment="1">
      <alignment horizontal="center" vertical="center" wrapText="1"/>
    </xf>
    <xf numFmtId="0" fontId="3" fillId="0" borderId="2" xfId="0" applyFont="1" applyBorder="1" applyAlignment="1">
      <alignment horizontal="left" vertical="top" wrapText="1"/>
    </xf>
    <xf numFmtId="0" fontId="17" fillId="6" borderId="0" xfId="2" applyFont="1" applyFill="1" applyBorder="1" applyAlignment="1">
      <alignment horizontal="center" vertical="center" wrapText="1"/>
    </xf>
    <xf numFmtId="0" fontId="3" fillId="0" borderId="2" xfId="3" applyFont="1" applyBorder="1" applyAlignment="1">
      <alignment horizontal="center" vertical="center" wrapText="1"/>
    </xf>
    <xf numFmtId="0" fontId="3" fillId="0" borderId="28" xfId="3" applyFont="1" applyBorder="1" applyAlignment="1">
      <alignment horizontal="center" vertical="center" wrapText="1"/>
    </xf>
    <xf numFmtId="0" fontId="17" fillId="6" borderId="2" xfId="2" applyFont="1" applyFill="1" applyBorder="1" applyAlignment="1">
      <alignment horizontal="center" vertical="center"/>
    </xf>
    <xf numFmtId="0" fontId="17" fillId="6" borderId="1" xfId="2" applyFont="1" applyFill="1" applyBorder="1" applyAlignment="1">
      <alignment horizontal="center" vertical="center"/>
    </xf>
    <xf numFmtId="0" fontId="3" fillId="0" borderId="8" xfId="0" applyFont="1" applyFill="1" applyBorder="1" applyAlignment="1">
      <alignment horizontal="left" vertical="center" wrapText="1"/>
    </xf>
    <xf numFmtId="0" fontId="3" fillId="0" borderId="1" xfId="0" quotePrefix="1" applyFont="1" applyFill="1" applyBorder="1" applyAlignment="1">
      <alignment horizontal="center" vertical="center" wrapText="1"/>
    </xf>
    <xf numFmtId="0" fontId="3" fillId="0" borderId="26" xfId="3" applyFont="1" applyFill="1" applyBorder="1" applyAlignment="1">
      <alignment horizontal="left" wrapText="1"/>
    </xf>
    <xf numFmtId="0" fontId="3" fillId="0" borderId="26" xfId="3" applyFont="1" applyFill="1" applyBorder="1" applyAlignment="1">
      <alignment horizontal="left" vertical="top" wrapText="1"/>
    </xf>
    <xf numFmtId="0" fontId="3" fillId="0" borderId="9" xfId="0" applyFont="1" applyFill="1" applyBorder="1" applyAlignment="1">
      <alignment horizontal="left" vertical="center" wrapText="1"/>
    </xf>
    <xf numFmtId="0" fontId="3" fillId="0" borderId="28" xfId="0" quotePrefix="1" applyFont="1" applyFill="1" applyBorder="1" applyAlignment="1">
      <alignment horizontal="center" vertical="center" wrapText="1"/>
    </xf>
    <xf numFmtId="0" fontId="3" fillId="0" borderId="42" xfId="3" applyFont="1" applyFill="1" applyBorder="1" applyAlignment="1">
      <alignment horizontal="left" vertical="center" wrapText="1"/>
    </xf>
    <xf numFmtId="0" fontId="3" fillId="0" borderId="23" xfId="3" applyFont="1" applyBorder="1" applyAlignment="1">
      <alignment horizontal="center" vertical="center" wrapText="1"/>
    </xf>
    <xf numFmtId="0" fontId="3" fillId="0" borderId="8" xfId="3" applyFont="1" applyFill="1" applyBorder="1" applyAlignment="1">
      <alignment horizontal="left" vertical="center" wrapText="1"/>
    </xf>
    <xf numFmtId="0" fontId="3" fillId="0" borderId="29" xfId="3" applyFont="1" applyFill="1" applyBorder="1" applyAlignment="1">
      <alignment horizontal="left" vertical="top" wrapText="1"/>
    </xf>
    <xf numFmtId="0" fontId="3" fillId="0" borderId="27" xfId="3" applyFont="1" applyBorder="1" applyAlignment="1">
      <alignment horizontal="left" vertical="center" wrapText="1"/>
    </xf>
    <xf numFmtId="0" fontId="3" fillId="0" borderId="2" xfId="3" quotePrefix="1" applyFont="1" applyBorder="1" applyAlignment="1">
      <alignment horizontal="center" vertical="center" wrapText="1"/>
    </xf>
    <xf numFmtId="0" fontId="3" fillId="0" borderId="20" xfId="3" applyFont="1" applyBorder="1" applyAlignment="1">
      <alignment horizontal="left" vertical="center" wrapText="1"/>
    </xf>
    <xf numFmtId="0" fontId="3" fillId="0" borderId="43" xfId="3" applyFont="1" applyBorder="1" applyAlignment="1">
      <alignment horizontal="left" vertical="center" wrapText="1"/>
    </xf>
    <xf numFmtId="0" fontId="3" fillId="0" borderId="30" xfId="3" applyFont="1" applyBorder="1" applyAlignment="1">
      <alignment horizontal="center" vertical="center" wrapText="1"/>
    </xf>
    <xf numFmtId="0" fontId="3" fillId="0" borderId="21" xfId="3" applyFont="1" applyBorder="1" applyAlignment="1">
      <alignment horizontal="left" vertical="center" wrapText="1"/>
    </xf>
    <xf numFmtId="0" fontId="2" fillId="0" borderId="20" xfId="3" applyFont="1" applyBorder="1" applyAlignment="1">
      <alignment horizontal="left" wrapText="1"/>
    </xf>
    <xf numFmtId="0" fontId="3" fillId="7" borderId="28" xfId="3" applyFont="1" applyFill="1" applyBorder="1" applyAlignment="1">
      <alignment horizontal="center" vertical="center"/>
    </xf>
    <xf numFmtId="0" fontId="2" fillId="0" borderId="29" xfId="3" applyFont="1" applyBorder="1" applyAlignment="1">
      <alignment horizontal="left" wrapText="1"/>
    </xf>
    <xf numFmtId="0" fontId="3" fillId="0" borderId="33" xfId="0" applyFont="1" applyBorder="1" applyAlignment="1">
      <alignment horizontal="left" vertical="center" wrapText="1"/>
    </xf>
    <xf numFmtId="0" fontId="2" fillId="0" borderId="25" xfId="3" applyFont="1" applyBorder="1" applyAlignment="1">
      <alignment horizontal="left" wrapText="1"/>
    </xf>
    <xf numFmtId="0" fontId="2" fillId="0" borderId="27" xfId="0" applyFont="1" applyBorder="1" applyAlignment="1">
      <alignment horizontal="left" vertical="center" wrapText="1"/>
    </xf>
    <xf numFmtId="0" fontId="2" fillId="0" borderId="8" xfId="0" applyFont="1" applyBorder="1" applyAlignment="1">
      <alignment horizontal="left" vertical="center" wrapText="1"/>
    </xf>
    <xf numFmtId="0" fontId="2" fillId="0" borderId="9" xfId="0" applyFont="1" applyBorder="1" applyAlignment="1">
      <alignment horizontal="left" vertical="center" wrapText="1"/>
    </xf>
    <xf numFmtId="0" fontId="3" fillId="0" borderId="2" xfId="3" applyFont="1" applyFill="1" applyBorder="1" applyAlignment="1">
      <alignment horizontal="center" vertical="center"/>
    </xf>
    <xf numFmtId="0" fontId="3" fillId="0" borderId="1" xfId="3" applyFont="1" applyFill="1" applyBorder="1" applyAlignment="1">
      <alignment horizontal="center" vertical="center"/>
    </xf>
    <xf numFmtId="0" fontId="3" fillId="0" borderId="28" xfId="3" applyFont="1" applyFill="1" applyBorder="1" applyAlignment="1">
      <alignment horizontal="center" vertical="center"/>
    </xf>
    <xf numFmtId="0" fontId="17" fillId="6" borderId="28" xfId="2" quotePrefix="1" applyFont="1" applyFill="1" applyBorder="1" applyAlignment="1">
      <alignment horizontal="center" vertical="center" wrapText="1"/>
    </xf>
    <xf numFmtId="0" fontId="17" fillId="6" borderId="28" xfId="2" applyFont="1" applyFill="1" applyBorder="1" applyAlignment="1">
      <alignment horizontal="center" vertical="center" wrapText="1"/>
    </xf>
    <xf numFmtId="0" fontId="17" fillId="6" borderId="0" xfId="2" quotePrefix="1" applyFont="1" applyFill="1" applyBorder="1" applyAlignment="1">
      <alignment horizontal="center" vertical="center" wrapText="1"/>
    </xf>
    <xf numFmtId="0" fontId="17" fillId="0" borderId="24" xfId="2" applyFont="1" applyFill="1" applyBorder="1" applyAlignment="1">
      <alignment horizontal="center" vertical="center" wrapText="1"/>
    </xf>
    <xf numFmtId="0" fontId="17" fillId="0" borderId="1" xfId="1" applyFont="1" applyFill="1" applyBorder="1" applyAlignment="1">
      <alignment horizontal="center" vertical="center" wrapText="1"/>
    </xf>
    <xf numFmtId="0" fontId="22" fillId="6" borderId="0" xfId="0" applyFont="1" applyFill="1" applyAlignment="1">
      <alignment horizontal="left" vertical="center"/>
    </xf>
    <xf numFmtId="0" fontId="3" fillId="0" borderId="24" xfId="1" applyFont="1" applyFill="1" applyBorder="1" applyAlignment="1">
      <alignment horizontal="center" vertical="center" wrapText="1"/>
    </xf>
    <xf numFmtId="0" fontId="3" fillId="6" borderId="17" xfId="3" applyFont="1" applyFill="1" applyBorder="1" applyAlignment="1">
      <alignment horizontal="left" vertical="center" wrapText="1"/>
    </xf>
    <xf numFmtId="0" fontId="3" fillId="6" borderId="17" xfId="0" quotePrefix="1" applyFont="1" applyFill="1" applyBorder="1" applyAlignment="1">
      <alignment horizontal="center" vertical="center" wrapText="1"/>
    </xf>
    <xf numFmtId="0" fontId="17" fillId="6" borderId="17" xfId="2" applyFont="1" applyFill="1" applyBorder="1" applyAlignment="1">
      <alignment horizontal="center" vertical="center"/>
    </xf>
    <xf numFmtId="0" fontId="3" fillId="6" borderId="17" xfId="3" applyFont="1" applyFill="1" applyBorder="1" applyAlignment="1">
      <alignment horizontal="center" vertical="center" wrapText="1"/>
    </xf>
    <xf numFmtId="0" fontId="3" fillId="6" borderId="17" xfId="0" applyFont="1" applyFill="1" applyBorder="1" applyAlignment="1">
      <alignment horizontal="center" vertical="center"/>
    </xf>
    <xf numFmtId="0" fontId="17" fillId="0" borderId="1" xfId="2" applyFont="1" applyFill="1" applyBorder="1" applyAlignment="1">
      <alignment horizontal="center" vertical="center" wrapText="1"/>
    </xf>
    <xf numFmtId="0" fontId="17" fillId="0" borderId="28" xfId="2" applyFont="1" applyFill="1" applyBorder="1" applyAlignment="1">
      <alignment horizontal="center" vertical="center" wrapText="1"/>
    </xf>
    <xf numFmtId="0" fontId="9" fillId="6" borderId="0" xfId="0" applyFont="1" applyFill="1" applyAlignment="1">
      <alignment vertical="center"/>
    </xf>
    <xf numFmtId="0" fontId="10" fillId="8" borderId="45" xfId="2" applyBorder="1" applyAlignment="1">
      <alignment horizontal="center" vertical="center"/>
    </xf>
    <xf numFmtId="0" fontId="10" fillId="8" borderId="1" xfId="2" applyBorder="1" applyAlignment="1">
      <alignment horizontal="center" vertical="center"/>
    </xf>
    <xf numFmtId="0" fontId="23" fillId="6" borderId="0" xfId="0" applyFont="1" applyFill="1" applyAlignment="1">
      <alignment wrapText="1"/>
    </xf>
    <xf numFmtId="0" fontId="0" fillId="7" borderId="1" xfId="0" applyFill="1" applyBorder="1" applyAlignment="1">
      <alignment horizontal="center" vertical="center"/>
    </xf>
    <xf numFmtId="0" fontId="23" fillId="6" borderId="0" xfId="0" applyFont="1" applyFill="1" applyAlignment="1">
      <alignment vertical="center" wrapText="1"/>
    </xf>
    <xf numFmtId="0" fontId="0" fillId="7" borderId="24" xfId="0" applyFill="1" applyBorder="1" applyAlignment="1">
      <alignment horizontal="center" vertical="center"/>
    </xf>
    <xf numFmtId="0" fontId="23" fillId="6" borderId="0" xfId="0" applyFont="1" applyFill="1" applyAlignment="1">
      <alignment horizontal="left" vertical="center" wrapText="1"/>
    </xf>
    <xf numFmtId="0" fontId="9" fillId="0" borderId="0" xfId="0" applyFont="1" applyFill="1" applyBorder="1" applyAlignment="1">
      <alignment wrapText="1"/>
    </xf>
    <xf numFmtId="0" fontId="0" fillId="0" borderId="0" xfId="0" applyFill="1" applyBorder="1" applyAlignment="1">
      <alignment horizontal="center" vertical="center"/>
    </xf>
    <xf numFmtId="0" fontId="0" fillId="6" borderId="51" xfId="0" applyFill="1" applyBorder="1" applyAlignment="1">
      <alignment vertical="center" wrapText="1"/>
    </xf>
    <xf numFmtId="0" fontId="0" fillId="6" borderId="0" xfId="0" applyFill="1" applyBorder="1" applyAlignment="1">
      <alignment vertical="center" wrapText="1"/>
    </xf>
    <xf numFmtId="0" fontId="9" fillId="0" borderId="24" xfId="0" applyFont="1" applyBorder="1" applyAlignment="1">
      <alignment horizontal="center" vertical="center"/>
    </xf>
    <xf numFmtId="0" fontId="9" fillId="0" borderId="1" xfId="0" applyFont="1" applyBorder="1" applyAlignment="1">
      <alignment horizontal="center" vertical="center"/>
    </xf>
    <xf numFmtId="0" fontId="9" fillId="0" borderId="28" xfId="0" applyFont="1" applyBorder="1" applyAlignment="1">
      <alignment horizontal="center" vertical="center"/>
    </xf>
    <xf numFmtId="0" fontId="10" fillId="8" borderId="22" xfId="2" applyBorder="1" applyAlignment="1">
      <alignment horizontal="center" vertical="center" wrapText="1"/>
    </xf>
    <xf numFmtId="0" fontId="9" fillId="0" borderId="1" xfId="0" applyFont="1" applyBorder="1" applyAlignment="1">
      <alignment horizontal="left" vertical="center" wrapText="1"/>
    </xf>
    <xf numFmtId="0" fontId="9" fillId="7" borderId="1" xfId="1" applyFont="1" applyFill="1" applyBorder="1" applyAlignment="1">
      <alignment horizontal="center" vertical="center" wrapText="1"/>
    </xf>
    <xf numFmtId="0" fontId="9" fillId="7" borderId="28" xfId="1" applyFont="1" applyFill="1" applyBorder="1" applyAlignment="1">
      <alignment horizontal="center" vertical="center" wrapText="1"/>
    </xf>
    <xf numFmtId="0" fontId="17" fillId="0" borderId="24" xfId="2" quotePrefix="1" applyFont="1" applyFill="1" applyBorder="1" applyAlignment="1">
      <alignment horizontal="center" vertical="center"/>
    </xf>
    <xf numFmtId="0" fontId="9" fillId="0" borderId="2" xfId="0" applyFont="1" applyBorder="1" applyAlignment="1">
      <alignment vertical="center" wrapText="1"/>
    </xf>
    <xf numFmtId="0" fontId="9" fillId="0" borderId="24" xfId="0" applyFont="1" applyBorder="1" applyAlignment="1">
      <alignment horizontal="center" vertical="center"/>
    </xf>
    <xf numFmtId="0" fontId="9" fillId="0" borderId="28" xfId="0" applyFont="1" applyBorder="1" applyAlignment="1">
      <alignment horizontal="center" vertical="center"/>
    </xf>
    <xf numFmtId="0" fontId="21" fillId="0" borderId="0" xfId="0" applyFont="1" applyFill="1"/>
    <xf numFmtId="0" fontId="9" fillId="0" borderId="1" xfId="0" applyFont="1" applyFill="1" applyBorder="1" applyAlignment="1">
      <alignment wrapText="1"/>
    </xf>
    <xf numFmtId="0" fontId="9" fillId="0" borderId="24" xfId="0" applyFont="1" applyBorder="1" applyAlignment="1">
      <alignment horizontal="center" vertical="center"/>
    </xf>
    <xf numFmtId="0" fontId="3" fillId="0" borderId="1" xfId="0" applyFont="1" applyFill="1" applyBorder="1" applyAlignment="1">
      <alignment horizontal="center" vertical="center"/>
    </xf>
    <xf numFmtId="0" fontId="3" fillId="0" borderId="28" xfId="0" applyFont="1" applyFill="1" applyBorder="1" applyAlignment="1">
      <alignment horizontal="center" vertical="center"/>
    </xf>
    <xf numFmtId="0" fontId="9" fillId="0" borderId="28" xfId="0" applyFont="1" applyBorder="1" applyAlignment="1">
      <alignment horizontal="center" vertical="center"/>
    </xf>
    <xf numFmtId="0" fontId="9" fillId="0" borderId="10" xfId="0" applyFont="1" applyBorder="1" applyAlignment="1">
      <alignment horizontal="center" vertical="center"/>
    </xf>
    <xf numFmtId="0" fontId="9" fillId="0" borderId="10" xfId="0" applyFont="1" applyBorder="1" applyAlignment="1">
      <alignment vertical="center" wrapText="1"/>
    </xf>
    <xf numFmtId="0" fontId="10" fillId="8" borderId="10" xfId="2" applyBorder="1" applyAlignment="1">
      <alignment horizontal="center" vertical="center" wrapText="1"/>
    </xf>
    <xf numFmtId="0" fontId="10" fillId="8" borderId="2" xfId="2" applyBorder="1" applyAlignment="1">
      <alignment horizontal="center" vertical="center" wrapText="1"/>
    </xf>
    <xf numFmtId="0" fontId="9" fillId="0" borderId="36" xfId="0" applyFont="1" applyBorder="1" applyAlignment="1">
      <alignment horizontal="center" vertical="center" wrapText="1"/>
    </xf>
    <xf numFmtId="0" fontId="10" fillId="8" borderId="50" xfId="2" quotePrefix="1" applyBorder="1" applyAlignment="1">
      <alignment horizontal="center" vertical="center"/>
    </xf>
    <xf numFmtId="0" fontId="10" fillId="8" borderId="37" xfId="2" applyBorder="1" applyAlignment="1">
      <alignment horizontal="center" vertical="center" wrapText="1"/>
    </xf>
    <xf numFmtId="0" fontId="9" fillId="0" borderId="37" xfId="0" applyFont="1" applyBorder="1" applyAlignment="1">
      <alignment horizontal="center" vertical="center"/>
    </xf>
    <xf numFmtId="0" fontId="9" fillId="0" borderId="37" xfId="0" applyFont="1" applyBorder="1" applyAlignment="1">
      <alignment vertical="center" wrapText="1"/>
    </xf>
    <xf numFmtId="0" fontId="3" fillId="0" borderId="23" xfId="0" quotePrefix="1" applyFont="1" applyFill="1" applyBorder="1" applyAlignment="1">
      <alignment horizontal="center" vertical="center" wrapText="1"/>
    </xf>
    <xf numFmtId="0" fontId="17" fillId="0" borderId="23" xfId="2" applyFont="1" applyFill="1" applyBorder="1" applyAlignment="1">
      <alignment horizontal="center" vertical="center"/>
    </xf>
    <xf numFmtId="0" fontId="3" fillId="0" borderId="25" xfId="3" applyFont="1" applyFill="1" applyBorder="1" applyAlignment="1">
      <alignment horizontal="left" wrapText="1"/>
    </xf>
    <xf numFmtId="0" fontId="9" fillId="0" borderId="36" xfId="0" applyFont="1" applyFill="1" applyBorder="1" applyAlignment="1">
      <alignment horizontal="center" vertical="center" wrapText="1"/>
    </xf>
    <xf numFmtId="0" fontId="9" fillId="0" borderId="37" xfId="0" applyFont="1" applyFill="1" applyBorder="1" applyAlignment="1">
      <alignment horizontal="center" vertical="center" wrapText="1"/>
    </xf>
    <xf numFmtId="0" fontId="9" fillId="0" borderId="37" xfId="1" applyFont="1" applyFill="1" applyBorder="1" applyAlignment="1">
      <alignment horizontal="center" vertical="center" wrapText="1"/>
    </xf>
    <xf numFmtId="0" fontId="9" fillId="0" borderId="37" xfId="0" applyFont="1" applyFill="1" applyBorder="1" applyAlignment="1">
      <alignment horizontal="center" vertical="center"/>
    </xf>
    <xf numFmtId="0" fontId="9" fillId="0" borderId="37" xfId="0" applyFont="1" applyFill="1" applyBorder="1" applyAlignment="1">
      <alignment wrapText="1"/>
    </xf>
    <xf numFmtId="0" fontId="9" fillId="0" borderId="38" xfId="0" applyNumberFormat="1" applyFont="1" applyFill="1" applyBorder="1" applyAlignment="1">
      <alignment horizontal="center" vertical="center"/>
    </xf>
    <xf numFmtId="0" fontId="0" fillId="0" borderId="0" xfId="0" applyBorder="1"/>
    <xf numFmtId="0" fontId="25" fillId="0" borderId="33" xfId="0" applyFont="1" applyBorder="1" applyAlignment="1">
      <alignment horizontal="center" vertical="center" wrapText="1"/>
    </xf>
    <xf numFmtId="0" fontId="25" fillId="0" borderId="24" xfId="0" applyFont="1" applyBorder="1" applyAlignment="1">
      <alignment horizontal="center" vertical="center" wrapText="1"/>
    </xf>
    <xf numFmtId="0" fontId="25" fillId="0" borderId="25" xfId="0" applyFont="1" applyBorder="1" applyAlignment="1">
      <alignment horizontal="center" vertical="center" wrapText="1"/>
    </xf>
    <xf numFmtId="0" fontId="9" fillId="0" borderId="24" xfId="0" applyFont="1" applyBorder="1" applyAlignment="1">
      <alignment horizontal="center" vertical="center"/>
    </xf>
    <xf numFmtId="0" fontId="9" fillId="0" borderId="1" xfId="0" applyFont="1" applyBorder="1" applyAlignment="1">
      <alignment horizontal="center" vertical="center"/>
    </xf>
    <xf numFmtId="0" fontId="9" fillId="0" borderId="28" xfId="0" applyFont="1" applyBorder="1" applyAlignment="1">
      <alignment horizontal="center" vertical="center"/>
    </xf>
    <xf numFmtId="0" fontId="7" fillId="3" borderId="59" xfId="1" applyBorder="1"/>
    <xf numFmtId="0" fontId="7" fillId="3" borderId="60" xfId="1" applyBorder="1" applyAlignment="1">
      <alignment horizontal="center" vertical="center"/>
    </xf>
    <xf numFmtId="0" fontId="7" fillId="3" borderId="22" xfId="1" applyBorder="1" applyAlignment="1">
      <alignment horizontal="center" vertical="center"/>
    </xf>
    <xf numFmtId="0" fontId="7" fillId="3" borderId="39" xfId="1" applyBorder="1" applyAlignment="1">
      <alignment horizontal="center" vertical="center"/>
    </xf>
    <xf numFmtId="0" fontId="27" fillId="0" borderId="36" xfId="0" applyFont="1" applyBorder="1" applyAlignment="1">
      <alignment horizontal="center" vertical="center"/>
    </xf>
    <xf numFmtId="0" fontId="9" fillId="6" borderId="0" xfId="0" applyFont="1" applyFill="1" applyBorder="1" applyAlignment="1">
      <alignment horizontal="center" vertical="center" wrapText="1"/>
    </xf>
    <xf numFmtId="0" fontId="9" fillId="6" borderId="0" xfId="0" applyFont="1" applyFill="1" applyBorder="1" applyAlignment="1">
      <alignment vertical="center" wrapText="1"/>
    </xf>
    <xf numFmtId="0" fontId="0" fillId="6" borderId="0" xfId="0" applyFill="1" applyBorder="1" applyAlignment="1">
      <alignment horizontal="center" vertical="center"/>
    </xf>
    <xf numFmtId="0" fontId="3" fillId="6" borderId="0" xfId="0" quotePrefix="1" applyFont="1" applyFill="1" applyBorder="1"/>
    <xf numFmtId="0" fontId="28" fillId="0" borderId="24" xfId="0" applyFont="1" applyBorder="1" applyAlignment="1">
      <alignment vertical="center" wrapText="1"/>
    </xf>
    <xf numFmtId="0" fontId="28" fillId="0" borderId="1" xfId="0" applyFont="1" applyBorder="1" applyAlignment="1">
      <alignment vertical="center" wrapText="1"/>
    </xf>
    <xf numFmtId="0" fontId="28" fillId="0" borderId="28" xfId="0" applyFont="1" applyBorder="1" applyAlignment="1">
      <alignment vertical="center" wrapText="1"/>
    </xf>
    <xf numFmtId="0" fontId="8" fillId="0" borderId="5" xfId="0" applyFont="1" applyBorder="1" applyAlignment="1">
      <alignment horizontal="center" wrapText="1"/>
    </xf>
    <xf numFmtId="0" fontId="8" fillId="0" borderId="6" xfId="0" applyFont="1" applyFill="1" applyBorder="1" applyAlignment="1">
      <alignment horizontal="center" wrapText="1"/>
    </xf>
    <xf numFmtId="0" fontId="8" fillId="0" borderId="64" xfId="1" applyFont="1" applyFill="1" applyBorder="1" applyAlignment="1">
      <alignment horizontal="center" wrapText="1"/>
    </xf>
    <xf numFmtId="0" fontId="8" fillId="0" borderId="6" xfId="0" applyFont="1" applyBorder="1" applyAlignment="1">
      <alignment horizontal="center" wrapText="1"/>
    </xf>
    <xf numFmtId="0" fontId="8" fillId="0" borderId="6" xfId="0" applyFont="1" applyBorder="1" applyAlignment="1">
      <alignment horizontal="center"/>
    </xf>
    <xf numFmtId="0" fontId="8" fillId="0" borderId="7" xfId="0" applyFont="1" applyFill="1" applyBorder="1" applyAlignment="1">
      <alignment horizontal="center" wrapText="1"/>
    </xf>
    <xf numFmtId="0" fontId="18" fillId="0" borderId="0" xfId="0" applyFont="1" applyFill="1"/>
    <xf numFmtId="0" fontId="9" fillId="0" borderId="24" xfId="0" applyFont="1" applyBorder="1" applyAlignment="1">
      <alignment horizontal="center" vertical="center"/>
    </xf>
    <xf numFmtId="0" fontId="9" fillId="0" borderId="1" xfId="0" applyFont="1" applyBorder="1" applyAlignment="1">
      <alignment horizontal="center" vertical="center"/>
    </xf>
    <xf numFmtId="0" fontId="9" fillId="0" borderId="28" xfId="0" applyFont="1" applyBorder="1" applyAlignment="1">
      <alignment horizontal="center" vertical="center"/>
    </xf>
    <xf numFmtId="0" fontId="3" fillId="0" borderId="30" xfId="0" applyFont="1" applyBorder="1" applyAlignment="1">
      <alignment horizontal="center" vertical="center" wrapText="1"/>
    </xf>
    <xf numFmtId="0" fontId="3" fillId="0" borderId="24" xfId="0" applyFont="1" applyBorder="1" applyAlignment="1">
      <alignment horizontal="center" vertical="center" wrapText="1"/>
    </xf>
    <xf numFmtId="0" fontId="9" fillId="0" borderId="24" xfId="0" applyFont="1" applyBorder="1" applyAlignment="1">
      <alignment horizontal="center" vertical="center"/>
    </xf>
    <xf numFmtId="0" fontId="9" fillId="0" borderId="1" xfId="0" applyFont="1" applyBorder="1" applyAlignment="1">
      <alignment horizontal="center" vertical="center"/>
    </xf>
    <xf numFmtId="0" fontId="9" fillId="0" borderId="28" xfId="0" applyFont="1" applyBorder="1" applyAlignment="1">
      <alignment horizontal="center" vertical="center"/>
    </xf>
    <xf numFmtId="0" fontId="9" fillId="6" borderId="0" xfId="0" applyFont="1" applyFill="1" applyAlignment="1">
      <alignment horizontal="left" vertical="center"/>
    </xf>
    <xf numFmtId="0" fontId="10" fillId="8" borderId="45" xfId="2" quotePrefix="1" applyBorder="1" applyAlignment="1">
      <alignment horizontal="center" vertical="center" wrapText="1"/>
    </xf>
    <xf numFmtId="0" fontId="3" fillId="6" borderId="1" xfId="0" applyFont="1" applyFill="1" applyBorder="1" applyAlignment="1">
      <alignment wrapText="1"/>
    </xf>
    <xf numFmtId="0" fontId="0" fillId="6" borderId="1" xfId="0" applyFill="1" applyBorder="1" applyAlignment="1">
      <alignment horizontal="center" vertical="center"/>
    </xf>
    <xf numFmtId="0" fontId="3" fillId="6" borderId="33" xfId="0" applyFont="1" applyFill="1" applyBorder="1"/>
    <xf numFmtId="0" fontId="2" fillId="0" borderId="24" xfId="3" applyFont="1" applyBorder="1" applyAlignment="1">
      <alignment horizontal="left" wrapText="1"/>
    </xf>
    <xf numFmtId="0" fontId="3" fillId="6" borderId="8" xfId="0" applyFont="1" applyFill="1" applyBorder="1"/>
    <xf numFmtId="0" fontId="3" fillId="6" borderId="9" xfId="0" applyFont="1" applyFill="1" applyBorder="1"/>
    <xf numFmtId="0" fontId="0" fillId="6" borderId="28" xfId="0" applyFill="1" applyBorder="1" applyAlignment="1">
      <alignment horizontal="center" vertical="center"/>
    </xf>
    <xf numFmtId="0" fontId="3" fillId="6" borderId="28" xfId="0" applyFont="1" applyFill="1" applyBorder="1" applyAlignment="1">
      <alignment wrapText="1"/>
    </xf>
    <xf numFmtId="0" fontId="3" fillId="6" borderId="0" xfId="0" applyFont="1" applyFill="1" applyBorder="1"/>
    <xf numFmtId="0" fontId="3" fillId="0" borderId="0" xfId="0" quotePrefix="1" applyFont="1" applyBorder="1" applyAlignment="1">
      <alignment horizontal="center" vertical="center" wrapText="1"/>
    </xf>
    <xf numFmtId="0" fontId="3" fillId="0" borderId="0" xfId="0" applyFont="1" applyBorder="1" applyAlignment="1">
      <alignment horizontal="center" vertical="center" wrapText="1"/>
    </xf>
    <xf numFmtId="0" fontId="3" fillId="6" borderId="0" xfId="0" applyFont="1" applyFill="1" applyBorder="1" applyAlignment="1">
      <alignment wrapText="1"/>
    </xf>
    <xf numFmtId="0" fontId="3" fillId="6" borderId="24" xfId="0" applyFont="1" applyFill="1" applyBorder="1" applyAlignment="1">
      <alignment wrapText="1"/>
    </xf>
    <xf numFmtId="0" fontId="9" fillId="0" borderId="24" xfId="0" applyFont="1" applyBorder="1" applyAlignment="1">
      <alignment horizontal="center" vertical="center"/>
    </xf>
    <xf numFmtId="0" fontId="9" fillId="0" borderId="1" xfId="0" applyFont="1" applyBorder="1" applyAlignment="1">
      <alignment horizontal="center" vertical="center"/>
    </xf>
    <xf numFmtId="0" fontId="9" fillId="0" borderId="28" xfId="0" applyFont="1" applyBorder="1" applyAlignment="1">
      <alignment horizontal="center" vertical="center"/>
    </xf>
    <xf numFmtId="0" fontId="0" fillId="0" borderId="0" xfId="0" applyBorder="1" applyAlignment="1">
      <alignment horizontal="left"/>
    </xf>
    <xf numFmtId="0" fontId="9" fillId="0" borderId="37" xfId="0" quotePrefix="1" applyFont="1" applyFill="1" applyBorder="1" applyAlignment="1">
      <alignment horizontal="center" vertical="center" wrapText="1"/>
    </xf>
    <xf numFmtId="0" fontId="3" fillId="0" borderId="37" xfId="0" applyFont="1" applyFill="1" applyBorder="1" applyAlignment="1">
      <alignment horizontal="center" vertical="center"/>
    </xf>
    <xf numFmtId="0" fontId="0" fillId="0" borderId="37" xfId="0" applyFill="1" applyBorder="1" applyAlignment="1">
      <alignment horizontal="center" vertical="center"/>
    </xf>
    <xf numFmtId="0" fontId="0" fillId="0" borderId="38" xfId="0" applyFill="1" applyBorder="1" applyAlignment="1">
      <alignment horizontal="center" vertical="center"/>
    </xf>
    <xf numFmtId="0" fontId="18" fillId="0" borderId="0" xfId="0" applyFont="1" applyAlignment="1">
      <alignment horizontal="center" vertical="center"/>
    </xf>
    <xf numFmtId="0" fontId="18" fillId="0" borderId="0" xfId="0" applyFont="1" applyFill="1" applyAlignment="1">
      <alignment horizontal="center" vertical="center"/>
    </xf>
    <xf numFmtId="0" fontId="10" fillId="0" borderId="0" xfId="2" quotePrefix="1" applyFill="1" applyBorder="1" applyAlignment="1">
      <alignment horizontal="center" vertical="center"/>
    </xf>
    <xf numFmtId="0" fontId="9" fillId="0" borderId="0" xfId="0" applyFont="1" applyFill="1" applyBorder="1" applyAlignment="1">
      <alignment vertical="center" wrapText="1"/>
    </xf>
    <xf numFmtId="0" fontId="3" fillId="0" borderId="0" xfId="0" applyFont="1" applyFill="1" applyBorder="1" applyAlignment="1">
      <alignment horizontal="center" vertical="center"/>
    </xf>
    <xf numFmtId="0" fontId="23" fillId="0" borderId="0" xfId="0" applyFont="1" applyFill="1" applyAlignment="1">
      <alignment vertical="center" wrapText="1"/>
    </xf>
    <xf numFmtId="0" fontId="9" fillId="0" borderId="24" xfId="0" applyFont="1" applyFill="1" applyBorder="1" applyAlignment="1">
      <alignment vertical="center" wrapText="1"/>
    </xf>
    <xf numFmtId="0" fontId="17" fillId="0" borderId="28" xfId="2" quotePrefix="1" applyFont="1" applyFill="1" applyBorder="1" applyAlignment="1">
      <alignment horizontal="center" vertical="center"/>
    </xf>
    <xf numFmtId="0" fontId="18" fillId="0" borderId="0" xfId="0" applyFont="1" applyAlignment="1">
      <alignment horizontal="left" vertical="center"/>
    </xf>
    <xf numFmtId="0" fontId="18" fillId="4" borderId="0" xfId="0" applyFont="1" applyFill="1" applyAlignment="1">
      <alignment horizontal="left" vertical="center"/>
    </xf>
    <xf numFmtId="0" fontId="18" fillId="0" borderId="0" xfId="0" applyFont="1" applyFill="1" applyAlignment="1">
      <alignment horizontal="left" vertical="center"/>
    </xf>
    <xf numFmtId="0" fontId="9" fillId="0" borderId="24" xfId="0" applyFont="1" applyBorder="1" applyAlignment="1">
      <alignment horizontal="center" vertical="center"/>
    </xf>
    <xf numFmtId="0" fontId="9" fillId="0" borderId="1" xfId="0" applyFont="1" applyBorder="1" applyAlignment="1">
      <alignment horizontal="center" vertical="center"/>
    </xf>
    <xf numFmtId="0" fontId="9" fillId="0" borderId="28" xfId="0" applyFont="1" applyBorder="1" applyAlignment="1">
      <alignment horizontal="center" vertical="center"/>
    </xf>
    <xf numFmtId="0" fontId="3" fillId="0" borderId="1" xfId="0" applyFont="1" applyBorder="1" applyAlignment="1">
      <alignment horizontal="center" vertical="center"/>
    </xf>
    <xf numFmtId="0" fontId="3" fillId="0" borderId="0" xfId="0" applyFont="1" applyBorder="1"/>
    <xf numFmtId="0" fontId="3" fillId="0" borderId="0" xfId="0" applyFont="1" applyAlignment="1">
      <alignment horizontal="center"/>
    </xf>
    <xf numFmtId="0" fontId="3" fillId="0" borderId="0" xfId="0" applyFont="1" applyAlignment="1">
      <alignment horizontal="center" vertical="center"/>
    </xf>
    <xf numFmtId="0" fontId="17" fillId="7" borderId="1" xfId="4" applyFont="1" applyFill="1" applyBorder="1" applyAlignment="1">
      <alignment horizontal="center" vertical="center"/>
    </xf>
    <xf numFmtId="0" fontId="3" fillId="7" borderId="1" xfId="0" applyFont="1" applyFill="1" applyBorder="1" applyAlignment="1">
      <alignment horizontal="center" vertical="center"/>
    </xf>
    <xf numFmtId="0" fontId="3" fillId="6" borderId="1" xfId="0" applyFont="1" applyFill="1" applyBorder="1" applyAlignment="1">
      <alignment horizontal="center" vertical="center"/>
    </xf>
    <xf numFmtId="0" fontId="23" fillId="6" borderId="0" xfId="0" applyFont="1" applyFill="1" applyAlignment="1">
      <alignment horizontal="center" vertical="center" wrapText="1"/>
    </xf>
    <xf numFmtId="0" fontId="3" fillId="0" borderId="32" xfId="0" applyFont="1" applyFill="1" applyBorder="1"/>
    <xf numFmtId="0" fontId="3" fillId="0" borderId="33" xfId="0" applyFont="1" applyFill="1" applyBorder="1"/>
    <xf numFmtId="0" fontId="3" fillId="0" borderId="27" xfId="0" applyFont="1" applyFill="1" applyBorder="1"/>
    <xf numFmtId="0" fontId="9" fillId="7" borderId="2" xfId="0" applyFont="1" applyFill="1" applyBorder="1" applyAlignment="1">
      <alignment horizontal="center" vertical="center" wrapText="1"/>
    </xf>
    <xf numFmtId="0" fontId="9" fillId="0" borderId="13" xfId="0" applyFont="1" applyBorder="1" applyAlignment="1">
      <alignment horizontal="center" vertical="center"/>
    </xf>
    <xf numFmtId="0" fontId="9" fillId="0" borderId="24" xfId="0" applyFont="1" applyBorder="1" applyAlignment="1">
      <alignment horizontal="center" vertical="center"/>
    </xf>
    <xf numFmtId="0" fontId="9" fillId="0" borderId="1" xfId="0" applyFont="1" applyBorder="1" applyAlignment="1">
      <alignment horizontal="center" vertical="center"/>
    </xf>
    <xf numFmtId="0" fontId="3" fillId="0" borderId="1" xfId="0" applyFont="1" applyBorder="1" applyAlignment="1">
      <alignment horizontal="left" vertical="center" wrapText="1"/>
    </xf>
    <xf numFmtId="0" fontId="9" fillId="0" borderId="28" xfId="0" applyFont="1" applyBorder="1" applyAlignment="1">
      <alignment horizontal="center" vertical="center"/>
    </xf>
    <xf numFmtId="0" fontId="0" fillId="6" borderId="1" xfId="0" applyFill="1" applyBorder="1" applyAlignment="1">
      <alignment horizontal="center" vertical="center"/>
    </xf>
    <xf numFmtId="0" fontId="0" fillId="6" borderId="28" xfId="0" applyFill="1" applyBorder="1" applyAlignment="1">
      <alignment horizontal="center" vertical="center"/>
    </xf>
    <xf numFmtId="0" fontId="3" fillId="0" borderId="28" xfId="0" applyFont="1" applyFill="1" applyBorder="1" applyAlignment="1">
      <alignment horizontal="center" vertical="center"/>
    </xf>
    <xf numFmtId="0" fontId="3" fillId="0" borderId="24" xfId="2" applyFont="1" applyFill="1" applyBorder="1" applyAlignment="1">
      <alignment horizontal="center" vertical="center"/>
    </xf>
    <xf numFmtId="0" fontId="3" fillId="0" borderId="1" xfId="2" applyFont="1" applyFill="1" applyBorder="1" applyAlignment="1">
      <alignment horizontal="center" vertical="center"/>
    </xf>
    <xf numFmtId="0" fontId="3" fillId="0" borderId="28" xfId="2" applyFont="1" applyFill="1" applyBorder="1" applyAlignment="1">
      <alignment horizontal="center" vertical="center"/>
    </xf>
    <xf numFmtId="0" fontId="3" fillId="0" borderId="37" xfId="2" applyFont="1" applyFill="1" applyBorder="1" applyAlignment="1">
      <alignment horizontal="center" vertical="center"/>
    </xf>
    <xf numFmtId="0" fontId="9" fillId="0" borderId="37" xfId="0" applyFont="1" applyBorder="1" applyAlignment="1">
      <alignment wrapText="1"/>
    </xf>
    <xf numFmtId="0" fontId="3" fillId="0" borderId="1" xfId="3" applyBorder="1" applyAlignment="1">
      <alignment horizontal="center" vertical="center"/>
    </xf>
    <xf numFmtId="0" fontId="3" fillId="7" borderId="1" xfId="0" applyFont="1" applyFill="1" applyBorder="1" applyAlignment="1">
      <alignment horizontal="center" vertical="center" wrapText="1"/>
    </xf>
    <xf numFmtId="0" fontId="9" fillId="7" borderId="24" xfId="0" applyFont="1" applyFill="1" applyBorder="1" applyAlignment="1">
      <alignment horizontal="center" vertical="center" wrapText="1"/>
    </xf>
    <xf numFmtId="0" fontId="10" fillId="8" borderId="22" xfId="2" quotePrefix="1" applyAlignment="1">
      <alignment horizontal="center" vertical="center"/>
    </xf>
    <xf numFmtId="0" fontId="3" fillId="0" borderId="28" xfId="3" quotePrefix="1" applyFill="1" applyBorder="1" applyAlignment="1">
      <alignment horizontal="center" vertical="center"/>
    </xf>
    <xf numFmtId="0" fontId="17" fillId="0" borderId="1" xfId="2" quotePrefix="1" applyFont="1" applyFill="1" applyBorder="1" applyAlignment="1">
      <alignment horizontal="center" vertical="center" wrapText="1"/>
    </xf>
    <xf numFmtId="0" fontId="17" fillId="0" borderId="28" xfId="2" quotePrefix="1" applyFont="1" applyFill="1" applyBorder="1" applyAlignment="1">
      <alignment horizontal="center" vertical="center" wrapText="1"/>
    </xf>
    <xf numFmtId="0" fontId="3" fillId="0" borderId="24" xfId="3" applyBorder="1" applyAlignment="1">
      <alignment horizontal="center" vertical="center"/>
    </xf>
    <xf numFmtId="0" fontId="3" fillId="0" borderId="28" xfId="0" applyFont="1" applyBorder="1" applyAlignment="1">
      <alignment horizontal="left" vertical="center" wrapText="1"/>
    </xf>
    <xf numFmtId="0" fontId="10" fillId="8" borderId="45" xfId="2" quotePrefix="1" applyBorder="1" applyAlignment="1">
      <alignment horizontal="center" vertical="center"/>
    </xf>
    <xf numFmtId="0" fontId="3" fillId="0" borderId="24" xfId="0" applyFont="1" applyBorder="1" applyAlignment="1">
      <alignment horizontal="left" vertical="center" wrapText="1"/>
    </xf>
    <xf numFmtId="0" fontId="3" fillId="0" borderId="37" xfId="0" applyFont="1" applyBorder="1" applyAlignment="1">
      <alignment horizontal="left" vertical="center" wrapText="1"/>
    </xf>
    <xf numFmtId="0" fontId="0" fillId="11" borderId="0" xfId="0" applyFill="1"/>
    <xf numFmtId="0" fontId="9" fillId="11" borderId="0" xfId="0" applyFont="1" applyFill="1" applyBorder="1" applyAlignment="1">
      <alignment horizontal="center" vertical="center" wrapText="1"/>
    </xf>
    <xf numFmtId="0" fontId="9" fillId="11" borderId="0" xfId="0" quotePrefix="1" applyFont="1" applyFill="1" applyBorder="1" applyAlignment="1">
      <alignment horizontal="center" vertical="center" wrapText="1"/>
    </xf>
    <xf numFmtId="0" fontId="9" fillId="11" borderId="0" xfId="1" applyFont="1" applyFill="1" applyBorder="1" applyAlignment="1">
      <alignment horizontal="center" vertical="center" wrapText="1"/>
    </xf>
    <xf numFmtId="0" fontId="9" fillId="11" borderId="0" xfId="0" applyFont="1" applyFill="1" applyBorder="1" applyAlignment="1">
      <alignment horizontal="center" vertical="center"/>
    </xf>
    <xf numFmtId="0" fontId="9" fillId="11" borderId="0" xfId="0" applyFont="1" applyFill="1" applyBorder="1" applyAlignment="1">
      <alignment wrapText="1"/>
    </xf>
    <xf numFmtId="0" fontId="3" fillId="11" borderId="0" xfId="0" applyFont="1" applyFill="1" applyBorder="1" applyAlignment="1">
      <alignment horizontal="center" vertical="center"/>
    </xf>
    <xf numFmtId="0" fontId="0" fillId="11" borderId="0" xfId="0" applyFill="1" applyBorder="1" applyAlignment="1">
      <alignment horizontal="center" vertical="center"/>
    </xf>
    <xf numFmtId="0" fontId="21" fillId="11" borderId="0" xfId="0" applyFont="1" applyFill="1"/>
    <xf numFmtId="0" fontId="0" fillId="10" borderId="0" xfId="0" applyFill="1"/>
    <xf numFmtId="0" fontId="9" fillId="10" borderId="0" xfId="0" applyFont="1" applyFill="1" applyBorder="1" applyAlignment="1">
      <alignment horizontal="center" vertical="center" wrapText="1"/>
    </xf>
    <xf numFmtId="0" fontId="9" fillId="10" borderId="0" xfId="0" quotePrefix="1" applyFont="1" applyFill="1" applyBorder="1" applyAlignment="1">
      <alignment horizontal="center" vertical="center" wrapText="1"/>
    </xf>
    <xf numFmtId="0" fontId="9" fillId="10" borderId="0" xfId="1" applyFont="1" applyFill="1" applyBorder="1" applyAlignment="1">
      <alignment horizontal="center" vertical="center" wrapText="1"/>
    </xf>
    <xf numFmtId="0" fontId="9" fillId="10" borderId="0" xfId="0" applyFont="1" applyFill="1" applyBorder="1" applyAlignment="1">
      <alignment horizontal="center" vertical="center"/>
    </xf>
    <xf numFmtId="0" fontId="9" fillId="10" borderId="0" xfId="0" applyFont="1" applyFill="1" applyBorder="1" applyAlignment="1">
      <alignment wrapText="1"/>
    </xf>
    <xf numFmtId="0" fontId="3" fillId="10" borderId="0" xfId="0" applyFont="1" applyFill="1" applyBorder="1" applyAlignment="1">
      <alignment horizontal="center" vertical="center"/>
    </xf>
    <xf numFmtId="0" fontId="0" fillId="10" borderId="0" xfId="0" applyFill="1" applyBorder="1" applyAlignment="1">
      <alignment horizontal="center" vertical="center"/>
    </xf>
    <xf numFmtId="0" fontId="3" fillId="0" borderId="1" xfId="0" applyFont="1" applyBorder="1" applyAlignment="1">
      <alignment wrapText="1"/>
    </xf>
    <xf numFmtId="0" fontId="10" fillId="8" borderId="22" xfId="2" applyAlignment="1">
      <alignment horizontal="center" vertical="center"/>
    </xf>
    <xf numFmtId="0" fontId="9" fillId="0" borderId="24" xfId="0" applyFont="1" applyFill="1" applyBorder="1" applyAlignment="1">
      <alignment horizontal="left" vertical="top" wrapText="1"/>
    </xf>
    <xf numFmtId="0" fontId="9" fillId="0" borderId="1" xfId="0" applyFont="1" applyFill="1" applyBorder="1" applyAlignment="1">
      <alignment horizontal="left" vertical="top" wrapText="1"/>
    </xf>
    <xf numFmtId="0" fontId="9" fillId="0" borderId="28" xfId="0" applyFont="1" applyFill="1" applyBorder="1" applyAlignment="1">
      <alignment horizontal="left" vertical="top" wrapText="1"/>
    </xf>
    <xf numFmtId="0" fontId="9" fillId="0" borderId="37" xfId="0" applyFont="1" applyFill="1" applyBorder="1" applyAlignment="1">
      <alignment horizontal="left" vertical="top" wrapText="1"/>
    </xf>
    <xf numFmtId="0" fontId="9" fillId="0" borderId="0" xfId="0" applyFont="1" applyFill="1" applyBorder="1" applyAlignment="1">
      <alignment horizontal="left" vertical="top" wrapText="1"/>
    </xf>
    <xf numFmtId="0" fontId="3" fillId="0" borderId="0" xfId="0" applyFont="1" applyBorder="1" applyAlignment="1">
      <alignment wrapText="1"/>
    </xf>
    <xf numFmtId="0" fontId="3" fillId="0" borderId="0" xfId="0" applyFont="1" applyBorder="1" applyAlignment="1">
      <alignment horizontal="center" vertical="center"/>
    </xf>
    <xf numFmtId="0" fontId="3" fillId="0" borderId="0" xfId="0" applyFont="1" applyBorder="1" applyAlignment="1">
      <alignment horizontal="left" vertical="center"/>
    </xf>
    <xf numFmtId="0" fontId="0" fillId="0" borderId="0" xfId="0" applyBorder="1" applyAlignment="1">
      <alignment horizontal="left" vertical="center"/>
    </xf>
    <xf numFmtId="0" fontId="17" fillId="0" borderId="0" xfId="4" applyFont="1" applyFill="1" applyBorder="1" applyAlignment="1">
      <alignment horizontal="center" vertical="center"/>
    </xf>
    <xf numFmtId="0" fontId="3" fillId="0" borderId="1" xfId="0" applyFont="1" applyBorder="1" applyAlignment="1">
      <alignment horizontal="left" vertical="center" wrapText="1"/>
    </xf>
    <xf numFmtId="0" fontId="3" fillId="6" borderId="1" xfId="0" applyFont="1" applyFill="1" applyBorder="1" applyAlignment="1">
      <alignment horizontal="left" vertical="center" wrapText="1"/>
    </xf>
    <xf numFmtId="0" fontId="9" fillId="0" borderId="24" xfId="0" applyFont="1" applyBorder="1" applyAlignment="1">
      <alignment horizontal="center" vertical="center"/>
    </xf>
    <xf numFmtId="0" fontId="9" fillId="0" borderId="1" xfId="0" applyFont="1" applyBorder="1" applyAlignment="1">
      <alignment horizontal="center" vertical="center"/>
    </xf>
    <xf numFmtId="0" fontId="9" fillId="0" borderId="28" xfId="0" applyFont="1" applyBorder="1" applyAlignment="1">
      <alignment horizontal="center" vertical="center"/>
    </xf>
    <xf numFmtId="0" fontId="3" fillId="0" borderId="1" xfId="0" applyFont="1" applyBorder="1" applyAlignment="1">
      <alignment horizontal="left" vertical="center" wrapText="1"/>
    </xf>
    <xf numFmtId="0" fontId="17" fillId="0" borderId="0" xfId="2" quotePrefix="1" applyFont="1" applyFill="1" applyBorder="1" applyAlignment="1">
      <alignment horizontal="center" vertical="center"/>
    </xf>
    <xf numFmtId="0" fontId="10" fillId="8" borderId="0" xfId="2" applyBorder="1" applyAlignment="1">
      <alignment horizontal="center" vertical="center" wrapText="1"/>
    </xf>
    <xf numFmtId="0" fontId="3" fillId="0" borderId="0" xfId="0" applyFont="1" applyBorder="1" applyAlignment="1">
      <alignment horizontal="left" vertical="center" wrapText="1"/>
    </xf>
    <xf numFmtId="0" fontId="3" fillId="0" borderId="0" xfId="3" quotePrefix="1" applyFill="1" applyBorder="1" applyAlignment="1">
      <alignment horizontal="center" vertical="center"/>
    </xf>
    <xf numFmtId="0" fontId="9" fillId="0" borderId="0" xfId="0" applyFont="1" applyBorder="1" applyAlignment="1">
      <alignment horizontal="left" vertical="center" wrapText="1"/>
    </xf>
    <xf numFmtId="0" fontId="9" fillId="0" borderId="24" xfId="0" applyFont="1" applyBorder="1" applyAlignment="1">
      <alignment horizontal="center" vertical="center"/>
    </xf>
    <xf numFmtId="0" fontId="3" fillId="0" borderId="28" xfId="0" applyFont="1" applyFill="1" applyBorder="1" applyAlignment="1">
      <alignment horizontal="center" vertical="center"/>
    </xf>
    <xf numFmtId="0" fontId="3" fillId="0" borderId="1" xfId="0" applyFont="1" applyBorder="1" applyAlignment="1">
      <alignment horizontal="left" vertical="center" wrapText="1"/>
    </xf>
    <xf numFmtId="0" fontId="17" fillId="0" borderId="37" xfId="2" applyFont="1" applyFill="1" applyBorder="1" applyAlignment="1">
      <alignment horizontal="center" vertical="center" wrapText="1"/>
    </xf>
    <xf numFmtId="0" fontId="9" fillId="0" borderId="37" xfId="0" applyFont="1" applyBorder="1" applyAlignment="1">
      <alignment horizontal="center" vertical="center" wrapText="1"/>
    </xf>
    <xf numFmtId="0" fontId="9" fillId="0" borderId="38" xfId="0" applyFont="1" applyBorder="1" applyAlignment="1">
      <alignment horizontal="center" vertical="center" wrapText="1"/>
    </xf>
    <xf numFmtId="0" fontId="18" fillId="4" borderId="0" xfId="2" applyFont="1" applyFill="1" applyBorder="1" applyAlignment="1">
      <alignment horizontal="left" vertical="center"/>
    </xf>
    <xf numFmtId="0" fontId="18" fillId="0" borderId="0" xfId="2" applyFont="1" applyFill="1" applyBorder="1" applyAlignment="1">
      <alignment horizontal="left" vertical="center"/>
    </xf>
    <xf numFmtId="0" fontId="18" fillId="0" borderId="0" xfId="0" applyFont="1" applyAlignment="1">
      <alignment horizontal="center"/>
    </xf>
    <xf numFmtId="0" fontId="18" fillId="0" borderId="0" xfId="0" applyFont="1" applyAlignment="1">
      <alignment horizontal="left"/>
    </xf>
    <xf numFmtId="0" fontId="10" fillId="8" borderId="50" xfId="2" applyBorder="1" applyAlignment="1">
      <alignment horizontal="center" vertical="center" wrapText="1"/>
    </xf>
    <xf numFmtId="0" fontId="9" fillId="0" borderId="24" xfId="0" applyFont="1" applyBorder="1" applyAlignment="1">
      <alignment horizontal="center" vertical="center"/>
    </xf>
    <xf numFmtId="0" fontId="9" fillId="0" borderId="1" xfId="0" applyFont="1" applyBorder="1" applyAlignment="1">
      <alignment horizontal="center" vertical="center"/>
    </xf>
    <xf numFmtId="0" fontId="9" fillId="0" borderId="28" xfId="0" applyFont="1" applyBorder="1" applyAlignment="1">
      <alignment horizontal="center" vertical="center"/>
    </xf>
    <xf numFmtId="0" fontId="3" fillId="0" borderId="1" xfId="0" applyFont="1" applyBorder="1" applyAlignment="1">
      <alignment horizontal="left" vertical="center" wrapText="1"/>
    </xf>
    <xf numFmtId="0" fontId="27" fillId="0" borderId="0" xfId="0" applyFont="1" applyBorder="1" applyAlignment="1">
      <alignment horizontal="center" vertical="center"/>
    </xf>
    <xf numFmtId="0" fontId="0" fillId="0" borderId="42" xfId="0" applyBorder="1" applyAlignment="1">
      <alignment horizontal="left"/>
    </xf>
    <xf numFmtId="0" fontId="0" fillId="0" borderId="33" xfId="0" applyFill="1" applyBorder="1"/>
    <xf numFmtId="0" fontId="0" fillId="0" borderId="8" xfId="0" applyFill="1" applyBorder="1"/>
    <xf numFmtId="0" fontId="0" fillId="0" borderId="27" xfId="0" applyFill="1" applyBorder="1"/>
    <xf numFmtId="0" fontId="0" fillId="0" borderId="8" xfId="0" applyBorder="1"/>
    <xf numFmtId="0" fontId="3" fillId="0" borderId="9" xfId="0" applyFont="1" applyBorder="1"/>
    <xf numFmtId="0" fontId="27" fillId="0" borderId="3" xfId="0" applyFont="1" applyBorder="1" applyAlignment="1">
      <alignment horizontal="center" vertical="center"/>
    </xf>
    <xf numFmtId="0" fontId="17" fillId="0" borderId="48" xfId="2" applyFont="1" applyFill="1" applyBorder="1" applyAlignment="1">
      <alignment horizontal="center" vertical="center" wrapText="1"/>
    </xf>
    <xf numFmtId="0" fontId="17" fillId="6" borderId="1" xfId="2" applyFont="1" applyFill="1" applyBorder="1" applyAlignment="1">
      <alignment horizontal="center" vertical="center" wrapText="1"/>
    </xf>
    <xf numFmtId="0" fontId="10" fillId="8" borderId="48" xfId="2" applyBorder="1" applyAlignment="1">
      <alignment horizontal="center" vertical="center"/>
    </xf>
    <xf numFmtId="0" fontId="10" fillId="8" borderId="72" xfId="2" applyBorder="1" applyAlignment="1">
      <alignment horizontal="center" vertical="center" wrapText="1"/>
    </xf>
    <xf numFmtId="0" fontId="3" fillId="4" borderId="1" xfId="2" applyFont="1" applyFill="1" applyBorder="1" applyAlignment="1">
      <alignment horizontal="center" vertical="center" wrapText="1"/>
    </xf>
    <xf numFmtId="0" fontId="0" fillId="6" borderId="1" xfId="0" applyFill="1" applyBorder="1" applyAlignment="1">
      <alignment horizontal="center" vertical="center"/>
    </xf>
    <xf numFmtId="0" fontId="18" fillId="0" borderId="0" xfId="0" applyFont="1" applyBorder="1"/>
    <xf numFmtId="0" fontId="18" fillId="0" borderId="0" xfId="0" applyFont="1" applyBorder="1" applyAlignment="1">
      <alignment horizontal="left" vertical="center"/>
    </xf>
    <xf numFmtId="0" fontId="18" fillId="0" borderId="0" xfId="0" applyFont="1" applyBorder="1" applyAlignment="1">
      <alignment horizontal="center" vertical="center"/>
    </xf>
    <xf numFmtId="0" fontId="3" fillId="0" borderId="1" xfId="0" applyFont="1" applyBorder="1" applyAlignment="1">
      <alignment vertical="top" wrapText="1"/>
    </xf>
    <xf numFmtId="0" fontId="3" fillId="6" borderId="1" xfId="0" applyFont="1" applyFill="1" applyBorder="1" applyAlignment="1">
      <alignment horizontal="left" vertical="top" wrapText="1"/>
    </xf>
    <xf numFmtId="0" fontId="3" fillId="6" borderId="1" xfId="0" applyFont="1" applyFill="1" applyBorder="1" applyAlignment="1">
      <alignment horizontal="left" vertical="top" wrapText="1"/>
    </xf>
    <xf numFmtId="0" fontId="3" fillId="6" borderId="1" xfId="0" applyFont="1" applyFill="1" applyBorder="1" applyAlignment="1">
      <alignment horizontal="left" vertical="top" wrapText="1"/>
    </xf>
    <xf numFmtId="0" fontId="18" fillId="6" borderId="0" xfId="0" applyFont="1" applyFill="1"/>
    <xf numFmtId="0" fontId="9" fillId="0" borderId="24" xfId="0" applyFont="1" applyBorder="1" applyAlignment="1">
      <alignment horizontal="center" vertical="center"/>
    </xf>
    <xf numFmtId="0" fontId="9" fillId="0" borderId="28" xfId="0" applyFont="1" applyBorder="1" applyAlignment="1">
      <alignment horizontal="center" vertical="center"/>
    </xf>
    <xf numFmtId="0" fontId="3" fillId="0" borderId="1" xfId="0" applyFont="1" applyBorder="1" applyAlignment="1">
      <alignment horizontal="left" vertical="center" wrapText="1"/>
    </xf>
    <xf numFmtId="0" fontId="2" fillId="7" borderId="1" xfId="0" applyFont="1" applyFill="1" applyBorder="1" applyAlignment="1">
      <alignment horizontal="left" vertical="top" wrapText="1"/>
    </xf>
    <xf numFmtId="0" fontId="2" fillId="7" borderId="1" xfId="0" applyFont="1" applyFill="1" applyBorder="1" applyAlignment="1">
      <alignment horizontal="left" vertical="top"/>
    </xf>
    <xf numFmtId="0" fontId="2" fillId="5" borderId="1" xfId="0" applyFont="1" applyFill="1" applyBorder="1" applyAlignment="1">
      <alignment horizontal="left" vertical="top" wrapText="1"/>
    </xf>
    <xf numFmtId="0" fontId="2" fillId="6" borderId="0" xfId="0" applyFont="1" applyFill="1" applyBorder="1" applyAlignment="1">
      <alignment horizontal="left" vertical="top" wrapText="1"/>
    </xf>
    <xf numFmtId="0" fontId="3" fillId="6" borderId="0" xfId="0" applyFont="1" applyFill="1" applyAlignment="1">
      <alignment horizontal="center"/>
    </xf>
    <xf numFmtId="0" fontId="4" fillId="6" borderId="1" xfId="0" applyFont="1" applyFill="1" applyBorder="1" applyAlignment="1">
      <alignment horizontal="center"/>
    </xf>
    <xf numFmtId="0" fontId="9" fillId="0" borderId="23" xfId="0" applyFont="1" applyBorder="1" applyAlignment="1">
      <alignment horizontal="center" vertical="center"/>
    </xf>
    <xf numFmtId="0" fontId="0" fillId="0" borderId="13" xfId="0" applyBorder="1" applyAlignment="1">
      <alignment horizontal="center" vertical="center"/>
    </xf>
    <xf numFmtId="0" fontId="0" fillId="0" borderId="30" xfId="0" applyBorder="1" applyAlignment="1">
      <alignment horizontal="center" vertical="center"/>
    </xf>
    <xf numFmtId="0" fontId="9" fillId="0" borderId="31" xfId="0" applyNumberFormat="1" applyFont="1" applyBorder="1" applyAlignment="1">
      <alignment horizontal="center" vertical="center"/>
    </xf>
    <xf numFmtId="0" fontId="0" fillId="0" borderId="34" xfId="0" applyBorder="1" applyAlignment="1">
      <alignment horizontal="center" vertical="center"/>
    </xf>
    <xf numFmtId="0" fontId="0" fillId="0" borderId="21" xfId="0" applyBorder="1" applyAlignment="1">
      <alignment horizontal="center" vertical="center"/>
    </xf>
    <xf numFmtId="0" fontId="3" fillId="0" borderId="23" xfId="0" applyFont="1" applyBorder="1" applyAlignment="1">
      <alignment horizontal="center" vertical="center"/>
    </xf>
    <xf numFmtId="0" fontId="0" fillId="0" borderId="23" xfId="0" applyBorder="1" applyAlignment="1">
      <alignment horizontal="center" vertical="center"/>
    </xf>
    <xf numFmtId="0" fontId="0" fillId="0" borderId="31" xfId="0" applyBorder="1" applyAlignment="1">
      <alignment horizontal="center" vertical="center"/>
    </xf>
    <xf numFmtId="0" fontId="9" fillId="0" borderId="24" xfId="0" applyFont="1" applyBorder="1" applyAlignment="1">
      <alignment horizontal="center" vertical="center"/>
    </xf>
    <xf numFmtId="0" fontId="9" fillId="0" borderId="1" xfId="0" applyFont="1" applyBorder="1" applyAlignment="1">
      <alignment horizontal="center" vertical="center"/>
    </xf>
    <xf numFmtId="0" fontId="9" fillId="0" borderId="28" xfId="0" applyFont="1" applyBorder="1" applyAlignment="1">
      <alignment horizontal="center" vertical="center"/>
    </xf>
    <xf numFmtId="0" fontId="9" fillId="0" borderId="25" xfId="0" applyNumberFormat="1" applyFont="1" applyBorder="1" applyAlignment="1">
      <alignment horizontal="center" vertical="center"/>
    </xf>
    <xf numFmtId="0" fontId="9" fillId="0" borderId="26" xfId="0" applyNumberFormat="1" applyFont="1" applyBorder="1" applyAlignment="1">
      <alignment horizontal="center" vertical="center"/>
    </xf>
    <xf numFmtId="0" fontId="9" fillId="0" borderId="29" xfId="0" applyNumberFormat="1" applyFont="1" applyBorder="1" applyAlignment="1">
      <alignment horizontal="center" vertical="center"/>
    </xf>
    <xf numFmtId="0" fontId="3" fillId="0" borderId="24" xfId="0" applyFont="1" applyFill="1" applyBorder="1" applyAlignment="1">
      <alignment horizontal="center" vertical="center"/>
    </xf>
    <xf numFmtId="0" fontId="3" fillId="0" borderId="28" xfId="0" applyFont="1" applyFill="1" applyBorder="1" applyAlignment="1">
      <alignment horizontal="center" vertical="center"/>
    </xf>
    <xf numFmtId="0" fontId="0" fillId="0" borderId="24" xfId="0" applyFill="1" applyBorder="1" applyAlignment="1">
      <alignment horizontal="center" vertical="center"/>
    </xf>
    <xf numFmtId="0" fontId="0" fillId="0" borderId="28" xfId="0" applyFill="1" applyBorder="1" applyAlignment="1">
      <alignment horizontal="center" vertical="center"/>
    </xf>
    <xf numFmtId="0" fontId="0" fillId="0" borderId="25" xfId="0" applyFill="1" applyBorder="1" applyAlignment="1">
      <alignment horizontal="center" vertical="center"/>
    </xf>
    <xf numFmtId="0" fontId="0" fillId="0" borderId="29" xfId="0" applyFill="1" applyBorder="1" applyAlignment="1">
      <alignment horizontal="center" vertical="center"/>
    </xf>
    <xf numFmtId="0" fontId="9" fillId="0" borderId="13" xfId="0" applyFont="1" applyBorder="1" applyAlignment="1">
      <alignment horizontal="center" vertical="center"/>
    </xf>
    <xf numFmtId="0" fontId="9" fillId="0" borderId="30" xfId="0" applyFont="1" applyBorder="1" applyAlignment="1">
      <alignment horizontal="center" vertical="center"/>
    </xf>
    <xf numFmtId="0" fontId="9" fillId="0" borderId="34" xfId="0" applyNumberFormat="1" applyFont="1" applyBorder="1" applyAlignment="1">
      <alignment horizontal="center" vertical="center"/>
    </xf>
    <xf numFmtId="0" fontId="9" fillId="0" borderId="21" xfId="0" applyNumberFormat="1" applyFont="1" applyBorder="1" applyAlignment="1">
      <alignment horizontal="center" vertical="center"/>
    </xf>
    <xf numFmtId="0" fontId="3" fillId="0" borderId="13" xfId="0" applyFont="1" applyBorder="1" applyAlignment="1">
      <alignment horizontal="center" vertical="center"/>
    </xf>
    <xf numFmtId="0" fontId="3" fillId="0" borderId="23" xfId="0" applyFont="1" applyFill="1" applyBorder="1" applyAlignment="1">
      <alignment horizontal="center" vertical="center"/>
    </xf>
    <xf numFmtId="0" fontId="3" fillId="0" borderId="13" xfId="0" applyFont="1" applyFill="1" applyBorder="1" applyAlignment="1">
      <alignment horizontal="center" vertical="center"/>
    </xf>
    <xf numFmtId="0" fontId="3" fillId="0" borderId="30" xfId="0" applyFont="1" applyFill="1" applyBorder="1" applyAlignment="1">
      <alignment horizontal="center" vertical="center"/>
    </xf>
    <xf numFmtId="0" fontId="0" fillId="0" borderId="23" xfId="0" applyFill="1" applyBorder="1" applyAlignment="1">
      <alignment horizontal="center" vertical="center"/>
    </xf>
    <xf numFmtId="0" fontId="0" fillId="0" borderId="13" xfId="0" applyFill="1" applyBorder="1" applyAlignment="1">
      <alignment horizontal="center" vertical="center"/>
    </xf>
    <xf numFmtId="0" fontId="0" fillId="0" borderId="30" xfId="0" applyFill="1" applyBorder="1" applyAlignment="1">
      <alignment horizontal="center" vertical="center"/>
    </xf>
    <xf numFmtId="0" fontId="0" fillId="0" borderId="31" xfId="0" applyFill="1" applyBorder="1" applyAlignment="1">
      <alignment horizontal="center" vertical="center"/>
    </xf>
    <xf numFmtId="0" fontId="0" fillId="0" borderId="34" xfId="0" applyFill="1" applyBorder="1" applyAlignment="1">
      <alignment horizontal="center" vertical="center"/>
    </xf>
    <xf numFmtId="0" fontId="0" fillId="0" borderId="21" xfId="0" applyFill="1" applyBorder="1" applyAlignment="1">
      <alignment horizontal="center" vertical="center"/>
    </xf>
    <xf numFmtId="0" fontId="3" fillId="0" borderId="31" xfId="0" applyNumberFormat="1" applyFont="1" applyBorder="1" applyAlignment="1">
      <alignment horizontal="center" vertical="center"/>
    </xf>
    <xf numFmtId="0" fontId="3" fillId="0" borderId="34" xfId="0" applyFont="1" applyBorder="1" applyAlignment="1">
      <alignment horizontal="center" vertical="center"/>
    </xf>
    <xf numFmtId="0" fontId="3" fillId="0" borderId="21" xfId="0" applyFont="1" applyBorder="1" applyAlignment="1">
      <alignment horizontal="center" vertical="center"/>
    </xf>
    <xf numFmtId="0" fontId="3" fillId="6" borderId="23" xfId="0" applyFont="1" applyFill="1" applyBorder="1" applyAlignment="1">
      <alignment horizontal="center" vertical="center"/>
    </xf>
    <xf numFmtId="0" fontId="0" fillId="6" borderId="13" xfId="0" applyFill="1" applyBorder="1" applyAlignment="1">
      <alignment horizontal="center" vertical="center"/>
    </xf>
    <xf numFmtId="0" fontId="0" fillId="6" borderId="30" xfId="0" applyFill="1" applyBorder="1" applyAlignment="1">
      <alignment horizontal="center" vertical="center"/>
    </xf>
    <xf numFmtId="0" fontId="0" fillId="6" borderId="23" xfId="0" applyFill="1" applyBorder="1" applyAlignment="1">
      <alignment horizontal="center" vertical="center"/>
    </xf>
    <xf numFmtId="0" fontId="0" fillId="6" borderId="31" xfId="0" applyFill="1" applyBorder="1" applyAlignment="1">
      <alignment horizontal="center" vertical="center"/>
    </xf>
    <xf numFmtId="0" fontId="0" fillId="6" borderId="34" xfId="0" applyFill="1" applyBorder="1" applyAlignment="1">
      <alignment horizontal="center" vertical="center"/>
    </xf>
    <xf numFmtId="0" fontId="0" fillId="6" borderId="21" xfId="0" applyFill="1" applyBorder="1" applyAlignment="1">
      <alignment horizontal="center" vertical="center"/>
    </xf>
    <xf numFmtId="0" fontId="3" fillId="0" borderId="34" xfId="0" applyNumberFormat="1" applyFont="1" applyBorder="1" applyAlignment="1">
      <alignment horizontal="center" vertical="center"/>
    </xf>
    <xf numFmtId="0" fontId="3" fillId="0" borderId="42" xfId="0" applyFont="1" applyBorder="1" applyAlignment="1">
      <alignment horizontal="center" vertical="center"/>
    </xf>
    <xf numFmtId="0" fontId="3" fillId="0" borderId="44" xfId="0" applyFont="1" applyBorder="1" applyAlignment="1">
      <alignment horizontal="center" vertical="center"/>
    </xf>
    <xf numFmtId="0" fontId="3" fillId="0" borderId="43" xfId="0" applyFont="1" applyBorder="1" applyAlignment="1">
      <alignment horizontal="center" vertical="center"/>
    </xf>
    <xf numFmtId="0" fontId="30" fillId="10" borderId="4" xfId="0" applyFont="1" applyFill="1" applyBorder="1" applyAlignment="1">
      <alignment horizontal="center"/>
    </xf>
    <xf numFmtId="0" fontId="30" fillId="10" borderId="41" xfId="0" applyFont="1" applyFill="1" applyBorder="1" applyAlignment="1">
      <alignment horizontal="center"/>
    </xf>
    <xf numFmtId="0" fontId="30" fillId="10" borderId="40" xfId="0" applyFont="1" applyFill="1" applyBorder="1" applyAlignment="1">
      <alignment horizontal="center"/>
    </xf>
    <xf numFmtId="0" fontId="3" fillId="0" borderId="42" xfId="0" applyFont="1" applyFill="1" applyBorder="1" applyAlignment="1">
      <alignment horizontal="center" vertical="center"/>
    </xf>
    <xf numFmtId="0" fontId="3" fillId="0" borderId="44" xfId="0" applyFont="1" applyFill="1" applyBorder="1" applyAlignment="1">
      <alignment horizontal="center" vertical="center"/>
    </xf>
    <xf numFmtId="0" fontId="3" fillId="0" borderId="43" xfId="0" applyFont="1" applyFill="1" applyBorder="1" applyAlignment="1">
      <alignment horizontal="center" vertical="center"/>
    </xf>
    <xf numFmtId="0" fontId="3" fillId="0" borderId="31" xfId="0" applyFont="1" applyFill="1" applyBorder="1" applyAlignment="1">
      <alignment horizontal="center" vertical="center"/>
    </xf>
    <xf numFmtId="0" fontId="3" fillId="0" borderId="34" xfId="0" applyFont="1" applyFill="1" applyBorder="1" applyAlignment="1">
      <alignment horizontal="center" vertical="center"/>
    </xf>
    <xf numFmtId="0" fontId="3" fillId="0" borderId="21" xfId="0" applyFont="1" applyFill="1" applyBorder="1" applyAlignment="1">
      <alignment horizontal="center" vertical="center"/>
    </xf>
    <xf numFmtId="0" fontId="3" fillId="6" borderId="24" xfId="0" applyFont="1" applyFill="1" applyBorder="1" applyAlignment="1">
      <alignment horizontal="center" vertical="center"/>
    </xf>
    <xf numFmtId="0" fontId="0" fillId="6" borderId="1" xfId="0" applyFill="1" applyBorder="1" applyAlignment="1">
      <alignment horizontal="center" vertical="center"/>
    </xf>
    <xf numFmtId="0" fontId="0" fillId="6" borderId="28" xfId="0" applyFill="1" applyBorder="1" applyAlignment="1">
      <alignment horizontal="center" vertical="center"/>
    </xf>
    <xf numFmtId="0" fontId="0" fillId="6" borderId="24" xfId="0" applyFill="1" applyBorder="1" applyAlignment="1">
      <alignment horizontal="center" vertical="center"/>
    </xf>
    <xf numFmtId="0" fontId="0" fillId="6" borderId="25" xfId="0" applyFill="1" applyBorder="1" applyAlignment="1">
      <alignment horizontal="center" vertical="center"/>
    </xf>
    <xf numFmtId="0" fontId="0" fillId="6" borderId="26" xfId="0" applyFill="1" applyBorder="1" applyAlignment="1">
      <alignment horizontal="center" vertical="center"/>
    </xf>
    <xf numFmtId="0" fontId="0" fillId="6" borderId="29" xfId="0" applyFill="1" applyBorder="1" applyAlignment="1">
      <alignment horizontal="center" vertical="center"/>
    </xf>
    <xf numFmtId="0" fontId="3" fillId="0" borderId="25" xfId="0" applyNumberFormat="1" applyFont="1" applyBorder="1" applyAlignment="1">
      <alignment horizontal="center" vertical="center"/>
    </xf>
    <xf numFmtId="0" fontId="3" fillId="0" borderId="26" xfId="0" applyNumberFormat="1" applyFont="1" applyBorder="1" applyAlignment="1">
      <alignment horizontal="center" vertical="center"/>
    </xf>
    <xf numFmtId="0" fontId="3" fillId="0" borderId="29" xfId="0" applyNumberFormat="1" applyFont="1" applyBorder="1" applyAlignment="1">
      <alignment horizontal="center" vertical="center"/>
    </xf>
    <xf numFmtId="0" fontId="3" fillId="0" borderId="1" xfId="0" applyFont="1" applyBorder="1" applyAlignment="1">
      <alignment horizontal="left" vertical="center"/>
    </xf>
    <xf numFmtId="0" fontId="0" fillId="0" borderId="1" xfId="0" applyBorder="1" applyAlignment="1">
      <alignment horizontal="left" vertical="center"/>
    </xf>
    <xf numFmtId="0" fontId="3" fillId="0" borderId="1" xfId="0" applyFont="1" applyBorder="1" applyAlignment="1">
      <alignment horizontal="left" vertical="center" wrapText="1"/>
    </xf>
    <xf numFmtId="0" fontId="0" fillId="0" borderId="1" xfId="0" applyBorder="1" applyAlignment="1">
      <alignment horizontal="left" vertical="center" wrapText="1"/>
    </xf>
    <xf numFmtId="0" fontId="9" fillId="6" borderId="1" xfId="0" applyFont="1" applyFill="1" applyBorder="1" applyAlignment="1">
      <alignment horizontal="center" vertical="center" wrapText="1"/>
    </xf>
    <xf numFmtId="0" fontId="8" fillId="0" borderId="4" xfId="0" applyFont="1" applyBorder="1" applyAlignment="1">
      <alignment horizontal="center" vertical="center" wrapText="1"/>
    </xf>
    <xf numFmtId="0" fontId="8" fillId="0" borderId="41" xfId="0" applyFont="1" applyBorder="1" applyAlignment="1">
      <alignment horizontal="center" vertical="center" wrapText="1"/>
    </xf>
    <xf numFmtId="0" fontId="8" fillId="0" borderId="40" xfId="0" applyFont="1" applyBorder="1" applyAlignment="1">
      <alignment horizontal="center" vertical="center" wrapText="1"/>
    </xf>
    <xf numFmtId="0" fontId="9" fillId="0" borderId="52" xfId="0" applyFont="1" applyBorder="1" applyAlignment="1">
      <alignment horizontal="center" vertical="center"/>
    </xf>
    <xf numFmtId="0" fontId="0" fillId="0" borderId="51" xfId="0" applyBorder="1" applyAlignment="1">
      <alignment horizontal="center" vertical="center"/>
    </xf>
    <xf numFmtId="0" fontId="0" fillId="0" borderId="53" xfId="0" applyBorder="1" applyAlignment="1">
      <alignment horizontal="center" vertical="center"/>
    </xf>
    <xf numFmtId="0" fontId="9" fillId="0" borderId="54" xfId="0" applyNumberFormat="1" applyFont="1" applyBorder="1" applyAlignment="1">
      <alignment horizontal="center" vertical="center"/>
    </xf>
    <xf numFmtId="0" fontId="0" fillId="0" borderId="55" xfId="0" applyBorder="1" applyAlignment="1">
      <alignment horizontal="center" vertical="center"/>
    </xf>
    <xf numFmtId="0" fontId="0" fillId="0" borderId="56" xfId="0" applyBorder="1" applyAlignment="1">
      <alignment horizontal="center" vertical="center"/>
    </xf>
    <xf numFmtId="0" fontId="1" fillId="0" borderId="0" xfId="0" applyFont="1" applyFill="1" applyBorder="1" applyAlignment="1">
      <alignment wrapText="1"/>
    </xf>
    <xf numFmtId="0" fontId="0" fillId="0" borderId="0" xfId="0" applyAlignment="1">
      <alignment wrapText="1"/>
    </xf>
    <xf numFmtId="0" fontId="10" fillId="8" borderId="22" xfId="2" applyBorder="1" applyAlignment="1">
      <alignment horizontal="center"/>
    </xf>
    <xf numFmtId="0" fontId="10" fillId="8" borderId="39" xfId="2" applyBorder="1" applyAlignment="1">
      <alignment horizontal="center"/>
    </xf>
    <xf numFmtId="0" fontId="15" fillId="0" borderId="0" xfId="2" applyFont="1" applyFill="1" applyBorder="1" applyAlignment="1">
      <alignment horizontal="center"/>
    </xf>
    <xf numFmtId="0" fontId="3" fillId="0" borderId="0" xfId="0" applyFont="1" applyBorder="1" applyAlignment="1">
      <alignment horizontal="center"/>
    </xf>
    <xf numFmtId="0" fontId="2" fillId="0" borderId="0" xfId="0" applyFont="1" applyBorder="1" applyAlignment="1">
      <alignment horizontal="center" vertical="center"/>
    </xf>
    <xf numFmtId="0" fontId="2" fillId="0" borderId="0" xfId="0" applyFont="1" applyAlignment="1">
      <alignment horizontal="center"/>
    </xf>
    <xf numFmtId="0" fontId="3" fillId="5" borderId="1" xfId="0" applyFont="1" applyFill="1" applyBorder="1" applyAlignment="1">
      <alignment horizontal="center"/>
    </xf>
    <xf numFmtId="0" fontId="3" fillId="5" borderId="26" xfId="0" applyFont="1" applyFill="1" applyBorder="1" applyAlignment="1">
      <alignment horizontal="center"/>
    </xf>
    <xf numFmtId="0" fontId="3" fillId="6" borderId="11" xfId="1" applyFont="1" applyFill="1" applyBorder="1" applyAlignment="1">
      <alignment horizontal="center"/>
    </xf>
    <xf numFmtId="0" fontId="3" fillId="6" borderId="12" xfId="1" applyFont="1" applyFill="1" applyBorder="1" applyAlignment="1">
      <alignment horizontal="center"/>
    </xf>
    <xf numFmtId="0" fontId="17" fillId="0" borderId="67" xfId="2" applyFont="1" applyFill="1" applyBorder="1" applyAlignment="1">
      <alignment horizontal="center"/>
    </xf>
    <xf numFmtId="0" fontId="17" fillId="0" borderId="68" xfId="2" applyFont="1" applyFill="1" applyBorder="1" applyAlignment="1">
      <alignment horizontal="center"/>
    </xf>
    <xf numFmtId="0" fontId="10" fillId="8" borderId="69" xfId="2" applyBorder="1" applyAlignment="1">
      <alignment horizontal="center"/>
    </xf>
    <xf numFmtId="0" fontId="10" fillId="8" borderId="63" xfId="2" applyBorder="1" applyAlignment="1">
      <alignment horizontal="center"/>
    </xf>
    <xf numFmtId="0" fontId="17" fillId="0" borderId="70" xfId="2" applyFont="1" applyFill="1" applyBorder="1" applyAlignment="1">
      <alignment horizontal="center"/>
    </xf>
    <xf numFmtId="0" fontId="17" fillId="0" borderId="71" xfId="2" applyFont="1" applyFill="1" applyBorder="1" applyAlignment="1">
      <alignment horizontal="center"/>
    </xf>
    <xf numFmtId="0" fontId="3" fillId="0" borderId="0" xfId="0" applyFont="1" applyFill="1" applyBorder="1" applyAlignment="1">
      <alignment horizontal="center"/>
    </xf>
    <xf numFmtId="0" fontId="15" fillId="7" borderId="1" xfId="0" applyFont="1" applyFill="1" applyBorder="1" applyAlignment="1">
      <alignment horizontal="left" vertical="top" wrapText="1"/>
    </xf>
    <xf numFmtId="0" fontId="3" fillId="7" borderId="1" xfId="0" applyFont="1" applyFill="1" applyBorder="1" applyAlignment="1">
      <alignment horizontal="left" vertical="top" wrapText="1"/>
    </xf>
    <xf numFmtId="0" fontId="0" fillId="7" borderId="1" xfId="0" applyFill="1" applyBorder="1" applyAlignment="1">
      <alignment horizontal="left" vertical="top" wrapText="1"/>
    </xf>
    <xf numFmtId="0" fontId="3" fillId="5" borderId="1" xfId="0" applyFont="1" applyFill="1" applyBorder="1" applyAlignment="1">
      <alignment horizontal="left" vertical="top" wrapText="1"/>
    </xf>
    <xf numFmtId="0" fontId="2" fillId="7" borderId="1" xfId="0" applyFont="1" applyFill="1" applyBorder="1" applyAlignment="1">
      <alignment horizontal="center"/>
    </xf>
    <xf numFmtId="0" fontId="13" fillId="6" borderId="0" xfId="0" applyFont="1" applyFill="1" applyBorder="1" applyAlignment="1">
      <alignment horizontal="center" wrapText="1"/>
    </xf>
    <xf numFmtId="0" fontId="3" fillId="5" borderId="11" xfId="1" applyFont="1" applyFill="1" applyBorder="1" applyAlignment="1">
      <alignment horizontal="center"/>
    </xf>
    <xf numFmtId="0" fontId="3" fillId="5" borderId="12" xfId="1" applyFont="1" applyFill="1" applyBorder="1" applyAlignment="1">
      <alignment horizontal="center"/>
    </xf>
    <xf numFmtId="0" fontId="17" fillId="5" borderId="22" xfId="1" applyFont="1" applyFill="1" applyBorder="1" applyAlignment="1">
      <alignment horizontal="center"/>
    </xf>
    <xf numFmtId="0" fontId="17" fillId="5" borderId="39" xfId="1" applyFont="1" applyFill="1" applyBorder="1" applyAlignment="1">
      <alignment horizontal="center"/>
    </xf>
    <xf numFmtId="0" fontId="0" fillId="0" borderId="0" xfId="0" applyBorder="1" applyAlignment="1">
      <alignment wrapText="1"/>
    </xf>
    <xf numFmtId="0" fontId="12" fillId="0" borderId="0" xfId="0" applyFont="1" applyBorder="1" applyAlignment="1">
      <alignment horizontal="left" vertical="center" wrapText="1"/>
    </xf>
    <xf numFmtId="0" fontId="3" fillId="6" borderId="8" xfId="0" applyFont="1" applyFill="1" applyBorder="1" applyAlignment="1">
      <alignment horizontal="left" vertical="center" wrapText="1"/>
    </xf>
    <xf numFmtId="0" fontId="3" fillId="6" borderId="9" xfId="0" applyFont="1" applyFill="1" applyBorder="1" applyAlignment="1">
      <alignment horizontal="left" vertical="center" wrapText="1"/>
    </xf>
    <xf numFmtId="0" fontId="0" fillId="5" borderId="19" xfId="0" applyFill="1" applyBorder="1" applyAlignment="1">
      <alignment horizontal="center"/>
    </xf>
    <xf numFmtId="0" fontId="0" fillId="5" borderId="20" xfId="0" applyFill="1" applyBorder="1" applyAlignment="1">
      <alignment horizontal="center"/>
    </xf>
    <xf numFmtId="0" fontId="0" fillId="7" borderId="19" xfId="0" applyFill="1" applyBorder="1" applyAlignment="1">
      <alignment horizontal="center"/>
    </xf>
    <xf numFmtId="0" fontId="0" fillId="7" borderId="20" xfId="0" applyFill="1" applyBorder="1" applyAlignment="1">
      <alignment horizontal="center"/>
    </xf>
    <xf numFmtId="0" fontId="0" fillId="4" borderId="19" xfId="0" applyFill="1" applyBorder="1" applyAlignment="1">
      <alignment horizontal="center"/>
    </xf>
    <xf numFmtId="0" fontId="0" fillId="4" borderId="21" xfId="0" applyFill="1" applyBorder="1" applyAlignment="1">
      <alignment horizontal="center"/>
    </xf>
    <xf numFmtId="0" fontId="3" fillId="0" borderId="14" xfId="0" applyFont="1" applyBorder="1" applyAlignment="1">
      <alignment horizontal="left" vertical="center" wrapText="1"/>
    </xf>
    <xf numFmtId="0" fontId="0" fillId="0" borderId="15" xfId="0" applyBorder="1" applyAlignment="1">
      <alignment wrapText="1"/>
    </xf>
    <xf numFmtId="0" fontId="0" fillId="0" borderId="14" xfId="0" applyBorder="1" applyAlignment="1">
      <alignment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49" fontId="3" fillId="5" borderId="11" xfId="1" applyNumberFormat="1" applyFont="1" applyFill="1" applyBorder="1" applyAlignment="1">
      <alignment horizontal="center"/>
    </xf>
    <xf numFmtId="49" fontId="3" fillId="5" borderId="12" xfId="1" applyNumberFormat="1" applyFont="1" applyFill="1" applyBorder="1" applyAlignment="1">
      <alignment horizontal="center"/>
    </xf>
    <xf numFmtId="0" fontId="2" fillId="0" borderId="1" xfId="0" applyFont="1" applyFill="1" applyBorder="1" applyAlignment="1">
      <alignment horizontal="center"/>
    </xf>
    <xf numFmtId="0" fontId="2" fillId="0" borderId="26" xfId="0" applyFont="1" applyFill="1" applyBorder="1" applyAlignment="1">
      <alignment horizontal="center"/>
    </xf>
    <xf numFmtId="0" fontId="10" fillId="8" borderId="65" xfId="2" applyBorder="1" applyAlignment="1">
      <alignment horizontal="center"/>
    </xf>
    <xf numFmtId="0" fontId="10" fillId="8" borderId="66" xfId="2" applyBorder="1" applyAlignment="1">
      <alignment horizontal="center"/>
    </xf>
    <xf numFmtId="0" fontId="3" fillId="5" borderId="57" xfId="1" applyFont="1" applyFill="1" applyBorder="1" applyAlignment="1">
      <alignment horizontal="center"/>
    </xf>
    <xf numFmtId="0" fontId="3" fillId="5" borderId="58" xfId="1" applyFont="1" applyFill="1" applyBorder="1" applyAlignment="1">
      <alignment horizontal="center"/>
    </xf>
    <xf numFmtId="0" fontId="2" fillId="5" borderId="1" xfId="0" applyFont="1" applyFill="1" applyBorder="1" applyAlignment="1">
      <alignment horizontal="center"/>
    </xf>
    <xf numFmtId="0" fontId="9" fillId="0" borderId="52" xfId="0" applyNumberFormat="1" applyFont="1" applyBorder="1" applyAlignment="1">
      <alignment horizontal="center" vertical="center"/>
    </xf>
    <xf numFmtId="0" fontId="9" fillId="0" borderId="51" xfId="0" applyNumberFormat="1" applyFont="1" applyBorder="1" applyAlignment="1">
      <alignment horizontal="center" vertical="center"/>
    </xf>
    <xf numFmtId="0" fontId="9" fillId="0" borderId="53" xfId="0" applyNumberFormat="1" applyFont="1" applyBorder="1" applyAlignment="1">
      <alignment horizontal="center" vertical="center"/>
    </xf>
    <xf numFmtId="0" fontId="22" fillId="6" borderId="14" xfId="0" applyFont="1" applyFill="1" applyBorder="1" applyAlignment="1">
      <alignment horizontal="left" vertical="center" wrapText="1"/>
    </xf>
    <xf numFmtId="0" fontId="2" fillId="9" borderId="4" xfId="0" applyFont="1" applyFill="1" applyBorder="1" applyAlignment="1">
      <alignment horizontal="center"/>
    </xf>
    <xf numFmtId="0" fontId="2" fillId="9" borderId="41" xfId="0" applyFont="1" applyFill="1" applyBorder="1" applyAlignment="1">
      <alignment horizontal="center"/>
    </xf>
    <xf numFmtId="0" fontId="2" fillId="9" borderId="40" xfId="0" applyFont="1" applyFill="1" applyBorder="1" applyAlignment="1">
      <alignment horizontal="center"/>
    </xf>
    <xf numFmtId="0" fontId="0" fillId="0" borderId="1" xfId="0" applyBorder="1" applyAlignment="1">
      <alignment horizontal="center" vertical="center"/>
    </xf>
    <xf numFmtId="0" fontId="0" fillId="0" borderId="28" xfId="0" applyBorder="1" applyAlignment="1">
      <alignment horizontal="center" vertical="center"/>
    </xf>
    <xf numFmtId="0" fontId="0" fillId="0" borderId="26" xfId="0" applyBorder="1" applyAlignment="1">
      <alignment horizontal="center" vertical="center"/>
    </xf>
    <xf numFmtId="0" fontId="0" fillId="0" borderId="29" xfId="0" applyBorder="1" applyAlignment="1">
      <alignment horizontal="center" vertical="center"/>
    </xf>
    <xf numFmtId="0" fontId="13" fillId="2" borderId="0" xfId="0" applyFont="1" applyFill="1" applyAlignment="1">
      <alignment horizontal="right"/>
    </xf>
    <xf numFmtId="0" fontId="13" fillId="2" borderId="1" xfId="0" applyFont="1" applyFill="1" applyBorder="1" applyAlignment="1">
      <alignment horizontal="left"/>
    </xf>
    <xf numFmtId="0" fontId="9" fillId="0" borderId="24" xfId="0" applyFont="1" applyBorder="1" applyAlignment="1">
      <alignment horizontal="center" vertical="center" wrapText="1"/>
    </xf>
    <xf numFmtId="0" fontId="9" fillId="0" borderId="2" xfId="0" applyFont="1" applyBorder="1" applyAlignment="1">
      <alignment horizontal="center" vertical="center" wrapText="1"/>
    </xf>
    <xf numFmtId="0" fontId="9" fillId="0" borderId="1" xfId="0" applyFont="1" applyBorder="1" applyAlignment="1">
      <alignment horizontal="center" vertical="center" wrapText="1"/>
    </xf>
    <xf numFmtId="0" fontId="9" fillId="0" borderId="28" xfId="0" applyFont="1" applyBorder="1" applyAlignment="1">
      <alignment horizontal="center" vertical="center" wrapText="1"/>
    </xf>
    <xf numFmtId="0" fontId="9" fillId="0" borderId="7" xfId="0" applyFont="1" applyBorder="1" applyAlignment="1">
      <alignment horizontal="center" vertical="center" wrapText="1"/>
    </xf>
    <xf numFmtId="0" fontId="9" fillId="0" borderId="15" xfId="0" applyFont="1" applyBorder="1" applyAlignment="1">
      <alignment horizontal="center" vertical="center" wrapText="1"/>
    </xf>
    <xf numFmtId="0" fontId="9" fillId="0" borderId="18" xfId="0" applyFont="1" applyBorder="1" applyAlignment="1">
      <alignment horizontal="center" vertical="center" wrapText="1"/>
    </xf>
    <xf numFmtId="0" fontId="9" fillId="6" borderId="14" xfId="0" applyFont="1" applyFill="1" applyBorder="1" applyAlignment="1">
      <alignment vertical="center" wrapText="1"/>
    </xf>
    <xf numFmtId="0" fontId="9" fillId="6" borderId="0" xfId="0" applyFont="1" applyFill="1" applyAlignment="1">
      <alignment vertical="center" wrapText="1"/>
    </xf>
    <xf numFmtId="0" fontId="9" fillId="0" borderId="31" xfId="0" applyNumberFormat="1" applyFont="1" applyFill="1" applyBorder="1" applyAlignment="1">
      <alignment horizontal="center" vertical="center"/>
    </xf>
    <xf numFmtId="0" fontId="9" fillId="0" borderId="23" xfId="0" applyFont="1" applyFill="1" applyBorder="1" applyAlignment="1">
      <alignment horizontal="center" vertical="center"/>
    </xf>
    <xf numFmtId="0" fontId="0" fillId="6" borderId="0" xfId="0" applyFill="1" applyBorder="1" applyAlignment="1">
      <alignment horizontal="left" vertical="center" wrapText="1"/>
    </xf>
    <xf numFmtId="0" fontId="30" fillId="11" borderId="4" xfId="0" applyFont="1" applyFill="1" applyBorder="1" applyAlignment="1">
      <alignment horizontal="center"/>
    </xf>
    <xf numFmtId="0" fontId="30" fillId="11" borderId="41" xfId="0" applyFont="1" applyFill="1" applyBorder="1" applyAlignment="1">
      <alignment horizontal="center"/>
    </xf>
    <xf numFmtId="0" fontId="30" fillId="11" borderId="40" xfId="0" applyFont="1" applyFill="1" applyBorder="1" applyAlignment="1">
      <alignment horizontal="center"/>
    </xf>
    <xf numFmtId="0" fontId="9" fillId="6" borderId="0" xfId="0" applyFont="1" applyFill="1" applyBorder="1" applyAlignment="1">
      <alignment horizontal="center" vertical="center"/>
    </xf>
    <xf numFmtId="0" fontId="2" fillId="0" borderId="4" xfId="0" applyFont="1" applyFill="1" applyBorder="1" applyAlignment="1">
      <alignment wrapText="1"/>
    </xf>
    <xf numFmtId="0" fontId="0" fillId="0" borderId="41" xfId="0" applyFill="1" applyBorder="1" applyAlignment="1"/>
    <xf numFmtId="0" fontId="0" fillId="0" borderId="40" xfId="0" applyFill="1" applyBorder="1" applyAlignment="1"/>
    <xf numFmtId="0" fontId="24" fillId="0" borderId="0" xfId="0" applyFont="1" applyBorder="1" applyAlignment="1">
      <alignment horizontal="center" wrapText="1"/>
    </xf>
    <xf numFmtId="0" fontId="0" fillId="0" borderId="5" xfId="0" applyBorder="1" applyAlignment="1">
      <alignment horizontal="center"/>
    </xf>
    <xf numFmtId="0" fontId="0" fillId="0" borderId="6" xfId="0" applyBorder="1" applyAlignment="1">
      <alignment horizontal="center"/>
    </xf>
    <xf numFmtId="0" fontId="0" fillId="0" borderId="4" xfId="0" applyBorder="1" applyAlignment="1">
      <alignment horizontal="center"/>
    </xf>
    <xf numFmtId="0" fontId="0" fillId="0" borderId="41" xfId="0" applyBorder="1" applyAlignment="1">
      <alignment horizontal="center"/>
    </xf>
    <xf numFmtId="0" fontId="0" fillId="0" borderId="40" xfId="0" applyBorder="1" applyAlignment="1">
      <alignment horizontal="center"/>
    </xf>
    <xf numFmtId="0" fontId="25" fillId="0" borderId="61" xfId="0" applyFont="1" applyBorder="1" applyAlignment="1">
      <alignment horizontal="center" vertical="center" wrapText="1"/>
    </xf>
    <xf numFmtId="0" fontId="25" fillId="0" borderId="62" xfId="0" applyFont="1" applyBorder="1" applyAlignment="1">
      <alignment horizontal="center" vertical="center" wrapText="1"/>
    </xf>
    <xf numFmtId="0" fontId="25" fillId="0" borderId="63" xfId="0" applyFont="1" applyBorder="1" applyAlignment="1">
      <alignment horizontal="center" vertical="center" wrapText="1"/>
    </xf>
    <xf numFmtId="0" fontId="27" fillId="0" borderId="4" xfId="0" applyFont="1" applyBorder="1" applyAlignment="1">
      <alignment horizontal="center" vertical="center"/>
    </xf>
    <xf numFmtId="0" fontId="0" fillId="0" borderId="41" xfId="0" applyBorder="1" applyAlignment="1">
      <alignment horizontal="center" vertical="center"/>
    </xf>
    <xf numFmtId="0" fontId="0" fillId="0" borderId="40" xfId="0" applyBorder="1" applyAlignment="1">
      <alignment horizontal="center" vertical="center"/>
    </xf>
    <xf numFmtId="0" fontId="26" fillId="0" borderId="23" xfId="0" applyFont="1" applyBorder="1" applyAlignment="1">
      <alignment horizontal="center"/>
    </xf>
    <xf numFmtId="0" fontId="26" fillId="0" borderId="31" xfId="0" applyFont="1" applyBorder="1" applyAlignment="1">
      <alignment horizontal="center"/>
    </xf>
    <xf numFmtId="0" fontId="26" fillId="0" borderId="24" xfId="0" applyFont="1" applyFill="1" applyBorder="1" applyAlignment="1">
      <alignment horizontal="center"/>
    </xf>
    <xf numFmtId="0" fontId="26" fillId="0" borderId="25" xfId="0" applyFont="1" applyFill="1" applyBorder="1" applyAlignment="1">
      <alignment horizontal="center"/>
    </xf>
    <xf numFmtId="0" fontId="26" fillId="0" borderId="1" xfId="0" applyFont="1" applyFill="1" applyBorder="1" applyAlignment="1">
      <alignment horizontal="center"/>
    </xf>
    <xf numFmtId="0" fontId="26" fillId="0" borderId="26" xfId="0" applyFont="1" applyFill="1" applyBorder="1" applyAlignment="1">
      <alignment horizontal="center"/>
    </xf>
    <xf numFmtId="0" fontId="26" fillId="0" borderId="28" xfId="0" applyFont="1" applyFill="1" applyBorder="1" applyAlignment="1">
      <alignment horizontal="center"/>
    </xf>
    <xf numFmtId="0" fontId="26" fillId="0" borderId="29" xfId="0" applyFont="1" applyFill="1" applyBorder="1" applyAlignment="1">
      <alignment horizontal="center"/>
    </xf>
    <xf numFmtId="0" fontId="26" fillId="0" borderId="2" xfId="0" applyFont="1" applyFill="1" applyBorder="1" applyAlignment="1">
      <alignment horizontal="center"/>
    </xf>
    <xf numFmtId="0" fontId="26" fillId="0" borderId="20" xfId="0" applyFont="1" applyFill="1" applyBorder="1" applyAlignment="1">
      <alignment horizontal="center"/>
    </xf>
    <xf numFmtId="0" fontId="26" fillId="0" borderId="10" xfId="0" applyFont="1" applyFill="1" applyBorder="1" applyAlignment="1">
      <alignment horizontal="center"/>
    </xf>
    <xf numFmtId="0" fontId="26" fillId="0" borderId="19" xfId="0" applyFont="1" applyFill="1" applyBorder="1" applyAlignment="1">
      <alignment horizontal="center"/>
    </xf>
    <xf numFmtId="0" fontId="26" fillId="0" borderId="1" xfId="0" applyFont="1" applyBorder="1" applyAlignment="1">
      <alignment horizontal="center"/>
    </xf>
    <xf numFmtId="0" fontId="26" fillId="0" borderId="26" xfId="0" applyFont="1" applyBorder="1" applyAlignment="1">
      <alignment horizontal="center"/>
    </xf>
    <xf numFmtId="0" fontId="26" fillId="0" borderId="28" xfId="0" applyFont="1" applyBorder="1" applyAlignment="1">
      <alignment horizontal="center"/>
    </xf>
    <xf numFmtId="0" fontId="26" fillId="0" borderId="29" xfId="0" applyFont="1" applyBorder="1" applyAlignment="1">
      <alignment horizontal="center"/>
    </xf>
  </cellXfs>
  <cellStyles count="5">
    <cellStyle name="Calculation" xfId="2" builtinId="22"/>
    <cellStyle name="Good" xfId="4" builtinId="26"/>
    <cellStyle name="Input" xfId="1" builtinId="20"/>
    <cellStyle name="Normal" xfId="0" builtinId="0"/>
    <cellStyle name="Normal 2" xfId="3" xr:uid="{00000000-0005-0000-0000-000002000000}"/>
  </cellStyles>
  <dxfs count="2">
    <dxf>
      <fill>
        <patternFill>
          <fgColor rgb="FF00FA71"/>
          <bgColor rgb="FF00F26D"/>
        </patternFill>
      </fill>
    </dxf>
    <dxf>
      <fill>
        <patternFill>
          <fgColor rgb="FFFF3B3B"/>
          <bgColor rgb="FFFF2D2D"/>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590550</xdr:colOff>
      <xdr:row>35</xdr:row>
      <xdr:rowOff>185399</xdr:rowOff>
    </xdr:from>
    <xdr:to>
      <xdr:col>1</xdr:col>
      <xdr:colOff>6705600</xdr:colOff>
      <xdr:row>48</xdr:row>
      <xdr:rowOff>66675</xdr:rowOff>
    </xdr:to>
    <xdr:pic>
      <xdr:nvPicPr>
        <xdr:cNvPr id="6" name="Picture 4">
          <a:extLst>
            <a:ext uri="{FF2B5EF4-FFF2-40B4-BE49-F238E27FC236}">
              <a16:creationId xmlns:a16="http://schemas.microsoft.com/office/drawing/2014/main" id="{00000000-0008-0000-0000-000006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590550" y="4604999"/>
          <a:ext cx="6724650" cy="2014876"/>
        </a:xfrm>
        <a:prstGeom prst="rect">
          <a:avLst/>
        </a:prstGeom>
        <a:noFill/>
      </xdr:spPr>
    </xdr:pic>
    <xdr:clientData/>
  </xdr:twoCellAnchor>
  <xdr:twoCellAnchor editAs="oneCell">
    <xdr:from>
      <xdr:col>1</xdr:col>
      <xdr:colOff>28575</xdr:colOff>
      <xdr:row>6</xdr:row>
      <xdr:rowOff>171450</xdr:rowOff>
    </xdr:from>
    <xdr:to>
      <xdr:col>1</xdr:col>
      <xdr:colOff>6504765</xdr:colOff>
      <xdr:row>8</xdr:row>
      <xdr:rowOff>28545</xdr:rowOff>
    </xdr:to>
    <xdr:pic>
      <xdr:nvPicPr>
        <xdr:cNvPr id="3" name="Picture 2">
          <a:extLst>
            <a:ext uri="{FF2B5EF4-FFF2-40B4-BE49-F238E27FC236}">
              <a16:creationId xmlns:a16="http://schemas.microsoft.com/office/drawing/2014/main" id="{18F88915-6C25-4371-BA7A-D62436308612}"/>
            </a:ext>
          </a:extLst>
        </xdr:cNvPr>
        <xdr:cNvPicPr>
          <a:picLocks noChangeAspect="1"/>
        </xdr:cNvPicPr>
      </xdr:nvPicPr>
      <xdr:blipFill>
        <a:blip xmlns:r="http://schemas.openxmlformats.org/officeDocument/2006/relationships" r:embed="rId2"/>
        <a:stretch>
          <a:fillRect/>
        </a:stretch>
      </xdr:blipFill>
      <xdr:spPr>
        <a:xfrm>
          <a:off x="638175" y="1314450"/>
          <a:ext cx="6476190" cy="238095"/>
        </a:xfrm>
        <a:prstGeom prst="rect">
          <a:avLst/>
        </a:prstGeom>
        <a:ln>
          <a:solidFill>
            <a:schemeClr val="tx1"/>
          </a:solidFill>
        </a:ln>
      </xdr:spPr>
    </xdr:pic>
    <xdr:clientData/>
  </xdr:twoCellAnchor>
  <xdr:twoCellAnchor editAs="oneCell">
    <xdr:from>
      <xdr:col>1</xdr:col>
      <xdr:colOff>19050</xdr:colOff>
      <xdr:row>11</xdr:row>
      <xdr:rowOff>66675</xdr:rowOff>
    </xdr:from>
    <xdr:to>
      <xdr:col>1</xdr:col>
      <xdr:colOff>4554622</xdr:colOff>
      <xdr:row>31</xdr:row>
      <xdr:rowOff>104775</xdr:rowOff>
    </xdr:to>
    <xdr:pic>
      <xdr:nvPicPr>
        <xdr:cNvPr id="10" name="Picture 9">
          <a:extLst>
            <a:ext uri="{FF2B5EF4-FFF2-40B4-BE49-F238E27FC236}">
              <a16:creationId xmlns:a16="http://schemas.microsoft.com/office/drawing/2014/main" id="{9A3D3DBF-0A9A-429E-BD9F-0896E19C386A}"/>
            </a:ext>
          </a:extLst>
        </xdr:cNvPr>
        <xdr:cNvPicPr>
          <a:picLocks noChangeAspect="1"/>
        </xdr:cNvPicPr>
      </xdr:nvPicPr>
      <xdr:blipFill>
        <a:blip xmlns:r="http://schemas.openxmlformats.org/officeDocument/2006/relationships" r:embed="rId3"/>
        <a:stretch>
          <a:fillRect/>
        </a:stretch>
      </xdr:blipFill>
      <xdr:spPr>
        <a:xfrm>
          <a:off x="628650" y="2162175"/>
          <a:ext cx="4535572" cy="3333750"/>
        </a:xfrm>
        <a:prstGeom prst="rect">
          <a:avLst/>
        </a:prstGeom>
      </xdr:spPr>
    </xdr:pic>
    <xdr:clientData/>
  </xdr:twoCellAnchor>
  <xdr:twoCellAnchor editAs="oneCell">
    <xdr:from>
      <xdr:col>1</xdr:col>
      <xdr:colOff>28575</xdr:colOff>
      <xdr:row>51</xdr:row>
      <xdr:rowOff>114300</xdr:rowOff>
    </xdr:from>
    <xdr:to>
      <xdr:col>1</xdr:col>
      <xdr:colOff>6504765</xdr:colOff>
      <xdr:row>52</xdr:row>
      <xdr:rowOff>180943</xdr:rowOff>
    </xdr:to>
    <xdr:pic>
      <xdr:nvPicPr>
        <xdr:cNvPr id="11" name="Picture 10">
          <a:extLst>
            <a:ext uri="{FF2B5EF4-FFF2-40B4-BE49-F238E27FC236}">
              <a16:creationId xmlns:a16="http://schemas.microsoft.com/office/drawing/2014/main" id="{581E69BE-3A8B-4896-98C1-9C16F1BAD5C8}"/>
            </a:ext>
          </a:extLst>
        </xdr:cNvPr>
        <xdr:cNvPicPr>
          <a:picLocks noChangeAspect="1"/>
        </xdr:cNvPicPr>
      </xdr:nvPicPr>
      <xdr:blipFill>
        <a:blip xmlns:r="http://schemas.openxmlformats.org/officeDocument/2006/relationships" r:embed="rId4"/>
        <a:stretch>
          <a:fillRect/>
        </a:stretch>
      </xdr:blipFill>
      <xdr:spPr>
        <a:xfrm>
          <a:off x="638175" y="9620250"/>
          <a:ext cx="6476190" cy="257143"/>
        </a:xfrm>
        <a:prstGeom prst="rect">
          <a:avLst/>
        </a:prstGeom>
        <a:ln>
          <a:solidFill>
            <a:schemeClr val="tx1"/>
          </a:solidFill>
        </a:ln>
      </xdr:spPr>
    </xdr:pic>
    <xdr:clientData/>
  </xdr:twoCellAnchor>
  <xdr:twoCellAnchor editAs="oneCell">
    <xdr:from>
      <xdr:col>1</xdr:col>
      <xdr:colOff>19050</xdr:colOff>
      <xdr:row>56</xdr:row>
      <xdr:rowOff>942975</xdr:rowOff>
    </xdr:from>
    <xdr:to>
      <xdr:col>1</xdr:col>
      <xdr:colOff>6533336</xdr:colOff>
      <xdr:row>56</xdr:row>
      <xdr:rowOff>1171546</xdr:rowOff>
    </xdr:to>
    <xdr:pic>
      <xdr:nvPicPr>
        <xdr:cNvPr id="12" name="Picture 11">
          <a:extLst>
            <a:ext uri="{FF2B5EF4-FFF2-40B4-BE49-F238E27FC236}">
              <a16:creationId xmlns:a16="http://schemas.microsoft.com/office/drawing/2014/main" id="{6CF0A700-EF8B-4201-8718-D336AF33B355}"/>
            </a:ext>
          </a:extLst>
        </xdr:cNvPr>
        <xdr:cNvPicPr>
          <a:picLocks noChangeAspect="1"/>
        </xdr:cNvPicPr>
      </xdr:nvPicPr>
      <xdr:blipFill>
        <a:blip xmlns:r="http://schemas.openxmlformats.org/officeDocument/2006/relationships" r:embed="rId5"/>
        <a:stretch>
          <a:fillRect/>
        </a:stretch>
      </xdr:blipFill>
      <xdr:spPr>
        <a:xfrm>
          <a:off x="628650" y="11591925"/>
          <a:ext cx="6514286" cy="228571"/>
        </a:xfrm>
        <a:prstGeom prst="rect">
          <a:avLst/>
        </a:prstGeom>
        <a:ln>
          <a:solidFill>
            <a:schemeClr val="tx1"/>
          </a:solidFill>
        </a:ln>
      </xdr:spPr>
    </xdr:pic>
    <xdr:clientData/>
  </xdr:twoCellAnchor>
  <xdr:twoCellAnchor editAs="oneCell">
    <xdr:from>
      <xdr:col>1</xdr:col>
      <xdr:colOff>2000250</xdr:colOff>
      <xdr:row>57</xdr:row>
      <xdr:rowOff>95250</xdr:rowOff>
    </xdr:from>
    <xdr:to>
      <xdr:col>1</xdr:col>
      <xdr:colOff>3162155</xdr:colOff>
      <xdr:row>65</xdr:row>
      <xdr:rowOff>133180</xdr:rowOff>
    </xdr:to>
    <xdr:pic>
      <xdr:nvPicPr>
        <xdr:cNvPr id="13" name="Picture 12">
          <a:extLst>
            <a:ext uri="{FF2B5EF4-FFF2-40B4-BE49-F238E27FC236}">
              <a16:creationId xmlns:a16="http://schemas.microsoft.com/office/drawing/2014/main" id="{EDD06778-CFEC-4DE1-A224-B7757839AB0B}"/>
            </a:ext>
          </a:extLst>
        </xdr:cNvPr>
        <xdr:cNvPicPr>
          <a:picLocks noChangeAspect="1"/>
        </xdr:cNvPicPr>
      </xdr:nvPicPr>
      <xdr:blipFill>
        <a:blip xmlns:r="http://schemas.openxmlformats.org/officeDocument/2006/relationships" r:embed="rId6"/>
        <a:stretch>
          <a:fillRect/>
        </a:stretch>
      </xdr:blipFill>
      <xdr:spPr>
        <a:xfrm>
          <a:off x="2609850" y="12839700"/>
          <a:ext cx="1161905" cy="13619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78"/>
  <sheetViews>
    <sheetView topLeftCell="A52" workbookViewId="0"/>
  </sheetViews>
  <sheetFormatPr defaultRowHeight="13.2"/>
  <cols>
    <col min="2" max="2" width="103.88671875" customWidth="1"/>
  </cols>
  <sheetData>
    <row r="1" spans="1:7" ht="15">
      <c r="A1" s="8"/>
      <c r="B1" s="149"/>
      <c r="C1" s="8"/>
      <c r="D1" s="8"/>
      <c r="E1" s="8"/>
      <c r="F1" s="8"/>
      <c r="G1" s="8"/>
    </row>
    <row r="2" spans="1:7" ht="14.4">
      <c r="A2" s="8"/>
      <c r="B2" s="51" t="s">
        <v>31</v>
      </c>
      <c r="C2" s="28"/>
      <c r="D2" s="28"/>
      <c r="E2" s="8"/>
      <c r="F2" s="8"/>
      <c r="G2" s="8"/>
    </row>
    <row r="3" spans="1:7" ht="14.4">
      <c r="A3" s="8"/>
      <c r="B3" s="51"/>
      <c r="C3" s="28"/>
      <c r="D3" s="28"/>
      <c r="E3" s="8"/>
      <c r="F3" s="8"/>
      <c r="G3" s="8"/>
    </row>
    <row r="4" spans="1:7" ht="14.4">
      <c r="A4" s="8"/>
      <c r="B4" s="51" t="s">
        <v>32</v>
      </c>
      <c r="C4" s="28"/>
      <c r="D4" s="28"/>
      <c r="E4" s="8"/>
      <c r="F4" s="8"/>
      <c r="G4" s="8"/>
    </row>
    <row r="5" spans="1:7" ht="14.4">
      <c r="A5" s="8"/>
      <c r="B5" s="51"/>
      <c r="C5" s="28"/>
      <c r="D5" s="28"/>
      <c r="E5" s="8"/>
      <c r="F5" s="8"/>
      <c r="G5" s="8"/>
    </row>
    <row r="6" spans="1:7" ht="14.4">
      <c r="A6" s="8"/>
      <c r="B6" s="51" t="s">
        <v>199</v>
      </c>
      <c r="C6" s="28"/>
      <c r="D6" s="28"/>
      <c r="E6" s="8"/>
      <c r="F6" s="8"/>
      <c r="G6" s="8"/>
    </row>
    <row r="7" spans="1:7" ht="14.4">
      <c r="A7" s="8"/>
      <c r="B7" s="51"/>
      <c r="C7" s="28"/>
      <c r="D7" s="28"/>
      <c r="E7" s="8"/>
      <c r="F7" s="8"/>
      <c r="G7" s="8"/>
    </row>
    <row r="8" spans="1:7" ht="14.4">
      <c r="A8" s="8"/>
      <c r="B8" s="51"/>
      <c r="C8" s="28"/>
      <c r="D8" s="28"/>
      <c r="E8" s="8"/>
      <c r="F8" s="8"/>
      <c r="G8" s="8"/>
    </row>
    <row r="9" spans="1:7" ht="14.4">
      <c r="A9" s="8"/>
      <c r="B9" s="51"/>
      <c r="C9" s="28"/>
      <c r="D9" s="28"/>
      <c r="E9" s="8"/>
      <c r="F9" s="8"/>
      <c r="G9" s="8"/>
    </row>
    <row r="10" spans="1:7" ht="14.4">
      <c r="A10" s="8"/>
      <c r="B10" s="51" t="s">
        <v>33</v>
      </c>
      <c r="C10" s="28"/>
      <c r="D10" s="28"/>
      <c r="E10" s="8"/>
      <c r="F10" s="8"/>
      <c r="G10" s="8"/>
    </row>
    <row r="11" spans="1:7" ht="14.4">
      <c r="A11" s="8"/>
      <c r="B11" s="51"/>
      <c r="C11" s="28"/>
      <c r="D11" s="28"/>
      <c r="E11" s="8"/>
      <c r="F11" s="8"/>
      <c r="G11" s="8"/>
    </row>
    <row r="12" spans="1:7" ht="14.4">
      <c r="A12" s="8"/>
      <c r="B12" s="51"/>
      <c r="C12" s="28"/>
      <c r="D12" s="28"/>
      <c r="E12" s="8"/>
      <c r="F12" s="8"/>
      <c r="G12" s="8"/>
    </row>
    <row r="13" spans="1:7">
      <c r="A13" s="8"/>
      <c r="B13" s="8"/>
      <c r="C13" s="28"/>
      <c r="D13" s="28"/>
      <c r="E13" s="8"/>
      <c r="F13" s="8"/>
      <c r="G13" s="8"/>
    </row>
    <row r="14" spans="1:7">
      <c r="A14" s="8"/>
      <c r="B14" s="8"/>
      <c r="C14" s="28"/>
      <c r="D14" s="28"/>
      <c r="E14" s="8"/>
      <c r="F14" s="8"/>
      <c r="G14" s="8"/>
    </row>
    <row r="15" spans="1:7">
      <c r="A15" s="8"/>
      <c r="B15" s="8"/>
      <c r="C15" s="28"/>
      <c r="D15" s="28"/>
      <c r="E15" s="8"/>
      <c r="F15" s="8"/>
      <c r="G15" s="8"/>
    </row>
    <row r="16" spans="1:7">
      <c r="A16" s="8"/>
      <c r="B16" s="8"/>
      <c r="C16" s="28"/>
      <c r="D16" s="28"/>
      <c r="E16" s="8"/>
      <c r="F16" s="8"/>
      <c r="G16" s="8"/>
    </row>
    <row r="17" spans="1:7">
      <c r="A17" s="8"/>
      <c r="B17" s="8"/>
      <c r="C17" s="28"/>
      <c r="D17" s="28"/>
      <c r="E17" s="8"/>
      <c r="F17" s="8"/>
      <c r="G17" s="8"/>
    </row>
    <row r="18" spans="1:7">
      <c r="A18" s="8"/>
      <c r="B18" s="8"/>
      <c r="C18" s="28"/>
      <c r="D18" s="28"/>
      <c r="E18" s="8"/>
      <c r="F18" s="8"/>
      <c r="G18" s="8"/>
    </row>
    <row r="19" spans="1:7">
      <c r="A19" s="8"/>
      <c r="B19" s="8"/>
      <c r="C19" s="28"/>
      <c r="D19" s="28"/>
      <c r="E19" s="8"/>
      <c r="F19" s="8"/>
      <c r="G19" s="8"/>
    </row>
    <row r="20" spans="1:7">
      <c r="A20" s="8"/>
      <c r="B20" s="8"/>
      <c r="C20" s="28"/>
      <c r="D20" s="28"/>
      <c r="E20" s="8"/>
      <c r="F20" s="8"/>
      <c r="G20" s="8"/>
    </row>
    <row r="21" spans="1:7">
      <c r="A21" s="8"/>
      <c r="B21" s="8"/>
      <c r="C21" s="28"/>
      <c r="D21" s="28"/>
      <c r="E21" s="8"/>
      <c r="F21" s="8"/>
      <c r="G21" s="8"/>
    </row>
    <row r="22" spans="1:7">
      <c r="A22" s="8"/>
      <c r="B22" s="8"/>
      <c r="C22" s="28"/>
      <c r="D22" s="28"/>
      <c r="E22" s="8"/>
      <c r="F22" s="8"/>
      <c r="G22" s="8"/>
    </row>
    <row r="23" spans="1:7" ht="14.4">
      <c r="A23" s="8"/>
      <c r="B23" s="51"/>
      <c r="C23" s="28"/>
      <c r="D23" s="28"/>
      <c r="E23" s="8"/>
      <c r="F23" s="8"/>
      <c r="G23" s="8"/>
    </row>
    <row r="24" spans="1:7">
      <c r="A24" s="8"/>
      <c r="B24" s="8"/>
      <c r="C24" s="28"/>
      <c r="D24" s="28"/>
      <c r="E24" s="8"/>
      <c r="F24" s="8"/>
      <c r="G24" s="8"/>
    </row>
    <row r="25" spans="1:7">
      <c r="A25" s="8"/>
      <c r="B25" s="8"/>
      <c r="C25" s="28"/>
      <c r="D25" s="28"/>
      <c r="E25" s="8"/>
      <c r="F25" s="8"/>
      <c r="G25" s="8"/>
    </row>
    <row r="26" spans="1:7">
      <c r="A26" s="8"/>
      <c r="B26" s="8"/>
      <c r="C26" s="28"/>
      <c r="D26" s="28"/>
      <c r="E26" s="8"/>
      <c r="F26" s="8"/>
      <c r="G26" s="8"/>
    </row>
    <row r="27" spans="1:7">
      <c r="A27" s="8"/>
      <c r="B27" s="8"/>
      <c r="C27" s="28"/>
      <c r="D27" s="28"/>
      <c r="E27" s="8"/>
      <c r="F27" s="8"/>
      <c r="G27" s="8"/>
    </row>
    <row r="28" spans="1:7">
      <c r="A28" s="8"/>
      <c r="B28" s="8"/>
      <c r="C28" s="28"/>
      <c r="D28" s="28"/>
      <c r="E28" s="8"/>
      <c r="F28" s="8"/>
      <c r="G28" s="8"/>
    </row>
    <row r="29" spans="1:7">
      <c r="A29" s="8"/>
      <c r="B29" s="8"/>
      <c r="C29" s="28"/>
      <c r="D29" s="28"/>
      <c r="E29" s="8"/>
      <c r="F29" s="8"/>
      <c r="G29" s="8"/>
    </row>
    <row r="30" spans="1:7">
      <c r="A30" s="8"/>
      <c r="B30" s="8"/>
      <c r="C30" s="28"/>
      <c r="D30" s="28"/>
      <c r="E30" s="8"/>
      <c r="F30" s="8"/>
      <c r="G30" s="8"/>
    </row>
    <row r="31" spans="1:7">
      <c r="A31" s="8"/>
      <c r="B31" s="8"/>
      <c r="C31" s="28"/>
      <c r="D31" s="28"/>
      <c r="E31" s="8"/>
      <c r="F31" s="8"/>
      <c r="G31" s="8"/>
    </row>
    <row r="32" spans="1:7">
      <c r="A32" s="8"/>
      <c r="B32" s="8"/>
      <c r="C32" s="28"/>
      <c r="D32" s="28"/>
      <c r="E32" s="8"/>
      <c r="F32" s="8"/>
      <c r="G32" s="8"/>
    </row>
    <row r="33" spans="1:7">
      <c r="A33" s="8"/>
      <c r="B33" s="8"/>
      <c r="C33" s="28"/>
      <c r="D33" s="28"/>
      <c r="E33" s="8"/>
      <c r="F33" s="8"/>
      <c r="G33" s="8"/>
    </row>
    <row r="34" spans="1:7">
      <c r="A34" s="8"/>
      <c r="B34" s="8"/>
      <c r="C34" s="28"/>
      <c r="D34" s="28"/>
      <c r="E34" s="8"/>
      <c r="F34" s="8"/>
      <c r="G34" s="8"/>
    </row>
    <row r="35" spans="1:7" ht="28.8">
      <c r="A35" s="8"/>
      <c r="B35" s="51" t="s">
        <v>34</v>
      </c>
      <c r="C35" s="8"/>
      <c r="D35" s="8"/>
      <c r="E35" s="8"/>
      <c r="F35" s="8"/>
      <c r="G35" s="8"/>
    </row>
    <row r="36" spans="1:7" ht="14.4">
      <c r="A36" s="8"/>
      <c r="B36" s="51"/>
      <c r="C36" s="8"/>
      <c r="D36" s="8"/>
      <c r="E36" s="8"/>
      <c r="F36" s="8"/>
      <c r="G36" s="8"/>
    </row>
    <row r="37" spans="1:7">
      <c r="A37" s="8"/>
      <c r="B37" s="8"/>
      <c r="C37" s="8"/>
      <c r="D37" s="8"/>
      <c r="E37" s="8"/>
      <c r="F37" s="8"/>
      <c r="G37" s="8"/>
    </row>
    <row r="38" spans="1:7">
      <c r="A38" s="8"/>
      <c r="B38" s="8"/>
      <c r="C38" s="8"/>
      <c r="D38" s="8"/>
      <c r="E38" s="8"/>
      <c r="F38" s="8"/>
      <c r="G38" s="8"/>
    </row>
    <row r="39" spans="1:7">
      <c r="A39" s="8"/>
      <c r="B39" s="8"/>
      <c r="C39" s="8"/>
      <c r="D39" s="8"/>
      <c r="E39" s="8"/>
      <c r="F39" s="8"/>
      <c r="G39" s="8"/>
    </row>
    <row r="40" spans="1:7">
      <c r="A40" s="8"/>
      <c r="B40" s="8"/>
      <c r="C40" s="8"/>
      <c r="D40" s="8"/>
      <c r="E40" s="8"/>
      <c r="F40" s="8"/>
      <c r="G40" s="8"/>
    </row>
    <row r="41" spans="1:7">
      <c r="A41" s="8"/>
      <c r="B41" s="8"/>
      <c r="C41" s="8"/>
      <c r="D41" s="8"/>
      <c r="E41" s="8"/>
      <c r="F41" s="8"/>
      <c r="G41" s="8"/>
    </row>
    <row r="42" spans="1:7">
      <c r="A42" s="8"/>
      <c r="B42" s="8"/>
      <c r="C42" s="8"/>
      <c r="D42" s="8"/>
      <c r="E42" s="8"/>
      <c r="F42" s="8"/>
      <c r="G42" s="8"/>
    </row>
    <row r="43" spans="1:7">
      <c r="A43" s="8"/>
      <c r="B43" s="8"/>
      <c r="C43" s="8"/>
      <c r="D43" s="8"/>
      <c r="E43" s="8"/>
      <c r="F43" s="8"/>
      <c r="G43" s="8"/>
    </row>
    <row r="44" spans="1:7">
      <c r="A44" s="8"/>
      <c r="B44" s="8"/>
      <c r="C44" s="8"/>
      <c r="D44" s="8"/>
      <c r="E44" s="8"/>
      <c r="F44" s="8"/>
      <c r="G44" s="8"/>
    </row>
    <row r="45" spans="1:7">
      <c r="A45" s="8"/>
      <c r="B45" s="8"/>
      <c r="C45" s="8"/>
      <c r="D45" s="8"/>
      <c r="E45" s="8"/>
      <c r="F45" s="8"/>
      <c r="G45" s="8"/>
    </row>
    <row r="46" spans="1:7">
      <c r="A46" s="8"/>
      <c r="B46" s="8"/>
      <c r="C46" s="8"/>
      <c r="D46" s="8"/>
      <c r="E46" s="8"/>
      <c r="F46" s="8"/>
      <c r="G46" s="8"/>
    </row>
    <row r="47" spans="1:7">
      <c r="A47" s="8"/>
      <c r="B47" s="8"/>
      <c r="C47" s="8"/>
      <c r="D47" s="8"/>
      <c r="E47" s="8"/>
      <c r="F47" s="8"/>
      <c r="G47" s="8"/>
    </row>
    <row r="48" spans="1:7">
      <c r="A48" s="8"/>
      <c r="B48" s="8"/>
      <c r="C48" s="8"/>
      <c r="D48" s="8"/>
      <c r="E48" s="8"/>
      <c r="F48" s="8"/>
      <c r="G48" s="8"/>
    </row>
    <row r="49" spans="1:7">
      <c r="A49" s="8"/>
      <c r="B49" s="8"/>
      <c r="C49" s="8"/>
      <c r="D49" s="8"/>
      <c r="E49" s="8"/>
      <c r="F49" s="8"/>
      <c r="G49" s="8"/>
    </row>
    <row r="50" spans="1:7" ht="14.4">
      <c r="A50" s="8"/>
      <c r="B50" s="51"/>
      <c r="C50" s="8"/>
      <c r="D50" s="8"/>
      <c r="E50" s="8"/>
      <c r="F50" s="8"/>
      <c r="G50" s="8"/>
    </row>
    <row r="51" spans="1:7" ht="43.2">
      <c r="A51" s="8"/>
      <c r="B51" s="150" t="s">
        <v>1074</v>
      </c>
      <c r="C51" s="8"/>
      <c r="D51" s="8"/>
      <c r="E51" s="8"/>
      <c r="F51" s="8"/>
      <c r="G51" s="8"/>
    </row>
    <row r="52" spans="1:7" ht="14.4">
      <c r="A52" s="8"/>
      <c r="B52" s="51"/>
      <c r="C52" s="8"/>
      <c r="D52" s="8"/>
      <c r="E52" s="8"/>
      <c r="F52" s="8"/>
      <c r="G52" s="8"/>
    </row>
    <row r="53" spans="1:7" ht="14.4">
      <c r="A53" s="8"/>
      <c r="B53" s="51"/>
      <c r="C53" s="8"/>
      <c r="D53" s="8"/>
      <c r="E53" s="8"/>
      <c r="F53" s="8"/>
      <c r="G53" s="8"/>
    </row>
    <row r="54" spans="1:7" ht="14.4">
      <c r="A54" s="8"/>
      <c r="B54" s="51"/>
      <c r="C54" s="8"/>
      <c r="D54" s="8"/>
      <c r="E54" s="8"/>
      <c r="F54" s="8"/>
      <c r="G54" s="8"/>
    </row>
    <row r="55" spans="1:7" ht="28.8">
      <c r="A55" s="8"/>
      <c r="B55" s="51" t="s">
        <v>1075</v>
      </c>
      <c r="C55" s="8"/>
      <c r="D55" s="8"/>
      <c r="E55" s="8"/>
      <c r="F55" s="8"/>
      <c r="G55" s="8"/>
    </row>
    <row r="56" spans="1:7" ht="14.4">
      <c r="A56" s="8"/>
      <c r="B56" s="51"/>
      <c r="C56" s="8"/>
      <c r="D56" s="8"/>
      <c r="E56" s="8"/>
      <c r="F56" s="8"/>
      <c r="G56" s="8"/>
    </row>
    <row r="57" spans="1:7" ht="158.4">
      <c r="A57" s="8"/>
      <c r="B57" s="51" t="s">
        <v>1076</v>
      </c>
      <c r="C57" s="8"/>
      <c r="D57" s="8"/>
      <c r="E57" s="8"/>
      <c r="F57" s="8"/>
      <c r="G57" s="8"/>
    </row>
    <row r="58" spans="1:7" ht="14.4">
      <c r="A58" s="8"/>
      <c r="B58" s="150"/>
      <c r="C58" s="8"/>
      <c r="D58" s="8"/>
      <c r="E58" s="8"/>
      <c r="F58" s="8"/>
      <c r="G58" s="8"/>
    </row>
    <row r="59" spans="1:7">
      <c r="A59" s="8"/>
      <c r="B59" s="25"/>
      <c r="C59" s="8"/>
      <c r="D59" s="8"/>
      <c r="E59" s="8"/>
      <c r="F59" s="8"/>
      <c r="G59" s="8"/>
    </row>
    <row r="60" spans="1:7">
      <c r="A60" s="8"/>
      <c r="B60" s="8"/>
      <c r="C60" s="8"/>
      <c r="D60" s="8"/>
      <c r="E60" s="8"/>
      <c r="F60" s="8"/>
      <c r="G60" s="8"/>
    </row>
    <row r="61" spans="1:7">
      <c r="A61" s="8"/>
      <c r="B61" s="8"/>
      <c r="C61" s="8"/>
      <c r="D61" s="8"/>
      <c r="E61" s="8"/>
      <c r="F61" s="8"/>
      <c r="G61" s="8"/>
    </row>
    <row r="62" spans="1:7">
      <c r="A62" s="8"/>
      <c r="B62" s="8"/>
      <c r="C62" s="8"/>
      <c r="D62" s="8"/>
      <c r="E62" s="8"/>
      <c r="F62" s="8"/>
      <c r="G62" s="8"/>
    </row>
    <row r="63" spans="1:7">
      <c r="A63" s="8"/>
      <c r="B63" s="8"/>
      <c r="C63" s="8"/>
      <c r="D63" s="8"/>
      <c r="E63" s="8"/>
      <c r="F63" s="8"/>
      <c r="G63" s="8"/>
    </row>
    <row r="64" spans="1:7">
      <c r="A64" s="8"/>
      <c r="B64" s="8"/>
      <c r="C64" s="8"/>
      <c r="D64" s="8"/>
      <c r="E64" s="8"/>
      <c r="F64" s="8"/>
      <c r="G64" s="8"/>
    </row>
    <row r="65" spans="1:7">
      <c r="A65" s="8"/>
      <c r="B65" s="8"/>
      <c r="C65" s="8"/>
      <c r="D65" s="8"/>
      <c r="E65" s="8"/>
      <c r="F65" s="8"/>
      <c r="G65" s="8"/>
    </row>
    <row r="66" spans="1:7">
      <c r="A66" s="8"/>
      <c r="B66" s="8"/>
      <c r="C66" s="8"/>
      <c r="D66" s="8"/>
      <c r="E66" s="8"/>
      <c r="F66" s="8"/>
      <c r="G66" s="8"/>
    </row>
    <row r="67" spans="1:7">
      <c r="A67" s="8"/>
      <c r="B67" s="8"/>
      <c r="C67" s="8"/>
      <c r="D67" s="8"/>
      <c r="E67" s="8"/>
      <c r="F67" s="8"/>
      <c r="G67" s="8"/>
    </row>
    <row r="68" spans="1:7" ht="14.4">
      <c r="A68" s="8"/>
      <c r="B68" s="51" t="s">
        <v>1077</v>
      </c>
      <c r="C68" s="8"/>
      <c r="D68" s="8"/>
      <c r="E68" s="8"/>
      <c r="F68" s="8"/>
      <c r="G68" s="8"/>
    </row>
    <row r="69" spans="1:7" ht="14.4">
      <c r="A69" s="8"/>
      <c r="B69" s="51"/>
      <c r="C69" s="8"/>
      <c r="D69" s="8"/>
      <c r="E69" s="8"/>
      <c r="F69" s="8"/>
      <c r="G69" s="8"/>
    </row>
    <row r="70" spans="1:7" ht="14.4">
      <c r="A70" s="8"/>
      <c r="B70" s="51"/>
      <c r="C70" s="8"/>
      <c r="D70" s="8"/>
      <c r="E70" s="8"/>
      <c r="F70" s="8"/>
      <c r="G70" s="8"/>
    </row>
    <row r="71" spans="1:7" ht="13.8">
      <c r="A71" s="8"/>
      <c r="B71" s="448" t="s">
        <v>414</v>
      </c>
      <c r="C71" s="8"/>
      <c r="D71" s="8"/>
      <c r="E71" s="8"/>
      <c r="F71" s="8"/>
      <c r="G71" s="8"/>
    </row>
    <row r="72" spans="1:7" ht="13.8">
      <c r="A72" s="8"/>
      <c r="B72" s="448" t="s">
        <v>415</v>
      </c>
      <c r="C72" s="8"/>
      <c r="D72" s="8"/>
      <c r="E72" s="8"/>
      <c r="F72" s="8"/>
      <c r="G72" s="8"/>
    </row>
    <row r="73" spans="1:7" ht="13.8">
      <c r="A73" s="8"/>
      <c r="B73" s="448" t="s">
        <v>416</v>
      </c>
      <c r="C73" s="8"/>
      <c r="D73" s="8"/>
      <c r="E73" s="8"/>
      <c r="F73" s="8"/>
      <c r="G73" s="8"/>
    </row>
    <row r="74" spans="1:7" ht="13.8">
      <c r="A74" s="8"/>
      <c r="B74" s="448" t="s">
        <v>417</v>
      </c>
      <c r="C74" s="8"/>
      <c r="D74" s="8"/>
      <c r="E74" s="8"/>
      <c r="F74" s="8"/>
      <c r="G74" s="8"/>
    </row>
    <row r="75" spans="1:7" ht="13.8">
      <c r="A75" s="8"/>
      <c r="B75" s="448" t="s">
        <v>418</v>
      </c>
      <c r="C75" s="8"/>
      <c r="D75" s="8"/>
      <c r="E75" s="8"/>
      <c r="F75" s="8"/>
      <c r="G75" s="8"/>
    </row>
    <row r="76" spans="1:7">
      <c r="A76" s="8"/>
      <c r="B76" s="8"/>
      <c r="C76" s="8"/>
      <c r="D76" s="8"/>
      <c r="E76" s="8"/>
      <c r="F76" s="8"/>
      <c r="G76" s="8"/>
    </row>
    <row r="77" spans="1:7">
      <c r="A77" s="8"/>
      <c r="B77" s="8"/>
      <c r="C77" s="8"/>
      <c r="D77" s="8"/>
      <c r="E77" s="8"/>
      <c r="F77" s="8"/>
      <c r="G77" s="8"/>
    </row>
    <row r="78" spans="1:7">
      <c r="A78" s="8"/>
      <c r="B78" s="8"/>
      <c r="C78" s="8"/>
      <c r="D78" s="8"/>
      <c r="E78" s="8"/>
      <c r="F78" s="8"/>
      <c r="G78" s="8"/>
    </row>
  </sheetData>
  <phoneticPr fontId="32" type="noConversion"/>
  <pageMargins left="0.7" right="0.7" top="0.75" bottom="0.75" header="0.3" footer="0.3"/>
  <pageSetup orientation="portrait"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C28"/>
  <sheetViews>
    <sheetView workbookViewId="0">
      <selection activeCell="F8" sqref="F8"/>
    </sheetView>
  </sheetViews>
  <sheetFormatPr defaultRowHeight="13.2"/>
  <cols>
    <col min="2" max="2" width="21.5546875" customWidth="1"/>
    <col min="3" max="3" width="45.88671875" bestFit="1" customWidth="1"/>
  </cols>
  <sheetData>
    <row r="2" spans="2:3">
      <c r="B2" s="131" t="s">
        <v>197</v>
      </c>
    </row>
    <row r="3" spans="2:3" ht="79.2">
      <c r="B3" s="123">
        <v>24</v>
      </c>
      <c r="C3" s="447" t="s">
        <v>1081</v>
      </c>
    </row>
    <row r="6" spans="2:3" ht="15.6">
      <c r="B6" s="457" t="s">
        <v>20</v>
      </c>
      <c r="C6" s="457"/>
    </row>
    <row r="7" spans="2:3" ht="25.5" customHeight="1">
      <c r="B7" s="123" t="s">
        <v>195</v>
      </c>
      <c r="C7" s="123" t="s">
        <v>194</v>
      </c>
    </row>
    <row r="8" spans="2:3" ht="79.2">
      <c r="B8" s="123">
        <v>24</v>
      </c>
      <c r="C8" s="447" t="s">
        <v>1081</v>
      </c>
    </row>
    <row r="9" spans="2:3" ht="39.6">
      <c r="B9" s="123">
        <v>23</v>
      </c>
      <c r="C9" s="447" t="s">
        <v>1080</v>
      </c>
    </row>
    <row r="10" spans="2:3" ht="66">
      <c r="B10" s="123">
        <v>22</v>
      </c>
      <c r="C10" s="446" t="s">
        <v>1078</v>
      </c>
    </row>
    <row r="11" spans="2:3" ht="39.6">
      <c r="B11" s="123">
        <v>21</v>
      </c>
      <c r="C11" s="445" t="s">
        <v>1070</v>
      </c>
    </row>
    <row r="12" spans="2:3" ht="25.5" customHeight="1">
      <c r="B12" s="123">
        <v>20</v>
      </c>
      <c r="C12" s="402" t="s">
        <v>1061</v>
      </c>
    </row>
    <row r="13" spans="2:3" ht="48.75" customHeight="1">
      <c r="B13" s="123">
        <v>19</v>
      </c>
      <c r="C13" s="444" t="s">
        <v>1055</v>
      </c>
    </row>
    <row r="14" spans="2:3" ht="79.2">
      <c r="B14" s="123">
        <v>18</v>
      </c>
      <c r="C14" s="389" t="s">
        <v>1051</v>
      </c>
    </row>
    <row r="15" spans="2:3" ht="92.4">
      <c r="B15" s="123">
        <v>17</v>
      </c>
      <c r="C15" s="402" t="s">
        <v>1050</v>
      </c>
    </row>
    <row r="16" spans="2:3" ht="105.6">
      <c r="B16" s="123">
        <v>16</v>
      </c>
      <c r="C16" s="402" t="s">
        <v>1049</v>
      </c>
    </row>
    <row r="17" spans="2:3" ht="92.4">
      <c r="B17" s="123">
        <v>15</v>
      </c>
      <c r="C17" s="402" t="s">
        <v>1047</v>
      </c>
    </row>
    <row r="18" spans="2:3" ht="79.2">
      <c r="B18" s="123">
        <v>14</v>
      </c>
      <c r="C18" s="402" t="s">
        <v>1046</v>
      </c>
    </row>
    <row r="19" spans="2:3" ht="237.6">
      <c r="B19" s="123">
        <v>13</v>
      </c>
      <c r="C19" s="402" t="s">
        <v>1044</v>
      </c>
    </row>
    <row r="20" spans="2:3" ht="66">
      <c r="B20" s="123">
        <v>12</v>
      </c>
      <c r="C20" s="402" t="s">
        <v>961</v>
      </c>
    </row>
    <row r="21" spans="2:3" ht="198">
      <c r="B21" s="123">
        <v>11</v>
      </c>
      <c r="C21" s="402" t="s">
        <v>960</v>
      </c>
    </row>
    <row r="22" spans="2:3" ht="26.4">
      <c r="B22" s="123">
        <v>10</v>
      </c>
      <c r="C22" s="402" t="s">
        <v>958</v>
      </c>
    </row>
    <row r="23" spans="2:3" ht="39.6">
      <c r="B23" s="123">
        <v>9</v>
      </c>
      <c r="C23" s="402" t="s">
        <v>957</v>
      </c>
    </row>
    <row r="24" spans="2:3" ht="79.2">
      <c r="B24" s="123">
        <v>8</v>
      </c>
      <c r="C24" s="402" t="s">
        <v>956</v>
      </c>
    </row>
    <row r="25" spans="2:3" ht="39.6">
      <c r="B25" s="123">
        <v>7</v>
      </c>
      <c r="C25" s="389" t="s">
        <v>933</v>
      </c>
    </row>
    <row r="26" spans="2:3" ht="52.8">
      <c r="B26" s="123">
        <v>6</v>
      </c>
      <c r="C26" s="389" t="s">
        <v>924</v>
      </c>
    </row>
    <row r="27" spans="2:3" ht="52.8">
      <c r="B27" s="123">
        <v>5</v>
      </c>
      <c r="C27" s="389" t="s">
        <v>838</v>
      </c>
    </row>
    <row r="28" spans="2:3" ht="66">
      <c r="B28" s="123">
        <v>4</v>
      </c>
      <c r="C28" s="389" t="s">
        <v>826</v>
      </c>
    </row>
  </sheetData>
  <mergeCells count="1">
    <mergeCell ref="B6:C6"/>
  </mergeCells>
  <phoneticPr fontId="3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AP633"/>
  <sheetViews>
    <sheetView showGridLines="0" tabSelected="1" topLeftCell="A7" zoomScale="85" zoomScaleNormal="85" workbookViewId="0">
      <selection activeCell="F27" sqref="F27"/>
    </sheetView>
  </sheetViews>
  <sheetFormatPr defaultRowHeight="13.2"/>
  <cols>
    <col min="1" max="1" width="3.44140625" style="8" customWidth="1"/>
    <col min="2" max="2" width="37.44140625" customWidth="1"/>
    <col min="3" max="3" width="15.5546875" customWidth="1"/>
    <col min="4" max="4" width="19" customWidth="1"/>
    <col min="5" max="5" width="13.88671875" style="1" customWidth="1"/>
    <col min="6" max="6" width="61.44140625" customWidth="1"/>
    <col min="7" max="7" width="27.33203125" style="1" customWidth="1"/>
    <col min="8" max="8" width="15" style="1" customWidth="1"/>
    <col min="9" max="9" width="14" style="1" customWidth="1"/>
    <col min="10" max="10" width="16.44140625" customWidth="1"/>
    <col min="11" max="11" width="47.5546875" style="8" customWidth="1"/>
    <col min="12" max="12" width="16.5546875" style="8" customWidth="1"/>
    <col min="13" max="13" width="10" style="8" bestFit="1" customWidth="1"/>
    <col min="14" max="14" width="11.6640625" style="8" customWidth="1"/>
    <col min="15" max="16" width="4.6640625" style="8" customWidth="1"/>
    <col min="17" max="17" width="8.44140625" style="8" customWidth="1"/>
    <col min="18" max="21" width="4.6640625" style="8" customWidth="1"/>
    <col min="22" max="22" width="9.109375" style="8"/>
  </cols>
  <sheetData>
    <row r="1" spans="1:42" ht="15">
      <c r="B1" s="149"/>
      <c r="C1" s="8"/>
      <c r="D1" s="8"/>
      <c r="E1" s="8"/>
      <c r="F1" s="8"/>
      <c r="G1" s="45"/>
      <c r="H1" s="8"/>
      <c r="I1" s="8"/>
      <c r="J1" s="8"/>
      <c r="W1" s="8"/>
      <c r="X1" s="8"/>
      <c r="Y1" s="8"/>
      <c r="Z1" s="8"/>
      <c r="AA1" s="8"/>
      <c r="AB1" s="8"/>
      <c r="AC1" s="8"/>
      <c r="AD1" s="8"/>
      <c r="AE1" s="8"/>
      <c r="AF1" s="8"/>
      <c r="AG1" s="8"/>
      <c r="AH1" s="8"/>
      <c r="AI1" s="8"/>
      <c r="AJ1" s="8"/>
      <c r="AK1" s="8"/>
      <c r="AL1" s="8"/>
      <c r="AM1" s="8"/>
      <c r="AN1" s="8"/>
      <c r="AO1" s="8"/>
      <c r="AP1" s="8"/>
    </row>
    <row r="2" spans="1:42">
      <c r="B2" s="8"/>
      <c r="C2" s="8"/>
      <c r="D2" s="8"/>
      <c r="E2" s="8"/>
      <c r="F2" s="8"/>
      <c r="G2" s="45"/>
      <c r="H2" s="8"/>
      <c r="I2" s="8"/>
      <c r="J2" s="8"/>
      <c r="W2" s="8"/>
      <c r="X2" s="8"/>
      <c r="Y2" s="8"/>
      <c r="Z2" s="8"/>
      <c r="AA2" s="8"/>
      <c r="AB2" s="8"/>
      <c r="AC2" s="8"/>
      <c r="AD2" s="8"/>
      <c r="AE2" s="8"/>
      <c r="AF2" s="8"/>
      <c r="AG2" s="8"/>
      <c r="AH2" s="8"/>
      <c r="AI2" s="8"/>
      <c r="AJ2" s="8"/>
      <c r="AK2" s="8"/>
      <c r="AL2" s="8"/>
      <c r="AM2" s="8"/>
      <c r="AN2" s="8"/>
      <c r="AO2" s="8"/>
    </row>
    <row r="3" spans="1:42" s="10" customFormat="1" ht="35.4">
      <c r="A3" s="11"/>
      <c r="C3" s="165" t="s">
        <v>1073</v>
      </c>
      <c r="D3" s="165"/>
      <c r="E3" s="165"/>
      <c r="F3" s="165"/>
      <c r="G3" s="165"/>
      <c r="H3" s="9"/>
      <c r="I3" s="9"/>
      <c r="J3" s="9"/>
      <c r="K3" s="11"/>
      <c r="L3" s="11"/>
      <c r="M3" s="11"/>
      <c r="N3" s="11"/>
      <c r="O3" s="11"/>
      <c r="P3" s="11"/>
      <c r="Q3" s="11"/>
      <c r="R3" s="11"/>
      <c r="S3" s="11"/>
      <c r="T3" s="11"/>
      <c r="U3" s="11"/>
      <c r="V3" s="11"/>
      <c r="W3" s="9"/>
      <c r="X3" s="9"/>
      <c r="Y3" s="9"/>
      <c r="Z3" s="9"/>
      <c r="AA3" s="9"/>
      <c r="AB3" s="9"/>
      <c r="AC3" s="9"/>
      <c r="AD3" s="9"/>
      <c r="AE3" s="9"/>
      <c r="AF3" s="9"/>
      <c r="AG3" s="9"/>
      <c r="AH3" s="9"/>
      <c r="AI3" s="9"/>
      <c r="AJ3" s="9"/>
      <c r="AK3" s="9"/>
      <c r="AL3" s="9"/>
      <c r="AM3" s="9"/>
      <c r="AN3" s="9"/>
    </row>
    <row r="4" spans="1:42" s="142" customFormat="1" ht="22.8">
      <c r="A4" s="141"/>
      <c r="C4" s="605" t="s">
        <v>200</v>
      </c>
      <c r="D4" s="605"/>
      <c r="E4" s="605"/>
      <c r="F4" s="605"/>
      <c r="G4" s="606" t="s">
        <v>1084</v>
      </c>
      <c r="H4" s="606"/>
      <c r="I4" s="606"/>
      <c r="J4" s="606"/>
      <c r="K4" s="141"/>
      <c r="L4" s="141"/>
      <c r="M4" s="141"/>
      <c r="N4" s="141"/>
      <c r="O4" s="141"/>
      <c r="P4" s="141"/>
      <c r="Q4" s="141"/>
      <c r="R4" s="141"/>
      <c r="S4" s="141"/>
      <c r="T4" s="141"/>
      <c r="U4" s="141"/>
      <c r="V4" s="141"/>
      <c r="W4" s="143"/>
      <c r="X4" s="143"/>
      <c r="Y4" s="143"/>
      <c r="Z4" s="143"/>
      <c r="AA4" s="3" t="s">
        <v>13</v>
      </c>
      <c r="AB4" s="143"/>
      <c r="AC4" s="8">
        <v>32</v>
      </c>
      <c r="AD4" s="143"/>
      <c r="AE4" s="8">
        <v>1600</v>
      </c>
      <c r="AF4" s="8">
        <v>1</v>
      </c>
      <c r="AG4" s="143"/>
      <c r="AH4" s="143"/>
      <c r="AI4" s="143"/>
      <c r="AJ4" s="143"/>
      <c r="AK4" s="143"/>
      <c r="AL4" s="143"/>
      <c r="AM4" s="143"/>
      <c r="AN4" s="143"/>
    </row>
    <row r="5" spans="1:42" s="8" customFormat="1" ht="23.4" thickBot="1">
      <c r="B5" s="564"/>
      <c r="C5" s="564"/>
      <c r="D5" s="564"/>
      <c r="E5" s="564"/>
      <c r="F5" s="564"/>
      <c r="G5" s="564"/>
      <c r="H5" s="564"/>
      <c r="I5" s="564"/>
      <c r="J5" s="564"/>
      <c r="AA5" s="3" t="s">
        <v>36</v>
      </c>
      <c r="AC5" s="8">
        <v>16</v>
      </c>
      <c r="AE5" s="8">
        <v>800</v>
      </c>
      <c r="AF5" s="8">
        <v>2</v>
      </c>
      <c r="AJ5" s="25"/>
      <c r="AN5" s="25"/>
    </row>
    <row r="6" spans="1:42" ht="15.6">
      <c r="B6" s="19" t="s">
        <v>12</v>
      </c>
      <c r="C6" s="20"/>
      <c r="D6" s="20"/>
      <c r="E6" s="21"/>
      <c r="F6" s="19" t="s">
        <v>16</v>
      </c>
      <c r="G6" s="21"/>
      <c r="H6" s="13"/>
      <c r="I6" s="13"/>
      <c r="AA6" s="3" t="s">
        <v>119</v>
      </c>
      <c r="AE6">
        <v>334</v>
      </c>
      <c r="AF6">
        <f>IF(C31=334, 2, 3)</f>
        <v>2</v>
      </c>
      <c r="AJ6" s="7"/>
      <c r="AK6" s="3"/>
      <c r="AN6" s="7"/>
      <c r="AO6" s="31"/>
    </row>
    <row r="7" spans="1:42" ht="12.75" customHeight="1">
      <c r="B7" s="579" t="s">
        <v>15</v>
      </c>
      <c r="C7" s="569"/>
      <c r="D7" s="569"/>
      <c r="E7" s="580"/>
      <c r="F7" s="571" t="s">
        <v>18</v>
      </c>
      <c r="G7" s="573"/>
      <c r="H7" s="13"/>
      <c r="I7" s="13"/>
      <c r="AA7" s="3" t="s">
        <v>206</v>
      </c>
      <c r="AE7" s="8">
        <v>200</v>
      </c>
      <c r="AJ7" s="7"/>
      <c r="AK7" s="3"/>
      <c r="AN7" s="7"/>
      <c r="AO7" s="31"/>
    </row>
    <row r="8" spans="1:42">
      <c r="B8" s="581"/>
      <c r="C8" s="569"/>
      <c r="D8" s="569"/>
      <c r="E8" s="580"/>
      <c r="F8" s="571"/>
      <c r="G8" s="574"/>
      <c r="H8" s="13"/>
      <c r="I8" s="13"/>
      <c r="AA8" s="3" t="s">
        <v>207</v>
      </c>
      <c r="AE8">
        <v>50</v>
      </c>
      <c r="AJ8" s="7"/>
      <c r="AK8" s="3"/>
      <c r="AN8" s="7"/>
      <c r="AO8" s="31"/>
    </row>
    <row r="9" spans="1:42">
      <c r="B9" s="581"/>
      <c r="C9" s="569"/>
      <c r="D9" s="569"/>
      <c r="E9" s="580"/>
      <c r="F9" s="571" t="s">
        <v>21</v>
      </c>
      <c r="G9" s="575"/>
      <c r="H9" s="13"/>
      <c r="I9" s="13"/>
      <c r="AA9" s="3" t="s">
        <v>201</v>
      </c>
      <c r="AJ9" s="7"/>
      <c r="AK9" s="3"/>
      <c r="AL9" s="3"/>
      <c r="AN9" s="7"/>
      <c r="AO9" s="31"/>
    </row>
    <row r="10" spans="1:42">
      <c r="B10" s="581"/>
      <c r="C10" s="569"/>
      <c r="D10" s="569"/>
      <c r="E10" s="580"/>
      <c r="F10" s="571"/>
      <c r="G10" s="576"/>
      <c r="H10" s="13"/>
      <c r="I10" s="13"/>
      <c r="AA10" s="3" t="s">
        <v>202</v>
      </c>
      <c r="AJ10" s="7"/>
      <c r="AK10" s="3"/>
      <c r="AL10" s="3"/>
      <c r="AN10" s="7"/>
      <c r="AO10" s="7"/>
    </row>
    <row r="11" spans="1:42" ht="39.6">
      <c r="B11" s="581"/>
      <c r="C11" s="569"/>
      <c r="D11" s="569"/>
      <c r="E11" s="580"/>
      <c r="F11" s="48" t="s">
        <v>23</v>
      </c>
      <c r="G11" s="49" t="s">
        <v>22</v>
      </c>
      <c r="H11" s="13"/>
      <c r="I11" s="13"/>
      <c r="AJ11" s="7"/>
      <c r="AK11" s="3"/>
      <c r="AL11" s="3"/>
      <c r="AN11" s="7"/>
      <c r="AO11" s="7"/>
    </row>
    <row r="12" spans="1:42" ht="39.6">
      <c r="B12" s="581"/>
      <c r="C12" s="569"/>
      <c r="D12" s="569"/>
      <c r="E12" s="580"/>
      <c r="F12" s="48" t="s">
        <v>30</v>
      </c>
      <c r="G12" s="50"/>
      <c r="H12" s="13"/>
      <c r="I12" s="13"/>
      <c r="AJ12" s="7"/>
      <c r="AK12" s="3"/>
      <c r="AL12" s="3"/>
      <c r="AN12" s="7"/>
      <c r="AO12" s="7"/>
    </row>
    <row r="13" spans="1:42">
      <c r="B13" s="581"/>
      <c r="C13" s="569"/>
      <c r="D13" s="569"/>
      <c r="E13" s="580"/>
      <c r="F13" s="571" t="s">
        <v>17</v>
      </c>
      <c r="G13" s="577"/>
      <c r="H13" s="13"/>
      <c r="I13" s="13"/>
      <c r="AJ13" s="30"/>
      <c r="AN13" s="7"/>
      <c r="AO13" s="7"/>
    </row>
    <row r="14" spans="1:42" ht="13.8" thickBot="1">
      <c r="B14" s="582"/>
      <c r="C14" s="583"/>
      <c r="D14" s="583"/>
      <c r="E14" s="584"/>
      <c r="F14" s="572"/>
      <c r="G14" s="578"/>
      <c r="H14" s="13"/>
      <c r="I14" s="13"/>
      <c r="AJ14" s="26"/>
      <c r="AN14" s="30"/>
      <c r="AO14" s="30"/>
    </row>
    <row r="15" spans="1:42" s="8" customFormat="1" ht="13.8" thickBot="1">
      <c r="B15" s="25"/>
      <c r="E15" s="13"/>
      <c r="G15" s="13"/>
      <c r="H15" s="13"/>
      <c r="I15" s="13"/>
      <c r="AJ15"/>
      <c r="AN15" s="26"/>
      <c r="AO15" s="26"/>
    </row>
    <row r="16" spans="1:42" ht="15.75" customHeight="1">
      <c r="B16" s="19" t="s">
        <v>10</v>
      </c>
      <c r="C16" s="20"/>
      <c r="D16" s="27"/>
      <c r="E16" s="13"/>
      <c r="F16" s="570"/>
      <c r="G16" s="559" t="s">
        <v>1040</v>
      </c>
      <c r="H16" s="559" t="s">
        <v>693</v>
      </c>
      <c r="I16" s="560" t="s">
        <v>955</v>
      </c>
      <c r="J16" s="562" t="s">
        <v>1079</v>
      </c>
      <c r="K16" s="562"/>
    </row>
    <row r="17" spans="2:36" ht="12.75" customHeight="1">
      <c r="B17" s="22" t="s">
        <v>8</v>
      </c>
      <c r="C17" s="587" t="s">
        <v>206</v>
      </c>
      <c r="D17" s="588"/>
      <c r="E17" s="13"/>
      <c r="F17" s="570"/>
      <c r="G17" s="559"/>
      <c r="H17" s="559"/>
      <c r="I17" s="561"/>
      <c r="J17" s="562"/>
      <c r="K17" s="562"/>
    </row>
    <row r="18" spans="2:36" ht="12.75" customHeight="1">
      <c r="B18" s="22" t="s">
        <v>14</v>
      </c>
      <c r="C18" s="585" t="s">
        <v>311</v>
      </c>
      <c r="D18" s="586"/>
      <c r="E18" s="13"/>
      <c r="F18" s="570"/>
      <c r="G18" s="559"/>
      <c r="H18" s="559"/>
      <c r="I18" s="561"/>
      <c r="J18" s="562"/>
      <c r="K18" s="562"/>
    </row>
    <row r="19" spans="2:36" ht="12.75" customHeight="1">
      <c r="B19" s="22" t="s">
        <v>9</v>
      </c>
      <c r="C19" s="585" t="s">
        <v>1085</v>
      </c>
      <c r="D19" s="586"/>
      <c r="E19" s="13"/>
      <c r="F19" s="570"/>
      <c r="G19" s="559"/>
      <c r="H19" s="559"/>
      <c r="I19" s="561"/>
      <c r="J19" s="562"/>
      <c r="K19" s="562"/>
    </row>
    <row r="20" spans="2:36" ht="15.6">
      <c r="B20" s="40" t="s">
        <v>312</v>
      </c>
      <c r="C20" s="567">
        <v>8</v>
      </c>
      <c r="D20" s="568"/>
      <c r="E20" s="13"/>
      <c r="F20" s="570"/>
      <c r="G20" s="559"/>
      <c r="H20" s="559"/>
      <c r="I20" s="561"/>
      <c r="J20" s="562"/>
      <c r="K20" s="562"/>
    </row>
    <row r="21" spans="2:36" ht="14.25" customHeight="1">
      <c r="B21" s="22" t="s">
        <v>959</v>
      </c>
      <c r="C21" s="550">
        <v>2</v>
      </c>
      <c r="D21" s="551"/>
      <c r="E21" s="13"/>
      <c r="F21" s="570"/>
      <c r="G21" s="559"/>
      <c r="H21" s="559"/>
      <c r="I21" s="561"/>
      <c r="J21" s="562"/>
      <c r="K21" s="562"/>
    </row>
    <row r="22" spans="2:36" ht="14.25" customHeight="1">
      <c r="B22" s="22" t="s">
        <v>26</v>
      </c>
      <c r="C22" s="591">
        <v>1</v>
      </c>
      <c r="D22" s="592"/>
      <c r="E22" s="13"/>
      <c r="F22" s="570"/>
      <c r="G22" s="559"/>
      <c r="H22" s="559"/>
      <c r="I22" s="561"/>
      <c r="J22" s="562"/>
      <c r="K22" s="562"/>
    </row>
    <row r="23" spans="2:36" ht="14.4">
      <c r="B23" s="22" t="s">
        <v>35</v>
      </c>
      <c r="C23" s="542">
        <f>(C20*C21)</f>
        <v>16</v>
      </c>
      <c r="D23" s="543"/>
      <c r="E23" s="13"/>
      <c r="F23" s="570"/>
      <c r="G23" s="559"/>
      <c r="H23" s="559"/>
      <c r="I23" s="561"/>
      <c r="J23" s="562"/>
      <c r="K23" s="562"/>
    </row>
    <row r="24" spans="2:36" ht="14.25" customHeight="1">
      <c r="B24" s="22" t="s">
        <v>27</v>
      </c>
      <c r="C24" s="565">
        <v>16</v>
      </c>
      <c r="D24" s="566"/>
      <c r="E24" s="13"/>
      <c r="F24" s="570"/>
      <c r="G24" s="559"/>
      <c r="H24" s="559"/>
      <c r="I24" s="561"/>
      <c r="J24" s="562"/>
      <c r="K24" s="562"/>
    </row>
    <row r="25" spans="2:36" ht="14.25" customHeight="1">
      <c r="B25" s="22" t="s">
        <v>28</v>
      </c>
      <c r="C25" s="565">
        <v>10</v>
      </c>
      <c r="D25" s="566"/>
      <c r="E25" s="13"/>
      <c r="F25" s="570"/>
      <c r="G25" s="559"/>
      <c r="H25" s="559"/>
      <c r="I25" s="561"/>
      <c r="J25" s="562"/>
      <c r="K25" s="562"/>
    </row>
    <row r="26" spans="2:36" ht="14.25" customHeight="1">
      <c r="B26" s="22" t="s">
        <v>97</v>
      </c>
      <c r="C26" s="550">
        <v>3</v>
      </c>
      <c r="D26" s="551"/>
      <c r="E26" s="13"/>
      <c r="F26" s="570"/>
      <c r="G26" s="559"/>
      <c r="H26" s="559"/>
      <c r="I26" s="561"/>
      <c r="J26" s="562"/>
      <c r="K26" s="562"/>
    </row>
    <row r="27" spans="2:36" ht="15.6">
      <c r="B27" s="22" t="s">
        <v>29</v>
      </c>
      <c r="C27" s="542">
        <f>(2^C26)</f>
        <v>8</v>
      </c>
      <c r="D27" s="543"/>
      <c r="E27" s="13"/>
      <c r="F27" s="455"/>
      <c r="G27" s="452">
        <v>2</v>
      </c>
      <c r="H27" s="452" t="s">
        <v>201</v>
      </c>
      <c r="I27" s="453" t="s">
        <v>202</v>
      </c>
      <c r="J27" s="593" t="s">
        <v>202</v>
      </c>
      <c r="K27" s="593"/>
    </row>
    <row r="28" spans="2:36" ht="14.25" customHeight="1">
      <c r="B28" s="23" t="s">
        <v>208</v>
      </c>
      <c r="C28" s="548">
        <v>32</v>
      </c>
      <c r="D28" s="549"/>
      <c r="E28" s="456"/>
      <c r="F28" s="124"/>
      <c r="G28" s="124"/>
      <c r="H28" s="13"/>
      <c r="I28" s="13"/>
      <c r="J28" s="8"/>
    </row>
    <row r="29" spans="2:36" ht="15.6">
      <c r="B29" s="23" t="s">
        <v>25</v>
      </c>
      <c r="C29" s="565">
        <v>1600</v>
      </c>
      <c r="D29" s="566"/>
      <c r="E29" s="13"/>
      <c r="F29" s="124"/>
      <c r="G29" s="124"/>
      <c r="H29" s="13"/>
      <c r="I29" s="13"/>
      <c r="J29" s="8"/>
    </row>
    <row r="30" spans="2:36" ht="15" thickBot="1">
      <c r="B30" s="343" t="s">
        <v>11</v>
      </c>
      <c r="C30" s="589">
        <f>(1/C29)*1000</f>
        <v>0.625</v>
      </c>
      <c r="D30" s="590"/>
      <c r="E30" s="13"/>
      <c r="F30" s="562" t="s">
        <v>1064</v>
      </c>
      <c r="G30" s="560" t="s">
        <v>1082</v>
      </c>
      <c r="H30" s="560"/>
      <c r="I30" s="560"/>
      <c r="J30" s="560"/>
      <c r="K30" s="560"/>
      <c r="AJ30" s="8"/>
    </row>
    <row r="31" spans="2:36" ht="14.4">
      <c r="B31" s="344" t="s">
        <v>678</v>
      </c>
      <c r="C31" s="552">
        <v>334</v>
      </c>
      <c r="D31" s="553"/>
      <c r="E31" s="13"/>
      <c r="F31" s="562"/>
      <c r="G31" s="560"/>
      <c r="H31" s="560"/>
      <c r="I31" s="560"/>
      <c r="J31" s="560"/>
      <c r="K31" s="560"/>
      <c r="AJ31" s="8"/>
    </row>
    <row r="32" spans="2:36" ht="15" thickBot="1">
      <c r="B32" s="24" t="s">
        <v>680</v>
      </c>
      <c r="C32" s="554">
        <f>(1/C31)*1000</f>
        <v>2.9940119760479043</v>
      </c>
      <c r="D32" s="555"/>
      <c r="E32" s="13"/>
      <c r="F32" s="454">
        <v>1</v>
      </c>
      <c r="G32" s="560"/>
      <c r="H32" s="560"/>
      <c r="I32" s="560"/>
      <c r="J32" s="560"/>
      <c r="K32" s="560"/>
      <c r="AJ32" s="8"/>
    </row>
    <row r="33" spans="1:36" ht="14.4">
      <c r="B33" s="345" t="s">
        <v>679</v>
      </c>
      <c r="C33" s="556">
        <v>50</v>
      </c>
      <c r="D33" s="557"/>
      <c r="E33" s="13"/>
      <c r="F33" s="124"/>
      <c r="G33" s="560"/>
      <c r="H33" s="560"/>
      <c r="I33" s="560"/>
      <c r="J33" s="560"/>
      <c r="K33" s="560"/>
      <c r="AJ33" s="8"/>
    </row>
    <row r="34" spans="1:36" ht="15" thickBot="1">
      <c r="B34" s="24" t="s">
        <v>681</v>
      </c>
      <c r="C34" s="554">
        <f>ROUNDDOWN((1/C33)*1000, 3)</f>
        <v>20</v>
      </c>
      <c r="D34" s="555"/>
      <c r="E34" s="13"/>
      <c r="F34" s="124"/>
      <c r="G34" s="560"/>
      <c r="H34" s="560"/>
      <c r="I34" s="560"/>
      <c r="J34" s="560"/>
      <c r="K34" s="560"/>
      <c r="AJ34" s="8"/>
    </row>
    <row r="35" spans="1:36" ht="14.4">
      <c r="B35" s="67" t="s">
        <v>286</v>
      </c>
      <c r="C35" s="544" t="s">
        <v>350</v>
      </c>
      <c r="D35" s="545"/>
      <c r="E35" s="13"/>
      <c r="G35" s="560"/>
      <c r="H35" s="560"/>
      <c r="I35" s="560"/>
      <c r="J35" s="560"/>
      <c r="K35" s="560"/>
      <c r="AJ35" s="8"/>
    </row>
    <row r="36" spans="1:36" ht="14.4">
      <c r="B36" s="67" t="s">
        <v>682</v>
      </c>
      <c r="C36" s="544" t="s">
        <v>684</v>
      </c>
      <c r="D36" s="558"/>
      <c r="E36" s="13"/>
      <c r="G36" s="560"/>
      <c r="H36" s="560"/>
      <c r="I36" s="560"/>
      <c r="J36" s="560"/>
      <c r="K36" s="560"/>
      <c r="AJ36" s="8"/>
    </row>
    <row r="37" spans="1:36" ht="14.4">
      <c r="B37" s="67" t="s">
        <v>683</v>
      </c>
      <c r="C37" s="544" t="s">
        <v>685</v>
      </c>
      <c r="D37" s="545"/>
      <c r="E37" s="13"/>
      <c r="F37" s="47"/>
      <c r="G37" s="560"/>
      <c r="H37" s="560"/>
      <c r="I37" s="560"/>
      <c r="J37" s="560"/>
      <c r="K37" s="560"/>
      <c r="AJ37" s="8"/>
    </row>
    <row r="38" spans="1:36">
      <c r="B38" s="67"/>
      <c r="C38" s="546"/>
      <c r="D38" s="547"/>
      <c r="E38" s="13"/>
      <c r="F38" s="47"/>
      <c r="G38" s="560"/>
      <c r="H38" s="560"/>
      <c r="I38" s="560"/>
      <c r="J38" s="560"/>
      <c r="K38" s="560"/>
      <c r="AJ38" s="8"/>
    </row>
    <row r="39" spans="1:36" ht="32.25" customHeight="1">
      <c r="B39" s="540" t="s">
        <v>196</v>
      </c>
      <c r="C39" s="569"/>
      <c r="D39" s="569"/>
      <c r="E39" s="13"/>
      <c r="F39" s="12"/>
      <c r="G39" s="560"/>
      <c r="H39" s="560"/>
      <c r="I39" s="560"/>
      <c r="J39" s="560"/>
      <c r="K39" s="560"/>
      <c r="AJ39" s="8"/>
    </row>
    <row r="40" spans="1:36" ht="22.5" customHeight="1">
      <c r="B40" s="540" t="s">
        <v>24</v>
      </c>
      <c r="C40" s="541"/>
      <c r="D40" s="541"/>
      <c r="E40" s="13"/>
      <c r="F40" s="12"/>
      <c r="G40" s="563" t="s">
        <v>1083</v>
      </c>
      <c r="H40" s="563"/>
      <c r="I40" s="563"/>
      <c r="J40" s="563"/>
      <c r="K40" s="563"/>
      <c r="AJ40" s="8"/>
    </row>
    <row r="41" spans="1:36" ht="23.25" customHeight="1">
      <c r="B41" s="540" t="s">
        <v>313</v>
      </c>
      <c r="C41" s="541"/>
      <c r="D41" s="541"/>
      <c r="E41" s="13"/>
      <c r="F41" s="12"/>
      <c r="G41" s="29"/>
      <c r="H41" s="13"/>
      <c r="I41" s="13"/>
      <c r="J41" s="8"/>
      <c r="L41" s="41"/>
      <c r="M41" s="41"/>
      <c r="AJ41" s="8"/>
    </row>
    <row r="42" spans="1:36" s="41" customFormat="1" ht="13.8" thickBot="1">
      <c r="B42" s="42"/>
      <c r="C42" s="42"/>
      <c r="D42" s="42"/>
      <c r="E42" s="43"/>
      <c r="F42" s="42"/>
      <c r="G42" s="44"/>
      <c r="H42" s="42"/>
      <c r="I42" s="42"/>
      <c r="L42" s="8"/>
      <c r="M42" s="8"/>
      <c r="AI42" s="6"/>
    </row>
    <row r="43" spans="1:36" ht="27" thickBot="1">
      <c r="B43" s="2" t="s">
        <v>78</v>
      </c>
      <c r="C43" s="2" t="s">
        <v>5</v>
      </c>
      <c r="D43" s="2" t="s">
        <v>7</v>
      </c>
      <c r="E43" s="2" t="s">
        <v>6</v>
      </c>
      <c r="F43" s="4" t="s">
        <v>1</v>
      </c>
      <c r="G43" s="46" t="s">
        <v>3</v>
      </c>
      <c r="H43" s="5" t="s">
        <v>287</v>
      </c>
      <c r="I43" s="5" t="s">
        <v>4</v>
      </c>
      <c r="J43" s="18"/>
      <c r="AJ43" s="8"/>
    </row>
    <row r="44" spans="1:36" ht="3" customHeight="1" thickBot="1">
      <c r="B44" s="37"/>
      <c r="C44" s="37"/>
      <c r="D44" s="37"/>
      <c r="E44" s="37"/>
      <c r="F44" s="38"/>
      <c r="G44" s="39"/>
      <c r="H44" s="39"/>
      <c r="I44" s="39"/>
      <c r="J44" s="18"/>
      <c r="AJ44" s="8"/>
    </row>
    <row r="45" spans="1:36" ht="66">
      <c r="B45" s="166" t="s">
        <v>209</v>
      </c>
      <c r="C45" s="167" t="s">
        <v>0</v>
      </c>
      <c r="D45" s="435">
        <v>2</v>
      </c>
      <c r="E45" s="86" t="str">
        <f>DEC2HEX(((D45)*2^30),8)</f>
        <v>80000000</v>
      </c>
      <c r="F45" s="89" t="s">
        <v>355</v>
      </c>
      <c r="G45" s="607" t="s">
        <v>37</v>
      </c>
      <c r="H45" s="607" t="str">
        <f>"0x"&amp;DEC2HEX((HEX2DEC(C35)), 8)</f>
        <v>0x3D400000</v>
      </c>
      <c r="I45" s="611" t="str">
        <f>"0x"&amp;DEC2HEX((HEX2DEC(E45)+HEX2DEC(E46)+HEX2DEC(E47)+HEX2DEC(E48)+HEX2DEC(E49)+HEX2DEC(E50)+HEX2DEC(E51)+HEX2DEC(E52)+HEX2DEC(E53)+HEX2DEC(E54)+HEX2DEC(E55)+HEX2DEC(E56)+HEX2DEC(E57)),8)</f>
        <v>0xA1080020</v>
      </c>
      <c r="J45" s="18"/>
      <c r="AJ45" s="8"/>
    </row>
    <row r="46" spans="1:36" ht="48" customHeight="1">
      <c r="B46" s="168" t="s">
        <v>211</v>
      </c>
      <c r="C46" s="100" t="s">
        <v>0</v>
      </c>
      <c r="D46" s="436">
        <v>1</v>
      </c>
      <c r="E46" s="87" t="str">
        <f>DEC2HEX(((D46)*2^29),8)</f>
        <v>20000000</v>
      </c>
      <c r="F46" s="170" t="s">
        <v>988</v>
      </c>
      <c r="G46" s="608"/>
      <c r="H46" s="608"/>
      <c r="I46" s="612"/>
      <c r="J46" s="18"/>
      <c r="AJ46" s="8"/>
    </row>
    <row r="47" spans="1:36" ht="92.4">
      <c r="A47" s="6"/>
      <c r="B47" s="59" t="s">
        <v>113</v>
      </c>
      <c r="C47" s="100" t="s">
        <v>0</v>
      </c>
      <c r="D47" s="159">
        <f>IF(C22=1, 1, 3)</f>
        <v>1</v>
      </c>
      <c r="E47" s="161" t="str">
        <f>DEC2HEX(((D47)*2^24),8)</f>
        <v>01000000</v>
      </c>
      <c r="F47" s="132" t="s">
        <v>210</v>
      </c>
      <c r="G47" s="609"/>
      <c r="H47" s="609"/>
      <c r="I47" s="612"/>
      <c r="J47" s="18"/>
    </row>
    <row r="48" spans="1:36" ht="111" customHeight="1">
      <c r="B48" s="59" t="s">
        <v>114</v>
      </c>
      <c r="C48" s="61" t="s">
        <v>0</v>
      </c>
      <c r="D48" s="163">
        <f>IF(C17="LPDDR2",2,(IF(C17="LPDDR4",8,4)))</f>
        <v>8</v>
      </c>
      <c r="E48" s="161" t="str">
        <f>DEC2HEX(((D48)*2^16),8)</f>
        <v>00080000</v>
      </c>
      <c r="F48" s="132" t="s">
        <v>215</v>
      </c>
      <c r="G48" s="609"/>
      <c r="H48" s="609"/>
      <c r="I48" s="612"/>
      <c r="J48" s="82"/>
    </row>
    <row r="49" spans="2:11" ht="61.5" customHeight="1">
      <c r="B49" s="59" t="s">
        <v>115</v>
      </c>
      <c r="C49" s="61" t="s">
        <v>0</v>
      </c>
      <c r="D49" s="126">
        <v>0</v>
      </c>
      <c r="E49" s="161" t="str">
        <f>DEC2HEX(((D49)*2^15),8)</f>
        <v>00000000</v>
      </c>
      <c r="F49" s="132" t="s">
        <v>38</v>
      </c>
      <c r="G49" s="609"/>
      <c r="H49" s="609"/>
      <c r="I49" s="612"/>
      <c r="J49" s="18"/>
    </row>
    <row r="50" spans="2:11" ht="105.6">
      <c r="B50" s="59" t="s">
        <v>116</v>
      </c>
      <c r="C50" s="61" t="s">
        <v>0</v>
      </c>
      <c r="D50" s="126">
        <f>IF(C28= 32, 0, 1)</f>
        <v>0</v>
      </c>
      <c r="E50" s="161" t="str">
        <f>DEC2HEX(((D50)*2^12),8)</f>
        <v>00000000</v>
      </c>
      <c r="F50" s="132" t="s">
        <v>203</v>
      </c>
      <c r="G50" s="609"/>
      <c r="H50" s="609"/>
      <c r="I50" s="612"/>
      <c r="J50" s="18"/>
    </row>
    <row r="51" spans="2:11" ht="79.2">
      <c r="B51" s="59" t="s">
        <v>117</v>
      </c>
      <c r="C51" s="61" t="s">
        <v>0</v>
      </c>
      <c r="D51" s="126">
        <v>0</v>
      </c>
      <c r="E51" s="161" t="str">
        <f>DEC2HEX(((D51)*2^9),8)</f>
        <v>00000000</v>
      </c>
      <c r="F51" s="132" t="s">
        <v>212</v>
      </c>
      <c r="G51" s="609"/>
      <c r="H51" s="609"/>
      <c r="I51" s="612"/>
      <c r="J51" s="18"/>
    </row>
    <row r="52" spans="2:11" ht="52.8">
      <c r="B52" s="59" t="s">
        <v>118</v>
      </c>
      <c r="C52" s="61" t="s">
        <v>0</v>
      </c>
      <c r="D52" s="126">
        <v>0</v>
      </c>
      <c r="E52" s="161" t="str">
        <f>DEC2HEX(((D52)*2^8),8)</f>
        <v>00000000</v>
      </c>
      <c r="F52" s="132" t="s">
        <v>161</v>
      </c>
      <c r="G52" s="609"/>
      <c r="H52" s="609"/>
      <c r="I52" s="612"/>
      <c r="J52" s="18"/>
    </row>
    <row r="53" spans="2:11" ht="92.4">
      <c r="B53" s="59" t="s">
        <v>206</v>
      </c>
      <c r="C53" s="61" t="s">
        <v>0</v>
      </c>
      <c r="D53" s="159">
        <f>IF(C17 = "lpddr4",1,0)</f>
        <v>1</v>
      </c>
      <c r="E53" s="161" t="str">
        <f>DEC2HEX(((D53)*2^5),8)</f>
        <v>00000020</v>
      </c>
      <c r="F53" s="132" t="s">
        <v>213</v>
      </c>
      <c r="G53" s="609"/>
      <c r="H53" s="609"/>
      <c r="I53" s="612"/>
      <c r="J53" s="18"/>
    </row>
    <row r="54" spans="2:11" ht="92.4">
      <c r="B54" s="59" t="s">
        <v>207</v>
      </c>
      <c r="C54" s="61" t="s">
        <v>0</v>
      </c>
      <c r="D54" s="159">
        <f>IF(C17 = "ddr4",1,0)</f>
        <v>0</v>
      </c>
      <c r="E54" s="161" t="str">
        <f>DEC2HEX(((D54)*2^4),8)</f>
        <v>00000000</v>
      </c>
      <c r="F54" s="132" t="s">
        <v>214</v>
      </c>
      <c r="G54" s="609"/>
      <c r="H54" s="609"/>
      <c r="I54" s="612"/>
      <c r="J54" s="18"/>
    </row>
    <row r="55" spans="2:11" ht="92.4">
      <c r="B55" s="59" t="s">
        <v>36</v>
      </c>
      <c r="C55" s="61" t="s">
        <v>0</v>
      </c>
      <c r="D55" s="159">
        <f>IF(C17 = "lpddr3",1,0)</f>
        <v>0</v>
      </c>
      <c r="E55" s="161" t="str">
        <f>DEC2HEX(((D55)*2^3),8)</f>
        <v>00000000</v>
      </c>
      <c r="F55" s="132" t="s">
        <v>120</v>
      </c>
      <c r="G55" s="609"/>
      <c r="H55" s="609"/>
      <c r="I55" s="612"/>
      <c r="J55" s="18"/>
    </row>
    <row r="56" spans="2:11" ht="92.4">
      <c r="B56" s="59" t="s">
        <v>13</v>
      </c>
      <c r="C56" s="61" t="s">
        <v>0</v>
      </c>
      <c r="D56" s="159">
        <f>IF(C17 = "lpddr2",1,0)</f>
        <v>0</v>
      </c>
      <c r="E56" s="161" t="str">
        <f>DEC2HEX(((D56)*2^2),8)</f>
        <v>00000000</v>
      </c>
      <c r="F56" s="132" t="s">
        <v>121</v>
      </c>
      <c r="G56" s="609"/>
      <c r="H56" s="609"/>
      <c r="I56" s="612"/>
      <c r="J56" s="18"/>
    </row>
    <row r="57" spans="2:11" ht="93" thickBot="1">
      <c r="B57" s="60" t="s">
        <v>119</v>
      </c>
      <c r="C57" s="63" t="s">
        <v>0</v>
      </c>
      <c r="D57" s="115">
        <f>IF(C17 = "ddr3",1,0)</f>
        <v>0</v>
      </c>
      <c r="E57" s="162" t="str">
        <f>DEC2HEX(((D57)*2^0),8)</f>
        <v>00000000</v>
      </c>
      <c r="F57" s="136" t="s">
        <v>122</v>
      </c>
      <c r="G57" s="610"/>
      <c r="H57" s="610"/>
      <c r="I57" s="613"/>
      <c r="J57" s="18"/>
    </row>
    <row r="58" spans="2:11" ht="15" thickBot="1">
      <c r="B58" s="76"/>
      <c r="C58" s="77"/>
      <c r="D58" s="119"/>
      <c r="E58" s="36"/>
      <c r="F58" s="139"/>
      <c r="G58" s="76"/>
      <c r="H58" s="76"/>
      <c r="I58" s="76"/>
      <c r="J58" s="18"/>
    </row>
    <row r="59" spans="2:11" ht="132.6" thickBot="1">
      <c r="B59" s="250" t="s">
        <v>989</v>
      </c>
      <c r="C59" s="317" t="s">
        <v>0</v>
      </c>
      <c r="D59" s="415">
        <v>0</v>
      </c>
      <c r="E59" s="253" t="str">
        <f>DEC2HEX(((D59)*2^0),8)</f>
        <v>00000000</v>
      </c>
      <c r="F59" s="254" t="s">
        <v>991</v>
      </c>
      <c r="G59" s="416" t="s">
        <v>990</v>
      </c>
      <c r="H59" s="416" t="str">
        <f>"0x"&amp;DEC2HEX((HEX2DEC(C35) + 40), 8)</f>
        <v>0x3D400028</v>
      </c>
      <c r="I59" s="417" t="str">
        <f>"0x"&amp;DEC2HEX((HEX2DEC(E59)), 8)</f>
        <v>0x00000000</v>
      </c>
      <c r="J59" s="18"/>
    </row>
    <row r="60" spans="2:11" ht="15" thickBot="1">
      <c r="B60" s="76"/>
      <c r="C60" s="77"/>
      <c r="D60" s="119"/>
      <c r="E60" s="36"/>
      <c r="F60" s="73"/>
      <c r="G60" s="76"/>
      <c r="H60" s="76"/>
      <c r="I60" s="76"/>
      <c r="J60" s="18"/>
    </row>
    <row r="61" spans="2:11" ht="13.8" thickBot="1">
      <c r="B61" s="531" t="s">
        <v>162</v>
      </c>
      <c r="C61" s="532"/>
      <c r="D61" s="532"/>
      <c r="E61" s="532"/>
      <c r="F61" s="532"/>
      <c r="G61" s="532"/>
      <c r="H61" s="532"/>
      <c r="I61" s="533"/>
      <c r="J61" s="18"/>
      <c r="K61" s="66"/>
    </row>
    <row r="62" spans="2:11" ht="52.8">
      <c r="B62" s="58" t="s">
        <v>163</v>
      </c>
      <c r="C62" s="65" t="s">
        <v>0</v>
      </c>
      <c r="D62" s="57">
        <v>0</v>
      </c>
      <c r="E62" s="238" t="str">
        <f>DEC2HEX(((D62)*2^8),8)</f>
        <v>00000000</v>
      </c>
      <c r="F62" s="133" t="s">
        <v>98</v>
      </c>
      <c r="G62" s="458" t="s">
        <v>58</v>
      </c>
      <c r="H62" s="458" t="str">
        <f>"0x"&amp;DEC2HEX((HEX2DEC(C35)+512), 8)</f>
        <v>0x3D400200</v>
      </c>
      <c r="I62" s="461" t="str">
        <f>"0x"&amp;DEC2HEX((HEX2DEC(E62)+HEX2DEC(E63)), 8)</f>
        <v>0x0000001F</v>
      </c>
      <c r="J62" s="18"/>
      <c r="K62" s="66"/>
    </row>
    <row r="63" spans="2:11" ht="91.5" customHeight="1" thickBot="1">
      <c r="B63" s="60" t="s">
        <v>164</v>
      </c>
      <c r="C63" s="63" t="s">
        <v>0</v>
      </c>
      <c r="D63" s="130">
        <f>IF(C22=1,31,(IF(OR(C20=6,C20=12),(C24+C25+C26-6-2-IF(C28=16,1,0)),(C24+C25+C26-6-IF(C28=16,1,0)))))</f>
        <v>31</v>
      </c>
      <c r="E63" s="239" t="str">
        <f>DEC2HEX(((D63)*2^0),8)</f>
        <v>0000001F</v>
      </c>
      <c r="F63" s="136" t="s">
        <v>79</v>
      </c>
      <c r="G63" s="460"/>
      <c r="H63" s="460"/>
      <c r="I63" s="463"/>
      <c r="J63" s="18"/>
      <c r="K63" s="66"/>
    </row>
    <row r="64" spans="2:11" ht="3" customHeight="1" thickBot="1">
      <c r="B64" s="69"/>
      <c r="C64" s="70"/>
      <c r="D64" s="71"/>
      <c r="E64" s="72"/>
      <c r="F64" s="139"/>
      <c r="G64" s="36"/>
      <c r="H64" s="36"/>
      <c r="I64" s="55"/>
      <c r="J64" s="18"/>
      <c r="K64" s="66"/>
    </row>
    <row r="65" spans="1:11" ht="86.25" customHeight="1">
      <c r="B65" s="58" t="s">
        <v>165</v>
      </c>
      <c r="C65" s="65" t="s">
        <v>0</v>
      </c>
      <c r="D65" s="116">
        <f>D67</f>
        <v>8</v>
      </c>
      <c r="E65" s="52" t="str">
        <f>DEC2HEX(((D65)*2^16),8)</f>
        <v>00080000</v>
      </c>
      <c r="F65" s="133" t="s">
        <v>80</v>
      </c>
      <c r="G65" s="458" t="s">
        <v>59</v>
      </c>
      <c r="H65" s="458" t="str">
        <f>"0x"&amp;DEC2HEX((HEX2DEC(C35)+516), 8)</f>
        <v>0x3D400204</v>
      </c>
      <c r="I65" s="461" t="str">
        <f>"0x"&amp;DEC2HEX((HEX2DEC(E65)+HEX2DEC(E66)+HEX2DEC(E67)), 8)</f>
        <v>0x00080808</v>
      </c>
      <c r="J65" s="18"/>
      <c r="K65" s="66"/>
    </row>
    <row r="66" spans="1:11" ht="74.25" customHeight="1">
      <c r="B66" s="75" t="s">
        <v>166</v>
      </c>
      <c r="C66" s="61" t="s">
        <v>0</v>
      </c>
      <c r="D66" s="114">
        <f>D67</f>
        <v>8</v>
      </c>
      <c r="E66" s="53" t="str">
        <f>DEC2HEX(((D66)*2^8),8)</f>
        <v>00000800</v>
      </c>
      <c r="F66" s="135" t="s">
        <v>81</v>
      </c>
      <c r="G66" s="459"/>
      <c r="H66" s="459"/>
      <c r="I66" s="462"/>
      <c r="J66" s="18"/>
      <c r="K66" s="66"/>
    </row>
    <row r="67" spans="1:11" ht="76.5" customHeight="1" thickBot="1">
      <c r="B67" s="60" t="s">
        <v>167</v>
      </c>
      <c r="C67" s="63" t="s">
        <v>0</v>
      </c>
      <c r="D67" s="115">
        <f>IF(C28=32, (C25-2), (C25-2-1))</f>
        <v>8</v>
      </c>
      <c r="E67" s="54" t="str">
        <f>DEC2HEX(((D67)*2^0),8)</f>
        <v>00000008</v>
      </c>
      <c r="F67" s="136" t="s">
        <v>82</v>
      </c>
      <c r="G67" s="460"/>
      <c r="H67" s="460"/>
      <c r="I67" s="463"/>
      <c r="J67" s="18"/>
      <c r="K67" s="66"/>
    </row>
    <row r="68" spans="1:11" s="12" customFormat="1" ht="8.25" customHeight="1" thickBot="1">
      <c r="B68" s="276"/>
      <c r="C68" s="276"/>
      <c r="D68" s="156"/>
      <c r="E68" s="277"/>
      <c r="F68" s="278"/>
      <c r="G68" s="278"/>
      <c r="H68" s="278"/>
      <c r="I68" s="279"/>
    </row>
    <row r="69" spans="1:11" ht="234.6">
      <c r="A69" s="6"/>
      <c r="B69" s="58" t="s">
        <v>343</v>
      </c>
      <c r="C69" s="65" t="s">
        <v>0</v>
      </c>
      <c r="D69" s="92">
        <f>IF(C28=32, IF(C25&gt;9, 0, 31), IF(C25&gt;10, 0, 31))</f>
        <v>0</v>
      </c>
      <c r="E69" s="268" t="str">
        <f>DEC2HEX(((D69)*2^24),8)</f>
        <v>00000000</v>
      </c>
      <c r="F69" s="280" t="s">
        <v>828</v>
      </c>
      <c r="G69" s="464" t="s">
        <v>344</v>
      </c>
      <c r="H69" s="465" t="str">
        <f>"0x"&amp;DEC2HEX((HEX2DEC(C35)+524), 8)</f>
        <v>0x3D40020C</v>
      </c>
      <c r="I69" s="461" t="str">
        <f>"0x"&amp;DEC2HEX((HEX2DEC(E69)+HEX2DEC(E70)+HEX2DEC(E71)+HEX2DEC(E72)), 8)</f>
        <v>0x00000000</v>
      </c>
      <c r="J69" s="18"/>
      <c r="K69" s="66"/>
    </row>
    <row r="70" spans="1:11" ht="204">
      <c r="A70" s="6"/>
      <c r="B70" s="59" t="s">
        <v>345</v>
      </c>
      <c r="C70" s="61" t="s">
        <v>0</v>
      </c>
      <c r="D70" s="232">
        <f>IF(C28=32, IF(C25&gt;8, 0, 31), IF(C25&gt;9, 0, 31))</f>
        <v>0</v>
      </c>
      <c r="E70" s="269" t="str">
        <f>DEC2HEX(((D70)*2^16),8)</f>
        <v>00000000</v>
      </c>
      <c r="F70" s="281" t="s">
        <v>829</v>
      </c>
      <c r="G70" s="459"/>
      <c r="H70" s="459"/>
      <c r="I70" s="462"/>
      <c r="J70" s="18"/>
      <c r="K70" s="66"/>
    </row>
    <row r="71" spans="1:11" ht="132.6">
      <c r="A71" s="6"/>
      <c r="B71" s="59" t="s">
        <v>346</v>
      </c>
      <c r="C71" s="61" t="s">
        <v>0</v>
      </c>
      <c r="D71" s="232">
        <f>IF(C28=32, IF(C25&gt;7, 0, 31), IF(C25&gt;8, 0, 31))</f>
        <v>0</v>
      </c>
      <c r="E71" s="269" t="str">
        <f>DEC2HEX(((D71)*2^8),8)</f>
        <v>00000000</v>
      </c>
      <c r="F71" s="281" t="s">
        <v>830</v>
      </c>
      <c r="G71" s="459"/>
      <c r="H71" s="459"/>
      <c r="I71" s="462"/>
      <c r="J71" s="18"/>
      <c r="K71" s="66"/>
    </row>
    <row r="72" spans="1:11" ht="102.6" thickBot="1">
      <c r="A72" s="6"/>
      <c r="B72" s="60" t="s">
        <v>347</v>
      </c>
      <c r="C72" s="63" t="s">
        <v>0</v>
      </c>
      <c r="D72" s="164">
        <f>IF(C28=32, IF(C25&gt;6, 0, 15), IF(C25&gt;7, 0, 15))</f>
        <v>0</v>
      </c>
      <c r="E72" s="270" t="str">
        <f>DEC2HEX(((D72)*2^0),8)</f>
        <v>00000000</v>
      </c>
      <c r="F72" s="282" t="s">
        <v>348</v>
      </c>
      <c r="G72" s="460"/>
      <c r="H72" s="460"/>
      <c r="I72" s="463"/>
      <c r="J72" s="18"/>
      <c r="K72" s="66"/>
    </row>
    <row r="73" spans="1:11" ht="2.25" customHeight="1">
      <c r="B73" s="76"/>
      <c r="C73" s="77"/>
      <c r="D73" s="78"/>
      <c r="E73" s="36"/>
      <c r="F73" s="139"/>
      <c r="G73" s="81"/>
      <c r="H73" s="81"/>
      <c r="I73" s="81"/>
      <c r="J73" s="18"/>
      <c r="K73" s="66"/>
    </row>
    <row r="74" spans="1:11" ht="2.25" customHeight="1" thickBot="1">
      <c r="B74" s="76"/>
      <c r="C74" s="77"/>
      <c r="D74" s="78"/>
      <c r="E74" s="36"/>
      <c r="F74" s="139"/>
      <c r="G74" s="81"/>
      <c r="H74" s="81"/>
      <c r="I74" s="81"/>
      <c r="J74" s="18"/>
      <c r="K74" s="66"/>
    </row>
    <row r="75" spans="1:11" ht="118.8">
      <c r="B75" s="58" t="s">
        <v>168</v>
      </c>
      <c r="C75" s="65" t="s">
        <v>0</v>
      </c>
      <c r="D75" s="117">
        <f>IF(11&lt;C25,0,15+16)</f>
        <v>31</v>
      </c>
      <c r="E75" s="52" t="str">
        <f>DEC2HEX(((D75)*2^8),8)</f>
        <v>00001F00</v>
      </c>
      <c r="F75" s="133" t="s">
        <v>301</v>
      </c>
      <c r="G75" s="464" t="s">
        <v>95</v>
      </c>
      <c r="H75" s="465" t="str">
        <f>"0x"&amp;DEC2HEX((HEX2DEC(C35)+528), 8)</f>
        <v>0x3D400210</v>
      </c>
      <c r="I75" s="466" t="str">
        <f>"0x"&amp;DEC2HEX((HEX2DEC(E75)+HEX2DEC(E76)), 8)</f>
        <v>0x00001F1F</v>
      </c>
      <c r="J75" s="18"/>
      <c r="K75" s="66"/>
    </row>
    <row r="76" spans="1:11" ht="119.4" thickBot="1">
      <c r="B76" s="60" t="s">
        <v>169</v>
      </c>
      <c r="C76" s="63" t="s">
        <v>0</v>
      </c>
      <c r="D76" s="115">
        <f>IF(10&lt;C25,0,15+16)</f>
        <v>31</v>
      </c>
      <c r="E76" s="54" t="str">
        <f>DEC2HEX(((D76)*2^0),8)</f>
        <v>0000001F</v>
      </c>
      <c r="F76" s="136" t="s">
        <v>302</v>
      </c>
      <c r="G76" s="460"/>
      <c r="H76" s="460"/>
      <c r="I76" s="463"/>
      <c r="J76" s="18"/>
      <c r="K76" s="66"/>
    </row>
    <row r="77" spans="1:11" ht="3" customHeight="1" thickBot="1">
      <c r="B77" s="69"/>
      <c r="C77" s="70"/>
      <c r="D77" s="71">
        <v>8</v>
      </c>
      <c r="E77" s="72"/>
      <c r="F77" s="73"/>
      <c r="G77" s="36"/>
      <c r="H77" s="36"/>
      <c r="I77" s="55"/>
      <c r="J77" s="18"/>
      <c r="K77" s="66"/>
    </row>
    <row r="78" spans="1:11" ht="93" customHeight="1">
      <c r="B78" s="58" t="s">
        <v>170</v>
      </c>
      <c r="C78" s="65" t="s">
        <v>0</v>
      </c>
      <c r="D78" s="117">
        <f>D81</f>
        <v>7</v>
      </c>
      <c r="E78" s="52" t="str">
        <f>DEC2HEX(((D78)*2^24),8)</f>
        <v>07000000</v>
      </c>
      <c r="F78" s="133" t="s">
        <v>83</v>
      </c>
      <c r="G78" s="458" t="s">
        <v>60</v>
      </c>
      <c r="H78" s="458" t="str">
        <f>"0x"&amp;DEC2HEX((HEX2DEC(C35)+532), 8)</f>
        <v>0x3D400214</v>
      </c>
      <c r="I78" s="461" t="str">
        <f>"0x"&amp;DEC2HEX((HEX2DEC(E78)+HEX2DEC(E79)+HEX2DEC(E80)+HEX2DEC(E81)), 8)</f>
        <v>0x07070707</v>
      </c>
      <c r="J78" s="18"/>
      <c r="K78" s="66"/>
    </row>
    <row r="79" spans="1:11" ht="114" customHeight="1">
      <c r="B79" s="59" t="s">
        <v>171</v>
      </c>
      <c r="C79" s="61" t="s">
        <v>0</v>
      </c>
      <c r="D79" s="114">
        <f>D81</f>
        <v>7</v>
      </c>
      <c r="E79" s="53" t="str">
        <f>DEC2HEX(((D79)*2^16),8)</f>
        <v>00070000</v>
      </c>
      <c r="F79" s="132" t="s">
        <v>84</v>
      </c>
      <c r="G79" s="459"/>
      <c r="H79" s="459"/>
      <c r="I79" s="462"/>
      <c r="J79" s="18"/>
      <c r="K79" s="66"/>
    </row>
    <row r="80" spans="1:11" ht="79.5" customHeight="1">
      <c r="B80" s="75" t="s">
        <v>172</v>
      </c>
      <c r="C80" s="61" t="s">
        <v>0</v>
      </c>
      <c r="D80" s="114">
        <f>D81</f>
        <v>7</v>
      </c>
      <c r="E80" s="53" t="str">
        <f>DEC2HEX(((D80)*2^8),8)</f>
        <v>00000700</v>
      </c>
      <c r="F80" s="135" t="s">
        <v>85</v>
      </c>
      <c r="G80" s="459"/>
      <c r="H80" s="459"/>
      <c r="I80" s="462"/>
      <c r="J80" s="18"/>
      <c r="K80" s="66"/>
    </row>
    <row r="81" spans="1:11" ht="92.25" customHeight="1" thickBot="1">
      <c r="B81" s="60" t="s">
        <v>173</v>
      </c>
      <c r="C81" s="63" t="s">
        <v>0</v>
      </c>
      <c r="D81" s="115">
        <f>IF(C28=32,  (C25+C26-6), (C25+C26-6-1))</f>
        <v>7</v>
      </c>
      <c r="E81" s="54" t="str">
        <f>DEC2HEX(((D81)*2^0),8)</f>
        <v>00000007</v>
      </c>
      <c r="F81" s="136" t="s">
        <v>86</v>
      </c>
      <c r="G81" s="460"/>
      <c r="H81" s="460"/>
      <c r="I81" s="463"/>
      <c r="J81" s="18"/>
      <c r="K81" s="66"/>
    </row>
    <row r="82" spans="1:11" ht="3" customHeight="1" thickBot="1">
      <c r="B82" s="69"/>
      <c r="C82" s="70"/>
      <c r="D82" s="71"/>
      <c r="E82" s="72"/>
      <c r="F82" s="73"/>
      <c r="G82" s="36"/>
      <c r="H82" s="36"/>
      <c r="I82" s="55"/>
      <c r="J82" s="18"/>
      <c r="K82" s="66"/>
    </row>
    <row r="83" spans="1:11" ht="168" customHeight="1">
      <c r="A83" s="6"/>
      <c r="B83" s="58" t="s">
        <v>341</v>
      </c>
      <c r="C83" s="93" t="s">
        <v>0</v>
      </c>
      <c r="D83" s="437">
        <f>IF(OR(C20=6, C20=12), C24-14, 0)</f>
        <v>0</v>
      </c>
      <c r="E83" s="332" t="str">
        <f>DEC2HEX(((D83)*2^29),8)</f>
        <v>00000000</v>
      </c>
      <c r="F83" s="133" t="s">
        <v>342</v>
      </c>
      <c r="G83" s="458" t="s">
        <v>61</v>
      </c>
      <c r="H83" s="458" t="str">
        <f>"0x"&amp;DEC2HEX((HEX2DEC(C35)+536), 8)</f>
        <v>0x3D400218</v>
      </c>
      <c r="I83" s="461" t="str">
        <f>"0x"&amp;DEC2HEX((HEX2DEC(E83)+HEX2DEC(E84)+HEX2DEC(E85)+HEX2DEC(E86)+HEX2DEC(E87)), 8)</f>
        <v>0x07070707</v>
      </c>
      <c r="J83" s="18"/>
      <c r="K83" s="66"/>
    </row>
    <row r="84" spans="1:11" ht="90" customHeight="1">
      <c r="B84" s="59" t="s">
        <v>174</v>
      </c>
      <c r="C84" s="94" t="s">
        <v>0</v>
      </c>
      <c r="D84" s="219">
        <f>IF(C24&gt;15, IF(OR(C20=6,C20=12), (D81+(C22-1)), D81), 15)</f>
        <v>7</v>
      </c>
      <c r="E84" s="333" t="str">
        <f>DEC2HEX(((D84)*2^24),8)</f>
        <v>07000000</v>
      </c>
      <c r="F84" s="132" t="s">
        <v>87</v>
      </c>
      <c r="G84" s="459"/>
      <c r="H84" s="459"/>
      <c r="I84" s="462"/>
      <c r="J84" s="18"/>
      <c r="K84" s="66"/>
    </row>
    <row r="85" spans="1:11" ht="86.25" customHeight="1">
      <c r="B85" s="59" t="s">
        <v>175</v>
      </c>
      <c r="C85" s="94" t="s">
        <v>0</v>
      </c>
      <c r="D85" s="219">
        <f>IF(C24&gt;14, IF(OR(C20=6,C20=12), (D81+(C22-1)), D81), 15)</f>
        <v>7</v>
      </c>
      <c r="E85" s="333" t="str">
        <f>DEC2HEX(((D85)*2^16),8)</f>
        <v>00070000</v>
      </c>
      <c r="F85" s="247" t="s">
        <v>88</v>
      </c>
      <c r="G85" s="459"/>
      <c r="H85" s="459"/>
      <c r="I85" s="462"/>
      <c r="J85" s="18"/>
      <c r="K85" s="66"/>
    </row>
    <row r="86" spans="1:11" ht="87" customHeight="1">
      <c r="B86" s="59" t="s">
        <v>176</v>
      </c>
      <c r="C86" s="94" t="s">
        <v>0</v>
      </c>
      <c r="D86" s="249">
        <f>IF(C24&gt;13,IF(AND(C24&lt;16,(OR(C20=6,C20=12))), (D81+(C22-1)), D81), 15)</f>
        <v>7</v>
      </c>
      <c r="E86" s="333" t="str">
        <f>DEC2HEX(((D86)*2^8),8)</f>
        <v>00000700</v>
      </c>
      <c r="F86" s="247" t="s">
        <v>89</v>
      </c>
      <c r="G86" s="459"/>
      <c r="H86" s="459"/>
      <c r="I86" s="462"/>
      <c r="J86" s="18"/>
      <c r="K86" s="66"/>
    </row>
    <row r="87" spans="1:11" ht="89.25" customHeight="1" thickBot="1">
      <c r="B87" s="60" t="s">
        <v>177</v>
      </c>
      <c r="C87" s="97" t="s">
        <v>0</v>
      </c>
      <c r="D87" s="115">
        <f>IF(12&lt;C24,D81,15)</f>
        <v>7</v>
      </c>
      <c r="E87" s="334" t="str">
        <f>DEC2HEX(((D87)*2^0),8)</f>
        <v>00000007</v>
      </c>
      <c r="F87" s="136" t="s">
        <v>90</v>
      </c>
      <c r="G87" s="460"/>
      <c r="H87" s="460"/>
      <c r="I87" s="463"/>
      <c r="J87" s="18"/>
      <c r="K87" s="66"/>
    </row>
    <row r="88" spans="1:11" ht="8.25" customHeight="1" thickBot="1">
      <c r="B88" s="76"/>
      <c r="C88" s="77"/>
      <c r="D88" s="78"/>
      <c r="E88" s="36"/>
      <c r="F88" s="73"/>
      <c r="G88" s="36"/>
      <c r="H88" s="36"/>
      <c r="I88" s="55"/>
      <c r="J88" s="18"/>
      <c r="K88" s="66"/>
    </row>
    <row r="89" spans="1:11" ht="27" thickBot="1">
      <c r="B89" s="14" t="s">
        <v>77</v>
      </c>
      <c r="C89" s="14" t="s">
        <v>2</v>
      </c>
      <c r="D89" s="14" t="s">
        <v>19</v>
      </c>
      <c r="E89" s="14" t="s">
        <v>6</v>
      </c>
      <c r="F89" s="15" t="s">
        <v>1</v>
      </c>
      <c r="G89" s="35" t="s">
        <v>3</v>
      </c>
      <c r="H89" s="16" t="s">
        <v>288</v>
      </c>
      <c r="I89" s="16" t="s">
        <v>4</v>
      </c>
      <c r="J89" s="18"/>
      <c r="K89" s="66"/>
    </row>
    <row r="90" spans="1:11" ht="3.75" customHeight="1" thickBot="1">
      <c r="B90" s="76"/>
      <c r="C90" s="77"/>
      <c r="D90" s="78"/>
      <c r="E90" s="36"/>
      <c r="F90" s="73"/>
      <c r="G90" s="36"/>
      <c r="H90" s="36"/>
      <c r="I90" s="55"/>
      <c r="J90" s="18"/>
      <c r="K90" s="66"/>
    </row>
    <row r="91" spans="1:11" ht="145.19999999999999">
      <c r="B91" s="58" t="s">
        <v>290</v>
      </c>
      <c r="C91" s="93" t="s">
        <v>0</v>
      </c>
      <c r="D91" s="57">
        <v>2</v>
      </c>
      <c r="E91" s="229" t="str">
        <f>DEC2HEX(((D91)*2^20),8)</f>
        <v>00200000</v>
      </c>
      <c r="F91" s="33" t="s">
        <v>291</v>
      </c>
      <c r="G91" s="458" t="s">
        <v>289</v>
      </c>
      <c r="H91" s="458" t="str">
        <f>"0x"&amp;DEC2HEX((HEX2DEC(C35)+HEX2DEC(50)), 8)</f>
        <v>0x3D400050</v>
      </c>
      <c r="I91" s="594" t="str">
        <f>"0x"&amp;DEC2HEX((HEX2DEC(E91)+HEX2DEC(E92)+HEX2DEC(E93)+HEX2DEC(E94)), 8)</f>
        <v>0x00210070</v>
      </c>
      <c r="J91" s="530" t="s">
        <v>314</v>
      </c>
      <c r="K91" s="66"/>
    </row>
    <row r="92" spans="1:11" ht="176.25" customHeight="1">
      <c r="B92" s="59" t="s">
        <v>292</v>
      </c>
      <c r="C92" s="94" t="s">
        <v>0</v>
      </c>
      <c r="D92" s="126">
        <v>16</v>
      </c>
      <c r="E92" s="230" t="str">
        <f>DEC2HEX(((D92)*2^12),8)</f>
        <v>00010000</v>
      </c>
      <c r="F92" s="17" t="s">
        <v>293</v>
      </c>
      <c r="G92" s="479"/>
      <c r="H92" s="479"/>
      <c r="I92" s="595"/>
      <c r="J92" s="530"/>
      <c r="K92" s="66"/>
    </row>
    <row r="93" spans="1:11" ht="305.25" customHeight="1">
      <c r="B93" s="59" t="s">
        <v>294</v>
      </c>
      <c r="C93" s="94" t="s">
        <v>0</v>
      </c>
      <c r="D93" s="234">
        <v>7</v>
      </c>
      <c r="E93" s="230" t="str">
        <f>DEC2HEX(((D93)*2^4),8)</f>
        <v>00000070</v>
      </c>
      <c r="F93" s="17" t="s">
        <v>295</v>
      </c>
      <c r="G93" s="479"/>
      <c r="H93" s="479"/>
      <c r="I93" s="595"/>
      <c r="J93" s="530"/>
      <c r="K93" s="66"/>
    </row>
    <row r="94" spans="1:11" ht="106.2" thickBot="1">
      <c r="B94" s="60" t="s">
        <v>296</v>
      </c>
      <c r="C94" s="97" t="s">
        <v>0</v>
      </c>
      <c r="D94" s="235">
        <v>0</v>
      </c>
      <c r="E94" s="231" t="str">
        <f>DEC2HEX(((D94)*2^2),8)</f>
        <v>00000000</v>
      </c>
      <c r="F94" s="34" t="s">
        <v>297</v>
      </c>
      <c r="G94" s="480"/>
      <c r="H94" s="480"/>
      <c r="I94" s="596"/>
      <c r="J94" s="530"/>
      <c r="K94" s="66"/>
    </row>
    <row r="95" spans="1:11" ht="14.25" customHeight="1" thickBot="1">
      <c r="B95" s="76"/>
      <c r="C95" s="77"/>
      <c r="D95" s="78"/>
      <c r="E95" s="36"/>
      <c r="F95" s="73"/>
      <c r="G95" s="36"/>
      <c r="H95" s="36"/>
      <c r="I95" s="55"/>
      <c r="J95" s="18"/>
      <c r="K95" s="66"/>
    </row>
    <row r="96" spans="1:11" ht="343.2">
      <c r="B96" s="127" t="s">
        <v>136</v>
      </c>
      <c r="C96" s="362">
        <f>IF((G40 = "Option 2"), ROUNDDOWN(3904/4, 0), IF((G40 = "Option 1"), ROUNDDOWN(3904/2, 0), 3904))</f>
        <v>3904</v>
      </c>
      <c r="D96" s="117">
        <f>ROUNDDOWN(((C96/C30)/64), 0)</f>
        <v>97</v>
      </c>
      <c r="E96" s="242" t="str">
        <f>DEC2HEX(((D96)*2^16),8)</f>
        <v>00610000</v>
      </c>
      <c r="F96" s="137" t="s">
        <v>315</v>
      </c>
      <c r="G96" s="458" t="s">
        <v>39</v>
      </c>
      <c r="H96" s="458" t="str">
        <f>"0x"&amp;DEC2HEX((HEX2DEC(C35)+HEX2DEC(64)), 8)</f>
        <v>0x3D400064</v>
      </c>
      <c r="I96" s="461" t="str">
        <f>"0x"&amp;DEC2HEX((HEX2DEC(E96)+HEX2DEC(E97)), 8)</f>
        <v>0x006100E0</v>
      </c>
      <c r="J96" s="217" t="s">
        <v>340</v>
      </c>
      <c r="K96" s="66"/>
    </row>
    <row r="97" spans="2:22" ht="225" thickBot="1">
      <c r="B97" s="148" t="s">
        <v>137</v>
      </c>
      <c r="C97" s="164">
        <f>IF(C20&lt;3, 130, IF(C20&lt;6, 180, 280))</f>
        <v>280</v>
      </c>
      <c r="D97" s="115">
        <f>ROUNDUP((C97/C30/2),0)</f>
        <v>224</v>
      </c>
      <c r="E97" s="245" t="str">
        <f>DEC2HEX(((D97)*2^0),8)</f>
        <v>000000E0</v>
      </c>
      <c r="F97" s="138" t="s">
        <v>316</v>
      </c>
      <c r="G97" s="460"/>
      <c r="H97" s="460"/>
      <c r="I97" s="463"/>
      <c r="J97" s="18"/>
      <c r="K97" s="66"/>
    </row>
    <row r="98" spans="2:22" ht="9" customHeight="1" thickBot="1">
      <c r="B98" s="76"/>
      <c r="C98" s="77"/>
      <c r="D98" s="78"/>
      <c r="E98" s="36"/>
      <c r="F98" s="73"/>
      <c r="G98" s="36"/>
      <c r="H98" s="36"/>
      <c r="I98" s="55"/>
      <c r="J98" s="18"/>
      <c r="K98" s="66"/>
    </row>
    <row r="99" spans="2:22" ht="13.8" thickBot="1">
      <c r="B99" s="531" t="s">
        <v>216</v>
      </c>
      <c r="C99" s="532"/>
      <c r="D99" s="532"/>
      <c r="E99" s="532"/>
      <c r="F99" s="532"/>
      <c r="G99" s="532"/>
      <c r="H99" s="532"/>
      <c r="I99" s="533"/>
      <c r="J99" s="18"/>
      <c r="K99" s="66"/>
    </row>
    <row r="100" spans="2:22" ht="127.5" customHeight="1">
      <c r="B100" s="58" t="s">
        <v>99</v>
      </c>
      <c r="C100" s="65" t="s">
        <v>0</v>
      </c>
      <c r="D100" s="57">
        <v>3</v>
      </c>
      <c r="E100" s="52" t="str">
        <f>DEC2HEX(((D100)*2^30),8)</f>
        <v>C0000000</v>
      </c>
      <c r="F100" s="133" t="s">
        <v>91</v>
      </c>
      <c r="G100" s="458" t="s">
        <v>42</v>
      </c>
      <c r="H100" s="534" t="str">
        <f>"0x"&amp;DEC2HEX((HEX2DEC(C35)+208), 8)</f>
        <v>0x3D4000D0</v>
      </c>
      <c r="I100" s="537" t="str">
        <f>"0x"&amp;DEC2HEX((HEX2DEC(E100)+HEX2DEC(E101)+HEX2DEC(E102)), 8)</f>
        <v>0xC003061C</v>
      </c>
      <c r="J100" s="298" t="s">
        <v>351</v>
      </c>
    </row>
    <row r="101" spans="2:22" ht="316.8">
      <c r="B101" s="59" t="s">
        <v>100</v>
      </c>
      <c r="C101" s="61">
        <v>2000</v>
      </c>
      <c r="D101" s="114">
        <f>IF(C17="DDR3", 2, ROUNDUP(((C101/C30)/2/1024 +1),0))</f>
        <v>3</v>
      </c>
      <c r="E101" s="53" t="str">
        <f>DEC2HEX(((D101)*2^16),8)</f>
        <v>00030000</v>
      </c>
      <c r="F101" s="132" t="s">
        <v>353</v>
      </c>
      <c r="G101" s="459"/>
      <c r="H101" s="535"/>
      <c r="I101" s="538"/>
      <c r="J101" s="227"/>
      <c r="V101"/>
    </row>
    <row r="102" spans="2:22" ht="198.6" thickBot="1">
      <c r="B102" s="60" t="s">
        <v>101</v>
      </c>
      <c r="C102" s="63">
        <v>2000000</v>
      </c>
      <c r="D102" s="115">
        <f>ROUNDUP(((C102/C30)/2/1024 +1),0)</f>
        <v>1564</v>
      </c>
      <c r="E102" s="54" t="str">
        <f>DEC2HEX(((D102)*2^0),8)</f>
        <v>0000061C</v>
      </c>
      <c r="F102" s="136" t="s">
        <v>317</v>
      </c>
      <c r="G102" s="460"/>
      <c r="H102" s="536"/>
      <c r="I102" s="539"/>
      <c r="J102" s="614"/>
      <c r="K102" s="615"/>
    </row>
    <row r="103" spans="2:22" ht="8.25" customHeight="1" thickBot="1">
      <c r="B103" s="69"/>
      <c r="C103" s="70"/>
      <c r="D103" s="71"/>
      <c r="E103" s="72"/>
      <c r="F103" s="73"/>
      <c r="G103" s="36"/>
      <c r="H103" s="36"/>
      <c r="I103" s="55"/>
      <c r="J103" s="18"/>
      <c r="K103" s="228"/>
    </row>
    <row r="104" spans="2:22" ht="145.19999999999999">
      <c r="B104" s="58" t="s">
        <v>134</v>
      </c>
      <c r="C104" s="65">
        <v>200000</v>
      </c>
      <c r="D104" s="92">
        <f>IF(C17="LPDDR4", ROUNDUP((C104/C30/1024/2 + 1), 0), 1)</f>
        <v>158</v>
      </c>
      <c r="E104" s="160" t="str">
        <f>DEC2HEX(((D104)*2^16),8)</f>
        <v>009E0000</v>
      </c>
      <c r="F104" s="133" t="s">
        <v>300</v>
      </c>
      <c r="G104" s="458" t="s">
        <v>41</v>
      </c>
      <c r="H104" s="458" t="str">
        <f>"0x"&amp;DEC2HEX((HEX2DEC(C35)+212), 8)</f>
        <v>0x3D4000D4</v>
      </c>
      <c r="I104" s="461" t="str">
        <f>"0x"&amp;DEC2HEX((HEX2DEC(E104)+HEX2DEC(E105)), 8)</f>
        <v>0x009E0000</v>
      </c>
      <c r="J104" s="614"/>
      <c r="K104" s="615"/>
    </row>
    <row r="105" spans="2:22" ht="80.25" customHeight="1" thickBot="1">
      <c r="B105" s="60" t="s">
        <v>135</v>
      </c>
      <c r="C105" s="63" t="s">
        <v>0</v>
      </c>
      <c r="D105" s="64">
        <v>0</v>
      </c>
      <c r="E105" s="162" t="str">
        <f>DEC2HEX(((D105)*2^0),8)</f>
        <v>00000000</v>
      </c>
      <c r="F105" s="136" t="s">
        <v>40</v>
      </c>
      <c r="G105" s="460"/>
      <c r="H105" s="460"/>
      <c r="I105" s="463"/>
      <c r="J105" s="18"/>
    </row>
    <row r="106" spans="2:22" ht="7.5" customHeight="1">
      <c r="B106" s="69"/>
      <c r="C106" s="70"/>
      <c r="D106" s="71"/>
      <c r="E106" s="72"/>
      <c r="F106" s="73"/>
      <c r="G106" s="36"/>
      <c r="H106" s="36"/>
      <c r="I106" s="55"/>
      <c r="J106" s="18"/>
    </row>
    <row r="107" spans="2:22" ht="7.5" customHeight="1" thickBot="1">
      <c r="B107" s="69"/>
      <c r="C107" s="70"/>
      <c r="D107" s="71"/>
      <c r="E107" s="72"/>
      <c r="F107" s="73"/>
      <c r="G107" s="36"/>
      <c r="H107" s="36"/>
      <c r="I107" s="55"/>
      <c r="J107" s="18"/>
    </row>
    <row r="108" spans="2:22" ht="13.8" thickBot="1">
      <c r="B108" s="598" t="s">
        <v>179</v>
      </c>
      <c r="C108" s="599"/>
      <c r="D108" s="599"/>
      <c r="E108" s="599"/>
      <c r="F108" s="599"/>
      <c r="G108" s="599"/>
      <c r="H108" s="599"/>
      <c r="I108" s="600"/>
      <c r="J108" s="18"/>
    </row>
    <row r="109" spans="2:22" ht="303.60000000000002">
      <c r="B109" s="58" t="s">
        <v>180</v>
      </c>
      <c r="C109" s="93">
        <v>6</v>
      </c>
      <c r="D109" s="125">
        <f>(C109)</f>
        <v>6</v>
      </c>
      <c r="E109" s="52" t="str">
        <f>DEC2HEX(((D109)*2^8),8)</f>
        <v>00000600</v>
      </c>
      <c r="F109" s="137" t="s">
        <v>318</v>
      </c>
      <c r="G109" s="458" t="s">
        <v>45</v>
      </c>
      <c r="H109" s="458" t="str">
        <f>"0x"&amp;DEC2HEX((HEX2DEC(C35)+244), 8)</f>
        <v>0x3D4000F4</v>
      </c>
      <c r="I109" s="461" t="str">
        <f>"0x"&amp;DEC2HEX((HEX2DEC(E109)+HEX2DEC(E110)+HEX2DEC(E111)), 8)</f>
        <v>0x00000639</v>
      </c>
      <c r="J109" s="18"/>
    </row>
    <row r="110" spans="2:22" ht="316.8">
      <c r="B110" s="59" t="s">
        <v>181</v>
      </c>
      <c r="C110" s="94">
        <v>2</v>
      </c>
      <c r="D110" s="125">
        <f>(C110+1)</f>
        <v>3</v>
      </c>
      <c r="E110" s="53" t="str">
        <f>DEC2HEX(((D110)*2^4),8)</f>
        <v>00000030</v>
      </c>
      <c r="F110" s="233" t="s">
        <v>386</v>
      </c>
      <c r="G110" s="459"/>
      <c r="H110" s="459"/>
      <c r="I110" s="462"/>
      <c r="J110" s="18"/>
    </row>
    <row r="111" spans="2:22" ht="304.5" customHeight="1" thickBot="1">
      <c r="B111" s="60" t="s">
        <v>182</v>
      </c>
      <c r="C111" s="63" t="s">
        <v>0</v>
      </c>
      <c r="D111" s="64">
        <v>9</v>
      </c>
      <c r="E111" s="54" t="str">
        <f>DEC2HEX(((D111)*2^0),8)</f>
        <v>00000009</v>
      </c>
      <c r="F111" s="138" t="s">
        <v>92</v>
      </c>
      <c r="G111" s="460"/>
      <c r="H111" s="460"/>
      <c r="I111" s="463"/>
      <c r="J111" s="18"/>
    </row>
    <row r="112" spans="2:22" ht="9" customHeight="1" thickBot="1">
      <c r="B112" s="69"/>
      <c r="C112" s="70"/>
      <c r="D112" s="71"/>
      <c r="E112" s="72"/>
      <c r="F112" s="73"/>
      <c r="G112" s="36"/>
      <c r="H112" s="36"/>
      <c r="I112" s="55"/>
      <c r="J112" s="18"/>
    </row>
    <row r="113" spans="1:14" ht="290.39999999999998">
      <c r="B113" s="58" t="s">
        <v>183</v>
      </c>
      <c r="C113" s="92">
        <f>MAX(18/C30, 6)</f>
        <v>28.8</v>
      </c>
      <c r="D113" s="56">
        <f>ROUNDUP((1+C124+D48+ROUNDUP((C113),0))/2, 0)</f>
        <v>26</v>
      </c>
      <c r="E113" s="348" t="str">
        <f>DEC2HEX(((D113)*2^24),8)</f>
        <v>1A000000</v>
      </c>
      <c r="F113" s="133" t="s">
        <v>801</v>
      </c>
      <c r="G113" s="458" t="s">
        <v>46</v>
      </c>
      <c r="H113" s="458" t="str">
        <f>"0x"&amp;DEC2HEX((HEX2DEC(C35)+256), 8)</f>
        <v>0x3D400100</v>
      </c>
      <c r="I113" s="461" t="str">
        <f>"0x"&amp;DEC2HEX((HEX2DEC(E113)+HEX2DEC(E114)+HEX2DEC(E115)+HEX2DEC(E116)), 8)</f>
        <v>0x1A201B22</v>
      </c>
      <c r="J113" s="82"/>
      <c r="K113" s="25"/>
    </row>
    <row r="114" spans="1:14" ht="145.19999999999999">
      <c r="B114" s="74" t="s">
        <v>184</v>
      </c>
      <c r="C114" s="346">
        <v>40</v>
      </c>
      <c r="D114" s="159">
        <f>ROUNDUP(((C114/C30)/2),0)</f>
        <v>32</v>
      </c>
      <c r="E114" s="68" t="str">
        <f>DEC2HEX(((D114)*2^16),8)</f>
        <v>00200000</v>
      </c>
      <c r="F114" s="237" t="s">
        <v>802</v>
      </c>
      <c r="G114" s="479"/>
      <c r="H114" s="479"/>
      <c r="I114" s="481"/>
      <c r="J114" s="18"/>
      <c r="K114" s="25"/>
    </row>
    <row r="115" spans="1:14" ht="118.8">
      <c r="B115" s="59" t="s">
        <v>185</v>
      </c>
      <c r="C115" s="232">
        <f>IF(C17="DDR3", 9*C96, IF(C17="LPDDR4", (9*C96), 70000))</f>
        <v>35136</v>
      </c>
      <c r="D115" s="249">
        <f>MAX(ROUNDDOWN(((C115/C30 - 1)/2/1024),0), 1)</f>
        <v>27</v>
      </c>
      <c r="E115" s="349" t="str">
        <f>DEC2HEX(((D115)*2^8),8)</f>
        <v>00001B00</v>
      </c>
      <c r="F115" s="132" t="s">
        <v>319</v>
      </c>
      <c r="G115" s="459"/>
      <c r="H115" s="459"/>
      <c r="I115" s="462"/>
      <c r="J115" s="18"/>
      <c r="K115" s="25"/>
    </row>
    <row r="116" spans="1:14" ht="132.6" thickBot="1">
      <c r="B116" s="148" t="s">
        <v>186</v>
      </c>
      <c r="C116" s="164">
        <f>IF(G40 = "Option 2", MAX((42+1.875)/C30, 3), MAX(42/C30, 3))</f>
        <v>67.2</v>
      </c>
      <c r="D116" s="158">
        <f>ROUNDUP((C116)/2,0)</f>
        <v>34</v>
      </c>
      <c r="E116" s="154" t="str">
        <f>DEC2HEX(((D116)*2^0),8)</f>
        <v>00000022</v>
      </c>
      <c r="F116" s="157" t="s">
        <v>803</v>
      </c>
      <c r="G116" s="460"/>
      <c r="H116" s="460"/>
      <c r="I116" s="463"/>
      <c r="J116" s="18"/>
    </row>
    <row r="117" spans="1:14" ht="10.5" customHeight="1" thickBot="1">
      <c r="B117" s="69"/>
      <c r="C117" s="70"/>
      <c r="D117" s="71"/>
      <c r="E117" s="72"/>
      <c r="F117" s="73"/>
      <c r="G117" s="36"/>
      <c r="H117" s="36"/>
      <c r="I117" s="55"/>
      <c r="J117" s="18"/>
    </row>
    <row r="118" spans="1:14" ht="165.75" customHeight="1">
      <c r="B118" s="58" t="s">
        <v>108</v>
      </c>
      <c r="C118" s="116">
        <f>MAX(7.5/C30, 5)</f>
        <v>12</v>
      </c>
      <c r="D118" s="117">
        <f>ROUNDUP((C118)/2, 0)</f>
        <v>6</v>
      </c>
      <c r="E118" s="348" t="str">
        <f>DEC2HEX(((D118)*2^16),8)</f>
        <v>00060000</v>
      </c>
      <c r="F118" s="137" t="s">
        <v>804</v>
      </c>
      <c r="G118" s="467" t="s">
        <v>47</v>
      </c>
      <c r="H118" s="467" t="str">
        <f>"0x"&amp;DEC2HEX((HEX2DEC(C35)+260), 8)</f>
        <v>0x3D400104</v>
      </c>
      <c r="I118" s="523" t="str">
        <f>"0x"&amp;DEC2HEX((HEX2DEC(E118)+HEX2DEC(E119)+HEX2DEC(E120)), 8)</f>
        <v>0x00060633</v>
      </c>
      <c r="J118" s="18"/>
    </row>
    <row r="119" spans="1:14" ht="250.8">
      <c r="B119" s="59" t="s">
        <v>109</v>
      </c>
      <c r="C119" s="159">
        <f>MAX(7.5/C30, 8)</f>
        <v>12</v>
      </c>
      <c r="D119" s="159">
        <f>ROUNDUP(((C119)),0)/2</f>
        <v>6</v>
      </c>
      <c r="E119" s="349" t="str">
        <f>DEC2HEX(((D119)*2^8),8)</f>
        <v>00000600</v>
      </c>
      <c r="F119" s="350" t="s">
        <v>832</v>
      </c>
      <c r="G119" s="468"/>
      <c r="H119" s="468"/>
      <c r="I119" s="524"/>
      <c r="J119" s="98"/>
    </row>
    <row r="120" spans="1:14" ht="115.5" customHeight="1" thickBot="1">
      <c r="B120" s="60" t="s">
        <v>298</v>
      </c>
      <c r="C120" s="115">
        <f>IF(G40 = "Option 2", MAX((21+1.875)/C30, 4), MAX(21/C30, 4))</f>
        <v>33.6</v>
      </c>
      <c r="D120" s="164">
        <f>ROUNDUP((C120+C116)/2, 0)</f>
        <v>51</v>
      </c>
      <c r="E120" s="351" t="str">
        <f>DEC2HEX(((D120)*2^0),8)</f>
        <v>00000033</v>
      </c>
      <c r="F120" s="138" t="s">
        <v>833</v>
      </c>
      <c r="G120" s="469"/>
      <c r="H120" s="469"/>
      <c r="I120" s="525"/>
      <c r="J120" s="18"/>
    </row>
    <row r="121" spans="1:14" ht="13.8" thickBot="1">
      <c r="B121" s="76"/>
      <c r="C121" s="95"/>
      <c r="D121" s="78"/>
      <c r="E121" s="36"/>
      <c r="F121" s="73"/>
      <c r="G121" s="81"/>
      <c r="H121" s="81"/>
      <c r="I121" s="81"/>
      <c r="J121" s="18"/>
    </row>
    <row r="122" spans="1:14" ht="53.4" thickBot="1">
      <c r="B122" s="14" t="s">
        <v>77</v>
      </c>
      <c r="C122" s="16" t="s">
        <v>103</v>
      </c>
      <c r="D122" s="96" t="s">
        <v>187</v>
      </c>
      <c r="E122" s="14" t="s">
        <v>6</v>
      </c>
      <c r="F122" s="15" t="s">
        <v>1</v>
      </c>
      <c r="G122" s="35" t="s">
        <v>3</v>
      </c>
      <c r="H122" s="16" t="s">
        <v>288</v>
      </c>
      <c r="I122" s="16" t="s">
        <v>4</v>
      </c>
      <c r="J122" s="18"/>
    </row>
    <row r="123" spans="1:14" ht="4.5" customHeight="1" thickBot="1">
      <c r="B123" s="283"/>
      <c r="C123" s="284"/>
      <c r="D123" s="285"/>
      <c r="E123" s="286"/>
      <c r="F123" s="287"/>
      <c r="G123" s="284"/>
      <c r="H123" s="284"/>
      <c r="I123" s="288"/>
      <c r="J123" s="18"/>
    </row>
    <row r="124" spans="1:14" ht="199.5" customHeight="1">
      <c r="A124" s="6"/>
      <c r="B124" s="58" t="s">
        <v>106</v>
      </c>
      <c r="C124" s="218">
        <f>IF(C29&lt;201,4,(IF(C29&lt;534,6,IF(C29&lt;801,8,IF(C29&lt;1066,10,IF(C29&lt;1333,12,14))))))</f>
        <v>14</v>
      </c>
      <c r="D124" s="117">
        <f>ROUNDUP((C124/2), 0)</f>
        <v>7</v>
      </c>
      <c r="E124" s="348" t="str">
        <f>DEC2HEX(((D124)*2^24),8)</f>
        <v>07000000</v>
      </c>
      <c r="F124" s="133" t="s">
        <v>805</v>
      </c>
      <c r="G124" s="458" t="s">
        <v>48</v>
      </c>
      <c r="H124" s="458" t="str">
        <f>"0x"&amp;DEC2HEX((HEX2DEC(C35)+264), 8)</f>
        <v>0x3D400108</v>
      </c>
      <c r="I124" s="493" t="str">
        <f>"0x"&amp;DEC2HEX((HEX2DEC(E124)+HEX2DEC(E125)+HEX2DEC(E126)+HEX2DEC(E127)), 8)</f>
        <v>0x070E1617</v>
      </c>
      <c r="J124" s="82"/>
    </row>
    <row r="125" spans="1:14" ht="192" customHeight="1">
      <c r="A125" s="6"/>
      <c r="B125" s="74" t="s">
        <v>107</v>
      </c>
      <c r="C125" s="232">
        <f>IF(C29&lt;201, 6,  IF(D217=1, IF(C29&lt;534, 12, IF(C29&lt;801, 16, IF(C29&lt;1066, 22, IF(C29&lt;1333, 28, 32)))), IF(C29&lt;534, 10, IF(C29&lt;801, 14, IF(C29&lt;1066, 20, IF(C29&lt;1333, 24, 28))))))</f>
        <v>28</v>
      </c>
      <c r="D125" s="159">
        <f>ROUNDUP((C125/2), 0)</f>
        <v>14</v>
      </c>
      <c r="E125" s="68" t="str">
        <f>DEC2HEX(((D125)*2^16),8)</f>
        <v>000E0000</v>
      </c>
      <c r="F125" s="237" t="s">
        <v>806</v>
      </c>
      <c r="G125" s="479"/>
      <c r="H125" s="479"/>
      <c r="I125" s="503"/>
      <c r="J125" s="82"/>
    </row>
    <row r="126" spans="1:14" ht="409.6">
      <c r="A126" s="6"/>
      <c r="B126" s="59" t="s">
        <v>105</v>
      </c>
      <c r="C126" s="361">
        <v>3.6</v>
      </c>
      <c r="D126" s="83">
        <f>ROUNDUP((C125+D48+ROUNDUP(C126/C30, 0) + (0.5+D204) - (IF(C29&lt;1333, 4, 6)) -ROUNDUP((1.5/C30),0) + (C124 - N126)) /2,0)</f>
        <v>22</v>
      </c>
      <c r="E126" s="153" t="str">
        <f>DEC2HEX(((D126)*2^8),8)</f>
        <v>00001600</v>
      </c>
      <c r="F126" s="132" t="s">
        <v>1058</v>
      </c>
      <c r="G126" s="459"/>
      <c r="H126" s="459"/>
      <c r="I126" s="494"/>
      <c r="J126" s="224"/>
      <c r="M126" s="341" t="s">
        <v>1057</v>
      </c>
      <c r="N126" s="440">
        <f>IF(C124&lt;10, 0, IF(C124&lt;14, 4, IF(C124&lt;18, 6, 8)))</f>
        <v>6</v>
      </c>
    </row>
    <row r="127" spans="1:14" ht="343.8" thickBot="1">
      <c r="B127" s="99" t="s">
        <v>104</v>
      </c>
      <c r="C127" s="164">
        <f>MAX(10/C30, 8)</f>
        <v>16</v>
      </c>
      <c r="D127" s="164">
        <f>ROUNDUP((C124+D48+ C127  + 1 + (C124/2))/2, 0)</f>
        <v>23</v>
      </c>
      <c r="E127" s="354" t="str">
        <f>DEC2HEX(((D127)*2^0),8)</f>
        <v>00000017</v>
      </c>
      <c r="F127" s="134" t="s">
        <v>1059</v>
      </c>
      <c r="G127" s="460"/>
      <c r="H127" s="460"/>
      <c r="I127" s="495"/>
      <c r="J127" s="224"/>
      <c r="K127" s="25"/>
    </row>
    <row r="128" spans="1:14" ht="13.8" thickBot="1">
      <c r="B128" s="69"/>
      <c r="C128" s="70"/>
      <c r="D128" s="71"/>
      <c r="E128" s="72"/>
      <c r="F128" s="73"/>
      <c r="G128" s="36"/>
      <c r="H128" s="36"/>
      <c r="I128" s="55"/>
      <c r="J128" s="18"/>
    </row>
    <row r="129" spans="1:11" ht="79.2">
      <c r="B129" s="58" t="s">
        <v>110</v>
      </c>
      <c r="C129" s="92">
        <f>MAX(14/C30, 10)</f>
        <v>22.4</v>
      </c>
      <c r="D129" s="92">
        <f>ROUNDUP((C129)/2, 0)</f>
        <v>12</v>
      </c>
      <c r="E129" s="348" t="str">
        <f>DEC2HEX(((D129)*2^20),8)</f>
        <v>00C00000</v>
      </c>
      <c r="F129" s="33" t="s">
        <v>807</v>
      </c>
      <c r="G129" s="458" t="s">
        <v>49</v>
      </c>
      <c r="H129" s="458" t="str">
        <f>"0x"&amp;DEC2HEX((HEX2DEC(C35)+268), 8)</f>
        <v>0x3D40010C</v>
      </c>
      <c r="I129" s="461" t="str">
        <f>"0x"&amp;DEC2HEX((HEX2DEC(E129)+HEX2DEC(E130)+HEX2DEC(E131)), 8)</f>
        <v>0x00C0C000</v>
      </c>
      <c r="J129" s="18"/>
    </row>
    <row r="130" spans="1:11" ht="145.19999999999999">
      <c r="B130" s="128" t="s">
        <v>111</v>
      </c>
      <c r="C130" s="232">
        <f>MAX(14/C30, 10)</f>
        <v>22.4</v>
      </c>
      <c r="D130" s="118">
        <f>ROUNDUP((C130)/2, 0)</f>
        <v>12</v>
      </c>
      <c r="E130" s="349" t="str">
        <f>DEC2HEX(((D130)*2^12),8)</f>
        <v>0000C000</v>
      </c>
      <c r="F130" s="17" t="s">
        <v>808</v>
      </c>
      <c r="G130" s="459"/>
      <c r="H130" s="459"/>
      <c r="I130" s="462"/>
      <c r="J130" s="18"/>
    </row>
    <row r="131" spans="1:11" ht="172.2" thickBot="1">
      <c r="B131" s="148" t="s">
        <v>112</v>
      </c>
      <c r="C131" s="63">
        <v>0</v>
      </c>
      <c r="D131" s="115">
        <f>(C131/2)</f>
        <v>0</v>
      </c>
      <c r="E131" s="351" t="str">
        <f>DEC2HEX(((D131)*2^0),8)</f>
        <v>00000000</v>
      </c>
      <c r="F131" s="34" t="s">
        <v>299</v>
      </c>
      <c r="G131" s="460"/>
      <c r="H131" s="460"/>
      <c r="I131" s="463"/>
      <c r="J131" s="217"/>
    </row>
    <row r="132" spans="1:11" ht="13.5" customHeight="1" thickBot="1">
      <c r="B132" s="69"/>
      <c r="C132" s="70"/>
      <c r="D132" s="71"/>
      <c r="E132" s="72"/>
      <c r="F132" s="73"/>
      <c r="G132" s="36"/>
      <c r="H132" s="36"/>
      <c r="I132" s="55"/>
      <c r="J132" s="18"/>
    </row>
    <row r="133" spans="1:11" ht="145.19999999999999">
      <c r="B133" s="58" t="s">
        <v>123</v>
      </c>
      <c r="C133" s="92">
        <f>IF((G40 = "Option 2"), MAX((18+1.875)/C30, 4), MAX(18/C30, 4))</f>
        <v>28.8</v>
      </c>
      <c r="D133" s="117">
        <f>ROUNDUP(((C133)/2),0)</f>
        <v>15</v>
      </c>
      <c r="E133" s="348" t="str">
        <f>DEC2HEX(((D133)*2^24),8)</f>
        <v>0F000000</v>
      </c>
      <c r="F133" s="133" t="s">
        <v>831</v>
      </c>
      <c r="G133" s="458" t="s">
        <v>50</v>
      </c>
      <c r="H133" s="458" t="str">
        <f>"0x"&amp;DEC2HEX((HEX2DEC(C35)+272), 8)</f>
        <v>0x3D400110</v>
      </c>
      <c r="I133" s="493" t="str">
        <f>"0x"&amp;DEC2HEX((HEX2DEC(E133)+HEX2DEC(E134)+HEX2DEC(E135)+HEX2DEC(E136)), 8)</f>
        <v>0x0F04080F</v>
      </c>
      <c r="J133" s="18"/>
    </row>
    <row r="134" spans="1:11" ht="105.6">
      <c r="B134" s="59" t="s">
        <v>124</v>
      </c>
      <c r="C134" s="61">
        <v>8</v>
      </c>
      <c r="D134" s="159">
        <f>ROUNDUP(C134/2, 0)</f>
        <v>4</v>
      </c>
      <c r="E134" s="349" t="str">
        <f>DEC2HEX(((D134)*2^16),8)</f>
        <v>00040000</v>
      </c>
      <c r="F134" s="132" t="s">
        <v>809</v>
      </c>
      <c r="G134" s="459"/>
      <c r="H134" s="459"/>
      <c r="I134" s="494"/>
      <c r="J134" s="18"/>
    </row>
    <row r="135" spans="1:11" ht="105.6">
      <c r="B135" s="75" t="s">
        <v>125</v>
      </c>
      <c r="C135" s="232">
        <f>IF(G40 = "Option 2", MAX((10+1.875)/C30, 4), MAX(10/C30, 4))</f>
        <v>16</v>
      </c>
      <c r="D135" s="249">
        <f>ROUNDUP(((C135)/2),0)</f>
        <v>8</v>
      </c>
      <c r="E135" s="349" t="str">
        <f>DEC2HEX(((D135)*2^8),8)</f>
        <v>00000800</v>
      </c>
      <c r="F135" s="247" t="s">
        <v>810</v>
      </c>
      <c r="G135" s="459"/>
      <c r="H135" s="459"/>
      <c r="I135" s="494"/>
      <c r="J135" s="18"/>
    </row>
    <row r="136" spans="1:11" ht="132.6" thickBot="1">
      <c r="A136" s="6"/>
      <c r="B136" s="60" t="s">
        <v>126</v>
      </c>
      <c r="C136" s="164">
        <f>IF((G40 = "Option 2"), MAX((18+1.875)/C30, 4), MAX(18/C30, 4))</f>
        <v>28.8</v>
      </c>
      <c r="D136" s="115">
        <f>ROUNDUP((C136)/2, 0)</f>
        <v>15</v>
      </c>
      <c r="E136" s="154" t="str">
        <f>DEC2HEX(((D136)*2^0),8)</f>
        <v>0000000F</v>
      </c>
      <c r="F136" s="136" t="s">
        <v>811</v>
      </c>
      <c r="G136" s="460"/>
      <c r="H136" s="460"/>
      <c r="I136" s="495"/>
      <c r="J136" s="224"/>
    </row>
    <row r="137" spans="1:11" ht="13.5" customHeight="1" thickBot="1">
      <c r="B137" s="69"/>
      <c r="C137" s="70"/>
      <c r="D137" s="71"/>
      <c r="E137" s="72"/>
      <c r="F137" s="73"/>
      <c r="G137" s="36"/>
      <c r="H137" s="36"/>
      <c r="I137" s="55"/>
      <c r="J137" s="18"/>
    </row>
    <row r="138" spans="1:11" ht="184.8">
      <c r="B138" s="58" t="s">
        <v>127</v>
      </c>
      <c r="C138" s="92">
        <f>MAX(1.75/C30, 3)</f>
        <v>3</v>
      </c>
      <c r="D138" s="117">
        <f>ROUNDUP(((C138/2)),0)</f>
        <v>2</v>
      </c>
      <c r="E138" s="151" t="str">
        <f>DEC2HEX(((D138)*2^24),8)</f>
        <v>02000000</v>
      </c>
      <c r="F138" s="133" t="s">
        <v>812</v>
      </c>
      <c r="G138" s="458" t="s">
        <v>51</v>
      </c>
      <c r="H138" s="458" t="str">
        <f>"0x"&amp;DEC2HEX((HEX2DEC(C35)+276), 8)</f>
        <v>0x3D400114</v>
      </c>
      <c r="I138" s="461" t="str">
        <f>"0x"&amp;DEC2HEX((HEX2DEC(E138)+HEX2DEC(E139)+HEX2DEC(E140)+HEX2DEC(E141)), 8)</f>
        <v>0x02040C0C</v>
      </c>
      <c r="J138" s="222"/>
    </row>
    <row r="139" spans="1:11" ht="211.2">
      <c r="B139" s="59" t="s">
        <v>128</v>
      </c>
      <c r="C139" s="232">
        <f>MAX(5/C30, 5)</f>
        <v>8</v>
      </c>
      <c r="D139" s="159">
        <f>ROUNDUP((C139/2),0)</f>
        <v>4</v>
      </c>
      <c r="E139" s="153" t="str">
        <f>DEC2HEX(((D139)*2^16),8)</f>
        <v>00040000</v>
      </c>
      <c r="F139" s="132" t="s">
        <v>813</v>
      </c>
      <c r="G139" s="459"/>
      <c r="H139" s="459"/>
      <c r="I139" s="462"/>
      <c r="J139" s="222"/>
    </row>
    <row r="140" spans="1:11" ht="237.6">
      <c r="B140" s="75" t="s">
        <v>320</v>
      </c>
      <c r="C140" s="232">
        <f>MAX(15/C30, 4)</f>
        <v>24</v>
      </c>
      <c r="D140" s="248">
        <f>ROUNDUP(((C140)/2),0)</f>
        <v>12</v>
      </c>
      <c r="E140" s="246" t="str">
        <f>DEC2HEX(((D140)*2^8),8)</f>
        <v>00000C00</v>
      </c>
      <c r="F140" s="247" t="s">
        <v>814</v>
      </c>
      <c r="G140" s="459"/>
      <c r="H140" s="459"/>
      <c r="I140" s="462"/>
      <c r="J140" s="18"/>
    </row>
    <row r="141" spans="1:11" ht="132.6" thickBot="1">
      <c r="B141" s="60" t="s">
        <v>321</v>
      </c>
      <c r="C141" s="164">
        <f>MAX(15/C30, 4)</f>
        <v>24</v>
      </c>
      <c r="D141" s="120">
        <f>ROUNDUP(((C141)/2),0)</f>
        <v>12</v>
      </c>
      <c r="E141" s="351" t="str">
        <f>DEC2HEX(((D141)*2^0),8)</f>
        <v>0000000C</v>
      </c>
      <c r="F141" s="136" t="s">
        <v>815</v>
      </c>
      <c r="G141" s="460"/>
      <c r="H141" s="460"/>
      <c r="I141" s="463"/>
      <c r="J141" s="18"/>
    </row>
    <row r="142" spans="1:11" ht="13.8" thickBot="1">
      <c r="J142" s="18"/>
      <c r="K142" s="66"/>
    </row>
    <row r="143" spans="1:11" ht="18.75" customHeight="1" thickBot="1">
      <c r="B143" s="531" t="s">
        <v>235</v>
      </c>
      <c r="C143" s="532"/>
      <c r="D143" s="532"/>
      <c r="E143" s="532"/>
      <c r="F143" s="532"/>
      <c r="G143" s="532"/>
      <c r="H143" s="532"/>
      <c r="I143" s="533"/>
      <c r="J143" s="18"/>
    </row>
    <row r="144" spans="1:11" ht="145.19999999999999">
      <c r="B144" s="58" t="s">
        <v>131</v>
      </c>
      <c r="C144" s="101">
        <v>2</v>
      </c>
      <c r="D144" s="57">
        <f>(C144/2)</f>
        <v>1</v>
      </c>
      <c r="E144" s="52" t="str">
        <f>DEC2HEX(((D144)*2^24),8)</f>
        <v>01000000</v>
      </c>
      <c r="F144" s="133" t="s">
        <v>323</v>
      </c>
      <c r="G144" s="464" t="s">
        <v>94</v>
      </c>
      <c r="H144" s="465" t="str">
        <f>"0x"&amp;DEC2HEX((HEX2DEC(C35)+280), 8)</f>
        <v>0x3D400118</v>
      </c>
      <c r="I144" s="466" t="str">
        <f>"0x"&amp;DEC2HEX((HEX2DEC(E144)+HEX2DEC(E145)+HEX2DEC(E146)), 8)</f>
        <v>0x01010007</v>
      </c>
      <c r="J144" s="18"/>
    </row>
    <row r="145" spans="2:10" ht="145.19999999999999">
      <c r="B145" s="84" t="s">
        <v>130</v>
      </c>
      <c r="C145" s="100">
        <v>2</v>
      </c>
      <c r="D145" s="62">
        <f>(C145/2)</f>
        <v>1</v>
      </c>
      <c r="E145" s="91" t="str">
        <f>DEC2HEX(((D145)*2^16),8)</f>
        <v>00010000</v>
      </c>
      <c r="F145" s="140" t="s">
        <v>322</v>
      </c>
      <c r="G145" s="483"/>
      <c r="H145" s="459"/>
      <c r="I145" s="462"/>
      <c r="J145" s="18"/>
    </row>
    <row r="146" spans="2:10" ht="185.4" thickBot="1">
      <c r="B146" s="60" t="s">
        <v>129</v>
      </c>
      <c r="C146" s="102" t="s">
        <v>0</v>
      </c>
      <c r="D146" s="115">
        <f>ROUNDUP(((C118)+2)/2,0)</f>
        <v>7</v>
      </c>
      <c r="E146" s="54" t="str">
        <f>DEC2HEX(((D146)*2^0),8)</f>
        <v>00000007</v>
      </c>
      <c r="F146" s="136" t="s">
        <v>816</v>
      </c>
      <c r="G146" s="460"/>
      <c r="H146" s="460"/>
      <c r="I146" s="463"/>
      <c r="J146" s="18"/>
    </row>
    <row r="147" spans="2:10" ht="9.75" customHeight="1" thickBot="1">
      <c r="B147" s="76"/>
      <c r="C147" s="77"/>
      <c r="D147" s="78"/>
      <c r="E147" s="36"/>
      <c r="F147" s="139"/>
      <c r="G147" s="81"/>
      <c r="H147" s="81"/>
      <c r="I147" s="81"/>
      <c r="J147" s="18"/>
    </row>
    <row r="148" spans="2:10" ht="18.75" customHeight="1" thickBot="1">
      <c r="B148" s="531" t="s">
        <v>236</v>
      </c>
      <c r="C148" s="532"/>
      <c r="D148" s="532"/>
      <c r="E148" s="532"/>
      <c r="F148" s="532"/>
      <c r="G148" s="532"/>
      <c r="H148" s="532"/>
      <c r="I148" s="533"/>
      <c r="J148" s="18"/>
    </row>
    <row r="149" spans="2:10" ht="198">
      <c r="B149" s="58" t="s">
        <v>132</v>
      </c>
      <c r="C149" s="363">
        <f>MAX(5/C30, 5)</f>
        <v>8</v>
      </c>
      <c r="D149" s="92">
        <f>ROUNDUP((C149)/2,0)</f>
        <v>4</v>
      </c>
      <c r="E149" s="238" t="str">
        <f>DEC2HEX(((D149)*2^8),8)</f>
        <v>00000400</v>
      </c>
      <c r="F149" s="133" t="s">
        <v>817</v>
      </c>
      <c r="G149" s="464" t="s">
        <v>93</v>
      </c>
      <c r="H149" s="465" t="str">
        <f>"0x"&amp;DEC2HEX((HEX2DEC(C35)+284), 8)</f>
        <v>0x3D40011C</v>
      </c>
      <c r="I149" s="466" t="str">
        <f>"0x"&amp;DEC2HEX((HEX2DEC(E149)+HEX2DEC(E150)), 8)</f>
        <v>0x00000401</v>
      </c>
      <c r="J149" s="222"/>
    </row>
    <row r="150" spans="2:10" ht="185.4" thickBot="1">
      <c r="B150" s="60" t="s">
        <v>133</v>
      </c>
      <c r="C150" s="364">
        <v>2</v>
      </c>
      <c r="D150" s="164">
        <f>IF(C17="LPDDR4", ROUNDUP(C150/2, 0), 2)</f>
        <v>1</v>
      </c>
      <c r="E150" s="239" t="str">
        <f>DEC2HEX(((D150)*2^0),8)</f>
        <v>00000001</v>
      </c>
      <c r="F150" s="136" t="s">
        <v>324</v>
      </c>
      <c r="G150" s="460"/>
      <c r="H150" s="460"/>
      <c r="I150" s="463"/>
      <c r="J150" s="18"/>
    </row>
    <row r="151" spans="2:10" ht="13.8" thickBot="1">
      <c r="B151" s="69"/>
      <c r="C151" s="70"/>
      <c r="D151" s="71"/>
      <c r="E151" s="72"/>
      <c r="F151" s="139"/>
      <c r="G151" s="36"/>
      <c r="H151" s="36"/>
      <c r="I151" s="55"/>
      <c r="J151" s="18"/>
    </row>
    <row r="152" spans="2:10" ht="105.6">
      <c r="B152" s="58" t="s">
        <v>237</v>
      </c>
      <c r="C152" s="92">
        <f>MAX(1.75/C30, 3)</f>
        <v>3</v>
      </c>
      <c r="D152" s="92">
        <f>ROUNDUP( (C152/2), 0)</f>
        <v>2</v>
      </c>
      <c r="E152" s="348" t="str">
        <f>DEC2HEX(((D152)*2^16),8)</f>
        <v>00020000</v>
      </c>
      <c r="F152" s="133" t="s">
        <v>818</v>
      </c>
      <c r="G152" s="467" t="s">
        <v>239</v>
      </c>
      <c r="H152" s="467" t="str">
        <f>"0x"&amp;DEC2HEX((HEX2DEC(C35)+304), 8)</f>
        <v>0x3D400130</v>
      </c>
      <c r="I152" s="470" t="str">
        <f>"0x"&amp;DEC2HEX((HEX2DEC(E152)+HEX2DEC(E153)+HEX2DEC(E154)), 8)</f>
        <v>0x00020600</v>
      </c>
      <c r="J152" s="220"/>
    </row>
    <row r="153" spans="2:10" ht="92.4">
      <c r="B153" s="59" t="s">
        <v>352</v>
      </c>
      <c r="C153" s="232">
        <f>MAX(7.5/C30,5)</f>
        <v>12</v>
      </c>
      <c r="D153" s="232">
        <f>ROUNDUP( (C153/2), 0)</f>
        <v>6</v>
      </c>
      <c r="E153" s="349" t="str">
        <f>DEC2HEX(((D153)*2^8),8)</f>
        <v>00000600</v>
      </c>
      <c r="F153" s="132" t="s">
        <v>819</v>
      </c>
      <c r="G153" s="468"/>
      <c r="H153" s="468"/>
      <c r="I153" s="471"/>
      <c r="J153" s="18"/>
    </row>
    <row r="154" spans="2:10" ht="93" thickBot="1">
      <c r="B154" s="60" t="s">
        <v>238</v>
      </c>
      <c r="C154" s="203" t="s">
        <v>0</v>
      </c>
      <c r="D154" s="204">
        <v>0</v>
      </c>
      <c r="E154" s="351" t="str">
        <f>DEC2HEX(((D154)*2^0),8)</f>
        <v>00000000</v>
      </c>
      <c r="F154" s="136" t="s">
        <v>362</v>
      </c>
      <c r="G154" s="469"/>
      <c r="H154" s="469"/>
      <c r="I154" s="472"/>
      <c r="J154" s="18"/>
    </row>
    <row r="155" spans="2:10" ht="15" thickBot="1">
      <c r="B155" s="76"/>
      <c r="C155" s="205"/>
      <c r="D155" s="171"/>
      <c r="E155" s="36"/>
      <c r="F155" s="139"/>
      <c r="G155" s="36"/>
      <c r="H155" s="36"/>
      <c r="I155" s="55"/>
      <c r="J155" s="18"/>
    </row>
    <row r="156" spans="2:10" ht="118.8">
      <c r="B156" s="58" t="s">
        <v>240</v>
      </c>
      <c r="C156" s="299">
        <f>IF(C29&lt;1066, 20, IF(C29&lt;1333, 22, 24))</f>
        <v>24</v>
      </c>
      <c r="D156" s="92">
        <f>ROUNDUP( (C156/2), 0)</f>
        <v>12</v>
      </c>
      <c r="E156" s="290" t="str">
        <f>DEC2HEX(((D156)*2^24),8)</f>
        <v>0C000000</v>
      </c>
      <c r="F156" s="133" t="s">
        <v>325</v>
      </c>
      <c r="G156" s="467" t="s">
        <v>243</v>
      </c>
      <c r="H156" s="467" t="str">
        <f>"0x"&amp;DEC2HEX((HEX2DEC(C35)+308), 8)</f>
        <v>0x3D400134</v>
      </c>
      <c r="I156" s="470" t="str">
        <f>"0x"&amp;DEC2HEX((HEX2DEC(E156)+HEX2DEC(E157)+HEX2DEC(E158)), 8)</f>
        <v>0x0C100002</v>
      </c>
      <c r="J156" s="18"/>
    </row>
    <row r="157" spans="2:10" ht="105.6">
      <c r="B157" s="59" t="s">
        <v>241</v>
      </c>
      <c r="C157" s="365">
        <v>32</v>
      </c>
      <c r="D157" s="232">
        <f>ROUNDUP( (C157/2), 0)</f>
        <v>16</v>
      </c>
      <c r="E157" s="291" t="str">
        <f>DEC2HEX(((D157)*2^16),8)</f>
        <v>00100000</v>
      </c>
      <c r="F157" s="132" t="s">
        <v>326</v>
      </c>
      <c r="G157" s="468"/>
      <c r="H157" s="468"/>
      <c r="I157" s="471"/>
      <c r="J157" s="18"/>
    </row>
    <row r="158" spans="2:10" ht="79.8" thickBot="1">
      <c r="B158" s="60" t="s">
        <v>242</v>
      </c>
      <c r="C158" s="366">
        <v>4</v>
      </c>
      <c r="D158" s="164">
        <f>ROUNDUP( (C158/2), 0)</f>
        <v>2</v>
      </c>
      <c r="E158" s="292" t="str">
        <f>DEC2HEX(((D158)*2^0),8)</f>
        <v>00000002</v>
      </c>
      <c r="F158" s="136" t="s">
        <v>327</v>
      </c>
      <c r="G158" s="469"/>
      <c r="H158" s="469"/>
      <c r="I158" s="472"/>
      <c r="J158" s="18"/>
    </row>
    <row r="159" spans="2:10" ht="15" thickBot="1">
      <c r="B159" s="76"/>
      <c r="C159" s="156"/>
      <c r="D159" s="156"/>
      <c r="E159" s="36"/>
      <c r="F159" s="139"/>
      <c r="G159" s="36"/>
      <c r="H159" s="36"/>
      <c r="I159" s="55"/>
      <c r="J159" s="18"/>
    </row>
    <row r="160" spans="2:10" ht="93" thickBot="1">
      <c r="B160" s="250" t="s">
        <v>205</v>
      </c>
      <c r="C160" s="251">
        <f>MAX((C97+7.5)/C30, 2)</f>
        <v>460</v>
      </c>
      <c r="D160" s="252">
        <f>ROUNDUP((C160)/2,0)</f>
        <v>230</v>
      </c>
      <c r="E160" s="253" t="str">
        <f>DEC2HEX(((D160)*2^0),8)</f>
        <v>000000E6</v>
      </c>
      <c r="F160" s="254" t="s">
        <v>820</v>
      </c>
      <c r="G160" s="90" t="s">
        <v>204</v>
      </c>
      <c r="H160" s="79" t="str">
        <f>"0x"&amp;DEC2HEX((HEX2DEC(C35)+312), 8)</f>
        <v>0x3D400138</v>
      </c>
      <c r="I160" s="80" t="str">
        <f>"0x"&amp;DEC2HEX((HEX2DEC(E160)), 8)</f>
        <v>0x000000E6</v>
      </c>
      <c r="J160" s="222"/>
    </row>
    <row r="161" spans="2:24" ht="15" thickBot="1">
      <c r="B161" s="77"/>
      <c r="C161" s="323"/>
      <c r="D161" s="119"/>
      <c r="E161" s="113"/>
      <c r="F161" s="324"/>
      <c r="G161" s="325"/>
      <c r="H161" s="226"/>
      <c r="I161" s="226"/>
      <c r="J161" s="326"/>
    </row>
    <row r="162" spans="2:24" ht="66">
      <c r="B162" s="127" t="s">
        <v>398</v>
      </c>
      <c r="C162" s="236">
        <v>200</v>
      </c>
      <c r="D162" s="117">
        <f>ROUNDUP(((C162/C30)/2),0)</f>
        <v>160</v>
      </c>
      <c r="E162" s="313" t="str">
        <f>DEC2HEX(((D162)*2^16),8)</f>
        <v>00A00000</v>
      </c>
      <c r="F162" s="327" t="s">
        <v>400</v>
      </c>
      <c r="G162" s="473" t="s">
        <v>397</v>
      </c>
      <c r="H162" s="475" t="str">
        <f>"0x"&amp;DEC2HEX((HEX2DEC(C35)+324), 8)</f>
        <v>0x3D400144</v>
      </c>
      <c r="I162" s="477" t="str">
        <f>"0x"&amp;DEC2HEX((HEX2DEC(E162)+HEX2DEC(E163)), 8)</f>
        <v>0x00A00050</v>
      </c>
      <c r="J162" s="326"/>
    </row>
    <row r="163" spans="2:24" ht="66.599999999999994" thickBot="1">
      <c r="B163" s="60" t="s">
        <v>399</v>
      </c>
      <c r="C163" s="328">
        <v>100</v>
      </c>
      <c r="D163" s="120">
        <f>ROUNDUP(((C163/C30)/2),0)</f>
        <v>80</v>
      </c>
      <c r="E163" s="315" t="str">
        <f>DEC2HEX(((D163)*2^0),8)</f>
        <v>00000050</v>
      </c>
      <c r="F163" s="136" t="s">
        <v>401</v>
      </c>
      <c r="G163" s="474"/>
      <c r="H163" s="476"/>
      <c r="I163" s="478"/>
      <c r="J163" s="222"/>
    </row>
    <row r="164" spans="2:24" ht="15" thickBot="1">
      <c r="B164" s="76"/>
      <c r="C164" s="156"/>
      <c r="D164" s="156"/>
      <c r="E164" s="36"/>
      <c r="F164" s="139"/>
      <c r="G164" s="36"/>
      <c r="H164" s="36"/>
      <c r="I164" s="55"/>
      <c r="J164" s="18"/>
    </row>
    <row r="165" spans="2:24" ht="91.5" customHeight="1">
      <c r="B165" s="58" t="s">
        <v>138</v>
      </c>
      <c r="C165" s="65" t="s">
        <v>0</v>
      </c>
      <c r="D165" s="57">
        <v>1</v>
      </c>
      <c r="E165" s="348" t="str">
        <f>DEC2HEX(((D165)*2^31),8)</f>
        <v>80000000</v>
      </c>
      <c r="F165" s="133" t="s">
        <v>74</v>
      </c>
      <c r="G165" s="458" t="s">
        <v>52</v>
      </c>
      <c r="H165" s="458" t="str">
        <f>"0x"&amp;DEC2HEX((HEX2DEC(C35)+384), 8)</f>
        <v>0x3D400180</v>
      </c>
      <c r="I165" s="461" t="str">
        <f>"0x"&amp;DEC2HEX((HEX2DEC(E165)+HEX2DEC(E166)+HEX2DEC(E167)+HEX2DEC(E169)+HEX2DEC(E170)), 8)</f>
        <v>0xC3200018</v>
      </c>
      <c r="J165" s="18"/>
    </row>
    <row r="166" spans="2:24" ht="54.75" customHeight="1">
      <c r="B166" s="59" t="s">
        <v>139</v>
      </c>
      <c r="C166" s="61" t="s">
        <v>0</v>
      </c>
      <c r="D166" s="126">
        <v>1</v>
      </c>
      <c r="E166" s="349" t="str">
        <f>DEC2HEX(((D166)*2^30),8)</f>
        <v>40000000</v>
      </c>
      <c r="F166" s="132" t="s">
        <v>75</v>
      </c>
      <c r="G166" s="479"/>
      <c r="H166" s="479"/>
      <c r="I166" s="481"/>
      <c r="J166" s="18"/>
    </row>
    <row r="167" spans="2:24" ht="93" customHeight="1">
      <c r="B167" s="59" t="s">
        <v>140</v>
      </c>
      <c r="C167" s="61" t="s">
        <v>0</v>
      </c>
      <c r="D167" s="125">
        <f>IF(J27="DISABLED", 0, 1)</f>
        <v>0</v>
      </c>
      <c r="E167" s="349" t="str">
        <f>DEC2HEX(((D167)*2^29),8)</f>
        <v>00000000</v>
      </c>
      <c r="F167" s="247" t="s">
        <v>76</v>
      </c>
      <c r="G167" s="479"/>
      <c r="H167" s="479"/>
      <c r="I167" s="481"/>
      <c r="J167" s="18"/>
    </row>
    <row r="168" spans="2:24" ht="93" customHeight="1">
      <c r="B168" s="75" t="s">
        <v>244</v>
      </c>
      <c r="C168" s="94" t="s">
        <v>0</v>
      </c>
      <c r="D168" s="207">
        <v>0</v>
      </c>
      <c r="E168" s="349" t="str">
        <f>DEC2HEX(((D168)*2^28),8)</f>
        <v>00000000</v>
      </c>
      <c r="F168" s="247" t="s">
        <v>245</v>
      </c>
      <c r="G168" s="479"/>
      <c r="H168" s="479"/>
      <c r="I168" s="481"/>
      <c r="J168" s="18"/>
    </row>
    <row r="169" spans="2:24" ht="184.8">
      <c r="B169" s="75" t="s">
        <v>141</v>
      </c>
      <c r="C169" s="61">
        <v>1000</v>
      </c>
      <c r="D169" s="159">
        <f>ROUNDUP(((C169/C30)/2),0)</f>
        <v>800</v>
      </c>
      <c r="E169" s="349" t="str">
        <f>DEC2HEX(((D169)*2^16),8)</f>
        <v>03200000</v>
      </c>
      <c r="F169" s="247" t="s">
        <v>821</v>
      </c>
      <c r="G169" s="479"/>
      <c r="H169" s="479"/>
      <c r="I169" s="481"/>
      <c r="J169" s="18"/>
    </row>
    <row r="170" spans="2:24" ht="119.4" thickBot="1">
      <c r="B170" s="60" t="s">
        <v>142</v>
      </c>
      <c r="C170" s="164">
        <f>MAX(30/C30,8)</f>
        <v>48</v>
      </c>
      <c r="D170" s="120">
        <f>ROUNDUP(((C170)/2),0)</f>
        <v>24</v>
      </c>
      <c r="E170" s="351" t="str">
        <f>DEC2HEX(((D170)*2^0),8)</f>
        <v>00000018</v>
      </c>
      <c r="F170" s="136" t="s">
        <v>822</v>
      </c>
      <c r="G170" s="480"/>
      <c r="H170" s="480"/>
      <c r="I170" s="482"/>
      <c r="J170" s="18"/>
    </row>
    <row r="171" spans="2:24" ht="7.5" customHeight="1" thickBot="1">
      <c r="B171" s="69"/>
      <c r="C171" s="70"/>
      <c r="D171" s="71"/>
      <c r="E171" s="72"/>
      <c r="F171" s="139"/>
      <c r="G171" s="36"/>
      <c r="H171" s="36"/>
      <c r="I171" s="55"/>
      <c r="J171" s="18"/>
    </row>
    <row r="172" spans="2:24" ht="18.75" customHeight="1" thickBot="1">
      <c r="B172" s="531" t="s">
        <v>328</v>
      </c>
      <c r="C172" s="532"/>
      <c r="D172" s="532"/>
      <c r="E172" s="532"/>
      <c r="F172" s="532"/>
      <c r="G172" s="532"/>
      <c r="H172" s="532"/>
      <c r="I172" s="533"/>
      <c r="J172" s="18"/>
    </row>
    <row r="173" spans="2:24" ht="118.8">
      <c r="B173" s="58" t="s">
        <v>143</v>
      </c>
      <c r="C173" s="92">
        <f>MAX(50/C30, 3)</f>
        <v>80</v>
      </c>
      <c r="D173" s="92">
        <f xml:space="preserve"> ROUNDUP((C173)/2,0)</f>
        <v>40</v>
      </c>
      <c r="E173" s="348" t="str">
        <f>DEC2HEX(((D173)*2^20),8)</f>
        <v>02800000</v>
      </c>
      <c r="F173" s="133" t="s">
        <v>823</v>
      </c>
      <c r="G173" s="458" t="s">
        <v>96</v>
      </c>
      <c r="H173" s="458" t="str">
        <f>"0x"&amp;DEC2HEX((HEX2DEC(C35)+388), 8)</f>
        <v>0x3D400184</v>
      </c>
      <c r="I173" s="461" t="str">
        <f>"0x"&amp;DEC2HEX((HEX2DEC(E173)+HEX2DEC(E174)), 8)</f>
        <v>0x028061A8</v>
      </c>
      <c r="J173" s="18"/>
    </row>
    <row r="174" spans="2:24" ht="132.6" thickBot="1">
      <c r="B174" s="60" t="s">
        <v>144</v>
      </c>
      <c r="C174" s="97">
        <v>32</v>
      </c>
      <c r="D174" s="64">
        <f>ROUNDUP((C174*1000000)/2/C30/1024, 0)</f>
        <v>25000</v>
      </c>
      <c r="E174" s="351" t="str">
        <f>DEC2HEX(((D174)*2^0),8)</f>
        <v>000061A8</v>
      </c>
      <c r="F174" s="136" t="s">
        <v>363</v>
      </c>
      <c r="G174" s="460"/>
      <c r="H174" s="460"/>
      <c r="I174" s="463"/>
      <c r="J174" s="18"/>
    </row>
    <row r="175" spans="2:24" ht="11.25" customHeight="1" thickBot="1">
      <c r="B175" s="76"/>
      <c r="C175" s="77"/>
      <c r="D175" s="78"/>
      <c r="E175" s="78"/>
      <c r="F175" s="121"/>
      <c r="G175" s="73"/>
      <c r="H175" s="81"/>
      <c r="I175" s="81"/>
      <c r="J175" s="81"/>
      <c r="K175" s="81"/>
      <c r="L175" s="82"/>
      <c r="W175" s="8"/>
      <c r="X175" s="8"/>
    </row>
    <row r="176" spans="2:24" ht="118.8">
      <c r="B176" s="58" t="s">
        <v>772</v>
      </c>
      <c r="C176" s="65">
        <v>3.75</v>
      </c>
      <c r="D176" s="116">
        <f>ROUNDUP(C176/C30/2, 0) - 1</f>
        <v>2</v>
      </c>
      <c r="E176" s="355" t="str">
        <f>DEC2HEX(((D176)*2^8),8)</f>
        <v>00000200</v>
      </c>
      <c r="F176" s="33" t="s">
        <v>773</v>
      </c>
      <c r="G176" s="464" t="s">
        <v>774</v>
      </c>
      <c r="H176" s="465" t="str">
        <f>"0x"&amp;DEC2HEX((HEX2DEC(C35)+32), 8)</f>
        <v>0x3D400020</v>
      </c>
      <c r="I176" s="466" t="str">
        <f>"0x"&amp;DEC2HEX((HEX2DEC(E176)+HEX2DEC(E177)+HEX2DEC(E178)+HEX2DEC(E179)), 8)</f>
        <v>0x00000203</v>
      </c>
      <c r="J176" s="82"/>
    </row>
    <row r="177" spans="2:24" ht="52.8">
      <c r="B177" s="59" t="s">
        <v>775</v>
      </c>
      <c r="C177" s="94" t="s">
        <v>0</v>
      </c>
      <c r="D177" s="439">
        <f>BoardDataBusConfig!AA10</f>
        <v>0</v>
      </c>
      <c r="E177" s="356" t="str">
        <f>DEC2HEX(((D177)*2^4),8)</f>
        <v>00000000</v>
      </c>
      <c r="F177" s="17" t="s">
        <v>776</v>
      </c>
      <c r="G177" s="459"/>
      <c r="H177" s="459"/>
      <c r="I177" s="462"/>
      <c r="J177" s="82"/>
    </row>
    <row r="178" spans="2:24" ht="79.2">
      <c r="B178" s="59" t="s">
        <v>777</v>
      </c>
      <c r="C178" s="61">
        <v>1.875</v>
      </c>
      <c r="D178" s="438">
        <f>ROUNDUP(C178/C30/2, 0) - 1</f>
        <v>1</v>
      </c>
      <c r="E178" s="356" t="str">
        <f>DEC2HEX(((D178)*2^1),8)</f>
        <v>00000002</v>
      </c>
      <c r="F178" s="17" t="s">
        <v>778</v>
      </c>
      <c r="G178" s="459"/>
      <c r="H178" s="459"/>
      <c r="I178" s="462"/>
      <c r="J178" s="82"/>
    </row>
    <row r="179" spans="2:24" ht="66.599999999999994" thickBot="1">
      <c r="B179" s="60" t="s">
        <v>779</v>
      </c>
      <c r="C179" s="97" t="s">
        <v>0</v>
      </c>
      <c r="D179" s="164">
        <f>IF(G40 = "Automatic", 1, 0)</f>
        <v>1</v>
      </c>
      <c r="E179" s="357" t="str">
        <f>DEC2HEX(((D179)*2^0),8)</f>
        <v>00000001</v>
      </c>
      <c r="F179" s="34" t="s">
        <v>780</v>
      </c>
      <c r="G179" s="460"/>
      <c r="H179" s="460"/>
      <c r="I179" s="463"/>
      <c r="J179" s="82"/>
    </row>
    <row r="180" spans="2:24" ht="11.25" customHeight="1" thickBot="1">
      <c r="B180" s="76"/>
      <c r="C180" s="77"/>
      <c r="D180" s="78"/>
      <c r="E180" s="78"/>
      <c r="F180" s="121"/>
      <c r="G180" s="73"/>
      <c r="H180" s="81"/>
      <c r="I180" s="81"/>
      <c r="J180" s="81"/>
      <c r="K180" s="81"/>
      <c r="L180" s="82"/>
      <c r="W180" s="8"/>
      <c r="X180" s="8"/>
    </row>
    <row r="181" spans="2:24" ht="93" thickBot="1">
      <c r="B181" s="250" t="s">
        <v>781</v>
      </c>
      <c r="C181" s="259">
        <v>32</v>
      </c>
      <c r="D181" s="260">
        <f>ROUNDUP(C181*1000000/C30/2/100, 0 )</f>
        <v>256000</v>
      </c>
      <c r="E181" s="358" t="str">
        <f>DEC2HEX(((D181)*2^0),8)</f>
        <v>0003E800</v>
      </c>
      <c r="F181" s="359" t="s">
        <v>1063</v>
      </c>
      <c r="G181" s="90" t="s">
        <v>782</v>
      </c>
      <c r="H181" s="79" t="str">
        <f>"0x"&amp;DEC2HEX((HEX2DEC(C35)+36), 8)</f>
        <v>0x3D400024</v>
      </c>
      <c r="I181" s="80" t="str">
        <f>"0x"&amp;DEC2HEX(HEX2DEC(E181), 8)</f>
        <v>0x0003E800</v>
      </c>
      <c r="J181" s="82"/>
    </row>
    <row r="182" spans="2:24" ht="11.25" customHeight="1" thickBot="1">
      <c r="B182" s="76"/>
      <c r="C182" s="77"/>
      <c r="D182" s="78"/>
      <c r="E182" s="78"/>
      <c r="F182" s="121"/>
      <c r="G182" s="73"/>
      <c r="H182" s="81"/>
      <c r="I182" s="81"/>
      <c r="J182" s="81"/>
      <c r="K182" s="81"/>
      <c r="L182" s="82"/>
      <c r="W182" s="8"/>
      <c r="X182" s="8"/>
    </row>
    <row r="183" spans="2:24" ht="13.8" thickBot="1">
      <c r="B183" s="531" t="s">
        <v>198</v>
      </c>
      <c r="C183" s="532"/>
      <c r="D183" s="532"/>
      <c r="E183" s="532"/>
      <c r="F183" s="532"/>
      <c r="G183" s="532"/>
      <c r="H183" s="532"/>
      <c r="I183" s="533"/>
      <c r="J183" s="18"/>
      <c r="K183" s="66"/>
    </row>
    <row r="184" spans="2:24" ht="108.75" customHeight="1">
      <c r="B184" s="58" t="s">
        <v>188</v>
      </c>
      <c r="C184" s="65" t="s">
        <v>0</v>
      </c>
      <c r="D184" s="206">
        <v>0</v>
      </c>
      <c r="E184" s="52" t="str">
        <f>DEC2HEX(((D184)*2^12),8)</f>
        <v>00000000</v>
      </c>
      <c r="F184" s="133" t="s">
        <v>65</v>
      </c>
      <c r="G184" s="467" t="s">
        <v>62</v>
      </c>
      <c r="H184" s="467" t="str">
        <f>"0x"&amp;DEC2HEX((HEX2DEC(C35)+580), 8)</f>
        <v>0x3D400244</v>
      </c>
      <c r="I184" s="470" t="str">
        <f>"0x"&amp;DEC2HEX((HEX2DEC(E184)+HEX2DEC(E185)+HEX2DEC(E186)+HEX2DEC(E187)), 8)</f>
        <v>0x00000000</v>
      </c>
      <c r="J184" s="597"/>
      <c r="K184" s="217"/>
    </row>
    <row r="185" spans="2:24" ht="99.75" customHeight="1">
      <c r="B185" s="59" t="s">
        <v>189</v>
      </c>
      <c r="C185" s="61" t="s">
        <v>0</v>
      </c>
      <c r="D185" s="215">
        <v>0</v>
      </c>
      <c r="E185" s="53" t="str">
        <f>DEC2HEX(((D185)*2^8),8)</f>
        <v>00000000</v>
      </c>
      <c r="F185" s="132" t="s">
        <v>66</v>
      </c>
      <c r="G185" s="601"/>
      <c r="H185" s="601"/>
      <c r="I185" s="603"/>
      <c r="J185" s="597"/>
      <c r="K185" s="217"/>
    </row>
    <row r="186" spans="2:24" ht="102" customHeight="1">
      <c r="B186" s="59" t="s">
        <v>190</v>
      </c>
      <c r="C186" s="61" t="s">
        <v>0</v>
      </c>
      <c r="D186" s="215">
        <v>0</v>
      </c>
      <c r="E186" s="53" t="str">
        <f>DEC2HEX(((D186)*2^4),8)</f>
        <v>00000000</v>
      </c>
      <c r="F186" s="132" t="s">
        <v>64</v>
      </c>
      <c r="G186" s="601"/>
      <c r="H186" s="601"/>
      <c r="I186" s="603"/>
      <c r="J186" s="597"/>
      <c r="K186" s="217"/>
    </row>
    <row r="187" spans="2:24" ht="102.75" customHeight="1" thickBot="1">
      <c r="B187" s="60" t="s">
        <v>191</v>
      </c>
      <c r="C187" s="63" t="s">
        <v>0</v>
      </c>
      <c r="D187" s="216">
        <v>0</v>
      </c>
      <c r="E187" s="54" t="str">
        <f>DEC2HEX(((D187)*2^0),8)</f>
        <v>00000000</v>
      </c>
      <c r="F187" s="136" t="s">
        <v>63</v>
      </c>
      <c r="G187" s="602"/>
      <c r="H187" s="602"/>
      <c r="I187" s="604"/>
      <c r="J187" s="597"/>
      <c r="K187" s="217"/>
    </row>
    <row r="188" spans="2:24" ht="13.8" thickBot="1">
      <c r="B188" s="76"/>
      <c r="C188" s="77"/>
      <c r="D188" s="78"/>
      <c r="E188" s="36"/>
      <c r="F188" s="73"/>
      <c r="G188" s="81"/>
      <c r="H188" s="81"/>
      <c r="I188" s="81"/>
      <c r="J188" s="82"/>
    </row>
    <row r="189" spans="2:24" ht="79.2">
      <c r="B189" s="58" t="s">
        <v>595</v>
      </c>
      <c r="C189" s="93" t="s">
        <v>0</v>
      </c>
      <c r="D189" s="57">
        <v>0</v>
      </c>
      <c r="E189" s="332" t="str">
        <f>DEC2HEX(((D189)*2^8),8)</f>
        <v>00000000</v>
      </c>
      <c r="F189" s="33" t="s">
        <v>612</v>
      </c>
      <c r="G189" s="464" t="s">
        <v>594</v>
      </c>
      <c r="H189" s="465" t="str">
        <f>"0x"&amp;DEC2HEX((HEX2DEC(C35)+48), 8)</f>
        <v>0x3D400030</v>
      </c>
      <c r="I189" s="466" t="str">
        <f>"0x"&amp;DEC2HEX((HEX2DEC(E189)+HEX2DEC(E190)+HEX2DEC(E191)+HEX2DEC(E192)+HEX2DEC(E193)+HEX2DEC(E194)+HEX2DEC(E195)+HEX2DEC(E196)+HEX2DEC(E197)), 8)</f>
        <v>0x000000A8</v>
      </c>
      <c r="J189" s="82"/>
    </row>
    <row r="190" spans="2:24" ht="79.2">
      <c r="B190" s="59" t="s">
        <v>596</v>
      </c>
      <c r="C190" s="94" t="s">
        <v>0</v>
      </c>
      <c r="D190" s="126">
        <v>1</v>
      </c>
      <c r="E190" s="333" t="str">
        <f>DEC2HEX(((D190)*2^7),8)</f>
        <v>00000080</v>
      </c>
      <c r="F190" s="17" t="s">
        <v>611</v>
      </c>
      <c r="G190" s="459"/>
      <c r="H190" s="459"/>
      <c r="I190" s="462"/>
      <c r="J190" s="82"/>
    </row>
    <row r="191" spans="2:24" ht="79.2">
      <c r="B191" s="59" t="s">
        <v>597</v>
      </c>
      <c r="C191" s="94" t="s">
        <v>0</v>
      </c>
      <c r="D191" s="126">
        <v>0</v>
      </c>
      <c r="E191" s="333" t="str">
        <f>DEC2HEX(((D191)*2^6),8)</f>
        <v>00000000</v>
      </c>
      <c r="F191" s="17" t="s">
        <v>610</v>
      </c>
      <c r="G191" s="459"/>
      <c r="H191" s="459"/>
      <c r="I191" s="462"/>
      <c r="J191" s="82"/>
    </row>
    <row r="192" spans="2:24" ht="79.2">
      <c r="B192" s="59" t="s">
        <v>598</v>
      </c>
      <c r="C192" s="94" t="s">
        <v>0</v>
      </c>
      <c r="D192" s="126">
        <v>1</v>
      </c>
      <c r="E192" s="333" t="str">
        <f>DEC2HEX(((D192)*2^5),8)</f>
        <v>00000020</v>
      </c>
      <c r="F192" s="17" t="s">
        <v>609</v>
      </c>
      <c r="G192" s="459"/>
      <c r="H192" s="459"/>
      <c r="I192" s="462"/>
      <c r="J192" s="82"/>
    </row>
    <row r="193" spans="2:10" ht="145.19999999999999">
      <c r="B193" s="59" t="s">
        <v>599</v>
      </c>
      <c r="C193" s="94" t="s">
        <v>0</v>
      </c>
      <c r="D193" s="126">
        <v>0</v>
      </c>
      <c r="E193" s="333" t="str">
        <f>DEC2HEX(((D193)*2^4),8)</f>
        <v>00000000</v>
      </c>
      <c r="F193" s="17" t="s">
        <v>608</v>
      </c>
      <c r="G193" s="459"/>
      <c r="H193" s="459"/>
      <c r="I193" s="462"/>
      <c r="J193" s="82"/>
    </row>
    <row r="194" spans="2:10" ht="237.6">
      <c r="B194" s="59" t="s">
        <v>600</v>
      </c>
      <c r="C194" s="94" t="s">
        <v>0</v>
      </c>
      <c r="D194" s="126">
        <v>1</v>
      </c>
      <c r="E194" s="333" t="str">
        <f>DEC2HEX(((D194)*2^3),8)</f>
        <v>00000008</v>
      </c>
      <c r="F194" s="17" t="s">
        <v>607</v>
      </c>
      <c r="G194" s="459"/>
      <c r="H194" s="459"/>
      <c r="I194" s="462"/>
      <c r="J194" s="82"/>
    </row>
    <row r="195" spans="2:10" ht="132">
      <c r="B195" s="59" t="s">
        <v>601</v>
      </c>
      <c r="C195" s="94" t="s">
        <v>0</v>
      </c>
      <c r="D195" s="126">
        <v>0</v>
      </c>
      <c r="E195" s="333" t="str">
        <f>DEC2HEX(((D195)*2^2),8)</f>
        <v>00000000</v>
      </c>
      <c r="F195" s="17" t="s">
        <v>606</v>
      </c>
      <c r="G195" s="459"/>
      <c r="H195" s="459"/>
      <c r="I195" s="462"/>
      <c r="J195" s="82"/>
    </row>
    <row r="196" spans="2:10" ht="79.2">
      <c r="B196" s="59" t="s">
        <v>602</v>
      </c>
      <c r="C196" s="94" t="s">
        <v>0</v>
      </c>
      <c r="D196" s="126">
        <v>0</v>
      </c>
      <c r="E196" s="333" t="str">
        <f>DEC2HEX(((D196)*2^1),8)</f>
        <v>00000000</v>
      </c>
      <c r="F196" s="17" t="s">
        <v>605</v>
      </c>
      <c r="G196" s="459"/>
      <c r="H196" s="459"/>
      <c r="I196" s="462"/>
      <c r="J196" s="82"/>
    </row>
    <row r="197" spans="2:10" ht="66.599999999999994" thickBot="1">
      <c r="B197" s="60" t="s">
        <v>603</v>
      </c>
      <c r="C197" s="97" t="s">
        <v>0</v>
      </c>
      <c r="D197" s="64">
        <v>0</v>
      </c>
      <c r="E197" s="334" t="str">
        <f>DEC2HEX(((D197)*2^0),8)</f>
        <v>00000000</v>
      </c>
      <c r="F197" s="34" t="s">
        <v>604</v>
      </c>
      <c r="G197" s="460"/>
      <c r="H197" s="460"/>
      <c r="I197" s="463"/>
      <c r="J197" s="82"/>
    </row>
    <row r="198" spans="2:10" ht="13.8" thickBot="1">
      <c r="B198" s="76"/>
      <c r="C198" s="77"/>
      <c r="D198" s="78"/>
      <c r="E198" s="36"/>
      <c r="F198" s="73"/>
      <c r="G198" s="81"/>
      <c r="H198" s="81"/>
      <c r="I198" s="81"/>
      <c r="J198" s="82"/>
    </row>
    <row r="199" spans="2:10" s="8" customFormat="1" ht="13.8" thickBot="1">
      <c r="B199" s="598" t="s">
        <v>192</v>
      </c>
      <c r="C199" s="599"/>
      <c r="D199" s="599"/>
      <c r="E199" s="599"/>
      <c r="F199" s="599"/>
      <c r="G199" s="599"/>
      <c r="H199" s="599"/>
      <c r="I199" s="600"/>
    </row>
    <row r="200" spans="2:10" s="8" customFormat="1" ht="13.8" thickBot="1">
      <c r="B200" s="25"/>
      <c r="E200" s="13"/>
      <c r="G200" s="13"/>
      <c r="H200" s="13"/>
      <c r="I200" s="13"/>
    </row>
    <row r="201" spans="2:10" s="8" customFormat="1" ht="41.25" customHeight="1" thickBot="1">
      <c r="B201" s="623" t="s">
        <v>193</v>
      </c>
      <c r="C201" s="624"/>
      <c r="D201" s="625"/>
      <c r="E201" s="13"/>
      <c r="G201" s="13"/>
      <c r="H201" s="13"/>
      <c r="I201" s="13"/>
    </row>
    <row r="202" spans="2:10" s="8" customFormat="1" ht="66.599999999999994" thickBot="1">
      <c r="B202" s="2" t="s">
        <v>261</v>
      </c>
      <c r="C202" s="2" t="s">
        <v>5</v>
      </c>
      <c r="D202" s="2" t="s">
        <v>7</v>
      </c>
      <c r="E202" s="2" t="s">
        <v>6</v>
      </c>
      <c r="F202" s="4" t="s">
        <v>1</v>
      </c>
      <c r="G202" s="46" t="s">
        <v>3</v>
      </c>
      <c r="H202" s="5" t="s">
        <v>287</v>
      </c>
      <c r="I202" s="5" t="s">
        <v>4</v>
      </c>
    </row>
    <row r="203" spans="2:10" s="8" customFormat="1" ht="8.25" customHeight="1" thickBot="1">
      <c r="B203" s="37"/>
      <c r="C203" s="37"/>
      <c r="D203" s="37"/>
      <c r="E203" s="37"/>
      <c r="F203" s="38"/>
      <c r="G203" s="39"/>
      <c r="H203" s="39"/>
      <c r="I203" s="39"/>
    </row>
    <row r="204" spans="2:10" s="8" customFormat="1" ht="79.2">
      <c r="B204" s="182" t="s">
        <v>263</v>
      </c>
      <c r="C204" s="255" t="s">
        <v>0</v>
      </c>
      <c r="D204" s="256">
        <v>1</v>
      </c>
      <c r="E204" s="183" t="str">
        <f>DEC2HEX(((D204)*2^23),8)</f>
        <v>00800000</v>
      </c>
      <c r="F204" s="257" t="s">
        <v>354</v>
      </c>
      <c r="G204" s="510" t="s">
        <v>44</v>
      </c>
      <c r="H204" s="484" t="str">
        <f>"0x"&amp;DEC2HEX((HEX2DEC(C35)+220), 8)</f>
        <v>0x3D4000DC</v>
      </c>
      <c r="I204" s="513" t="str">
        <f>"0x"&amp;DEC2HEX((HEX2DEC(E204)+HEX2DEC(E205)+HEX2DEC(E206)+HEX2DEC(E207)+HEX2DEC(E208)+HEX2DEC(E209)+HEX2DEC(E210)+HEX2DEC(E211)+HEX2DEC(E212)),8)</f>
        <v>0x00D4002D</v>
      </c>
    </row>
    <row r="205" spans="2:10" s="8" customFormat="1" ht="171.6">
      <c r="B205" s="184" t="s">
        <v>264</v>
      </c>
      <c r="C205" s="177" t="s">
        <v>0</v>
      </c>
      <c r="D205" s="129">
        <f>D211</f>
        <v>5</v>
      </c>
      <c r="E205" s="110" t="str">
        <f>DEC2HEX(((D205)*2^20),8)</f>
        <v>00500000</v>
      </c>
      <c r="F205" s="178" t="s">
        <v>303</v>
      </c>
      <c r="G205" s="511"/>
      <c r="H205" s="485"/>
      <c r="I205" s="514"/>
    </row>
    <row r="206" spans="2:10" s="8" customFormat="1" ht="52.8">
      <c r="B206" s="176" t="s">
        <v>265</v>
      </c>
      <c r="C206" s="177" t="s">
        <v>0</v>
      </c>
      <c r="D206" s="243">
        <v>0</v>
      </c>
      <c r="E206" s="110" t="str">
        <f>DEC2HEX(((D206)*2^19),8)</f>
        <v>00000000</v>
      </c>
      <c r="F206" s="179" t="s">
        <v>217</v>
      </c>
      <c r="G206" s="511"/>
      <c r="H206" s="485"/>
      <c r="I206" s="514"/>
    </row>
    <row r="207" spans="2:10" s="8" customFormat="1" ht="52.8">
      <c r="B207" s="176" t="s">
        <v>266</v>
      </c>
      <c r="C207" s="177" t="s">
        <v>0</v>
      </c>
      <c r="D207" s="243">
        <v>1</v>
      </c>
      <c r="E207" s="110" t="str">
        <f>DEC2HEX(((D207)*2^18),8)</f>
        <v>00040000</v>
      </c>
      <c r="F207" s="179" t="s">
        <v>218</v>
      </c>
      <c r="G207" s="511"/>
      <c r="H207" s="485"/>
      <c r="I207" s="514"/>
    </row>
    <row r="208" spans="2:10" s="8" customFormat="1" ht="79.8" thickBot="1">
      <c r="B208" s="180" t="s">
        <v>267</v>
      </c>
      <c r="C208" s="181" t="s">
        <v>0</v>
      </c>
      <c r="D208" s="244">
        <v>0</v>
      </c>
      <c r="E208" s="173" t="str">
        <f>DEC2HEX(((D208)*2^16),8)</f>
        <v>00000000</v>
      </c>
      <c r="F208" s="185" t="s">
        <v>219</v>
      </c>
      <c r="G208" s="511"/>
      <c r="H208" s="485"/>
      <c r="I208" s="514"/>
    </row>
    <row r="209" spans="1:10" s="8" customFormat="1" ht="52.5" customHeight="1">
      <c r="B209" s="186" t="s">
        <v>268</v>
      </c>
      <c r="C209" s="187" t="s">
        <v>0</v>
      </c>
      <c r="D209" s="174">
        <v>0</v>
      </c>
      <c r="E209" s="172" t="str">
        <f>DEC2HEX(((D209)*2^7),8)</f>
        <v>00000000</v>
      </c>
      <c r="F209" s="188" t="s">
        <v>220</v>
      </c>
      <c r="G209" s="511"/>
      <c r="H209" s="485"/>
      <c r="I209" s="514"/>
    </row>
    <row r="210" spans="1:10" s="8" customFormat="1" ht="52.8">
      <c r="B210" s="186" t="s">
        <v>269</v>
      </c>
      <c r="C210" s="177" t="s">
        <v>0</v>
      </c>
      <c r="D210" s="175">
        <v>0</v>
      </c>
      <c r="E210" s="172" t="str">
        <f>DEC2HEX(((D210)*2^6),8)</f>
        <v>00000000</v>
      </c>
      <c r="F210" s="188" t="s">
        <v>221</v>
      </c>
      <c r="G210" s="511"/>
      <c r="H210" s="485"/>
      <c r="I210" s="514"/>
    </row>
    <row r="211" spans="1:10" s="8" customFormat="1" ht="236.4">
      <c r="B211" s="186" t="s">
        <v>270</v>
      </c>
      <c r="C211" s="177" t="s">
        <v>0</v>
      </c>
      <c r="D211" s="129">
        <f>(C124-4)/2</f>
        <v>5</v>
      </c>
      <c r="E211" s="172" t="str">
        <f>DEC2HEX(((D211)*2^3),8)</f>
        <v>00000028</v>
      </c>
      <c r="F211" s="188" t="s">
        <v>329</v>
      </c>
      <c r="G211" s="511"/>
      <c r="H211" s="485"/>
      <c r="I211" s="514"/>
    </row>
    <row r="212" spans="1:10" s="8" customFormat="1" ht="237" thickBot="1">
      <c r="B212" s="189" t="s">
        <v>271</v>
      </c>
      <c r="C212" s="181" t="s">
        <v>0</v>
      </c>
      <c r="D212" s="130">
        <f>D211</f>
        <v>5</v>
      </c>
      <c r="E212" s="190" t="str">
        <f>DEC2HEX(((D212)*2^0),8)</f>
        <v>00000005</v>
      </c>
      <c r="F212" s="191" t="s">
        <v>330</v>
      </c>
      <c r="G212" s="512"/>
      <c r="H212" s="486"/>
      <c r="I212" s="515"/>
    </row>
    <row r="213" spans="1:10" s="8" customFormat="1" ht="9" customHeight="1" thickBot="1">
      <c r="A213" s="12"/>
      <c r="B213" s="210"/>
      <c r="C213" s="211"/>
      <c r="D213" s="212"/>
      <c r="E213" s="213"/>
      <c r="F213" s="210"/>
      <c r="G213" s="214"/>
      <c r="H213" s="214"/>
      <c r="I213" s="214"/>
      <c r="J213" s="12"/>
    </row>
    <row r="214" spans="1:10" s="8" customFormat="1" ht="66.599999999999994" thickBot="1">
      <c r="B214" s="2" t="s">
        <v>262</v>
      </c>
      <c r="C214" s="2" t="s">
        <v>5</v>
      </c>
      <c r="D214" s="2" t="s">
        <v>7</v>
      </c>
      <c r="E214" s="2" t="s">
        <v>6</v>
      </c>
      <c r="F214" s="4" t="s">
        <v>1</v>
      </c>
      <c r="G214" s="46" t="s">
        <v>3</v>
      </c>
      <c r="H214" s="5" t="s">
        <v>287</v>
      </c>
      <c r="I214" s="5" t="s">
        <v>4</v>
      </c>
    </row>
    <row r="215" spans="1:10" s="8" customFormat="1" ht="3" customHeight="1" thickBot="1">
      <c r="B215" s="37"/>
      <c r="C215" s="37"/>
      <c r="D215" s="37"/>
      <c r="E215" s="37"/>
      <c r="F215" s="38"/>
      <c r="G215" s="39"/>
      <c r="H215" s="39"/>
      <c r="I215" s="39"/>
    </row>
    <row r="216" spans="1:10" s="8" customFormat="1" ht="52.8">
      <c r="B216" s="195" t="s">
        <v>272</v>
      </c>
      <c r="C216" s="167" t="s">
        <v>0</v>
      </c>
      <c r="D216" s="218">
        <f>D279</f>
        <v>0</v>
      </c>
      <c r="E216" s="294" t="str">
        <f>DEC2HEX(((D216)*2^23),8)</f>
        <v>00000000</v>
      </c>
      <c r="F216" s="196" t="s">
        <v>222</v>
      </c>
      <c r="G216" s="504" t="s">
        <v>43</v>
      </c>
      <c r="H216" s="465" t="str">
        <f>"0x"&amp;DEC2HEX((HEX2DEC(C35)+224), 8)</f>
        <v>0x3D4000E0</v>
      </c>
      <c r="I216" s="466" t="str">
        <f>"0x"&amp;DEC2HEX((HEX2DEC(E216)+HEX2DEC(E217)+HEX2DEC(E218)+HEX2DEC(E219)+HEX2DEC(E220)+HEX2DEC(E221)+HEX2DEC(E222)+HEX2DEC(E223)+HEX2DEC(E224)+HEX2DEC(E225)+HEX2DEC(E226)+HEX2DEC(E227)+HEX2DEC(E228)+HEX2DEC(E229) ), 8)</f>
        <v>0x00310008</v>
      </c>
    </row>
    <row r="217" spans="1:10" s="8" customFormat="1" ht="52.8">
      <c r="B217" s="108" t="s">
        <v>273</v>
      </c>
      <c r="C217" s="104" t="s">
        <v>0</v>
      </c>
      <c r="D217" s="129">
        <f>D278</f>
        <v>0</v>
      </c>
      <c r="E217" s="88" t="str">
        <f>DEC2HEX(((D217)*2^22),8)</f>
        <v>00000000</v>
      </c>
      <c r="F217" s="109" t="s">
        <v>223</v>
      </c>
      <c r="G217" s="505"/>
      <c r="H217" s="459"/>
      <c r="I217" s="462"/>
    </row>
    <row r="218" spans="1:10" s="8" customFormat="1" ht="132">
      <c r="B218" s="108" t="s">
        <v>274</v>
      </c>
      <c r="C218" s="104" t="s">
        <v>0</v>
      </c>
      <c r="D218" s="105">
        <v>6</v>
      </c>
      <c r="E218" s="88" t="str">
        <f>DEC2HEX(((D218)*2^19),8)</f>
        <v>00300000</v>
      </c>
      <c r="F218" s="109" t="s">
        <v>224</v>
      </c>
      <c r="G218" s="505"/>
      <c r="H218" s="459"/>
      <c r="I218" s="462"/>
    </row>
    <row r="219" spans="1:10" s="8" customFormat="1" ht="52.8">
      <c r="B219" s="108" t="s">
        <v>275</v>
      </c>
      <c r="C219" s="104" t="s">
        <v>0</v>
      </c>
      <c r="D219" s="201">
        <v>0</v>
      </c>
      <c r="E219" s="88" t="str">
        <f>DEC2HEX(((D219)*2^18),8)</f>
        <v>00000000</v>
      </c>
      <c r="F219" s="109" t="s">
        <v>225</v>
      </c>
      <c r="G219" s="505"/>
      <c r="H219" s="459"/>
      <c r="I219" s="462"/>
    </row>
    <row r="220" spans="1:10" s="8" customFormat="1" ht="66">
      <c r="B220" s="108" t="s">
        <v>276</v>
      </c>
      <c r="C220" s="104" t="s">
        <v>0</v>
      </c>
      <c r="D220" s="105">
        <v>0</v>
      </c>
      <c r="E220" s="88" t="str">
        <f>DEC2HEX(((D220)*2^17),8)</f>
        <v>00000000</v>
      </c>
      <c r="F220" s="109" t="s">
        <v>226</v>
      </c>
      <c r="G220" s="505"/>
      <c r="H220" s="459"/>
      <c r="I220" s="462"/>
    </row>
    <row r="221" spans="1:10" s="8" customFormat="1" ht="53.4" thickBot="1">
      <c r="B221" s="85" t="s">
        <v>277</v>
      </c>
      <c r="C221" s="106" t="s">
        <v>0</v>
      </c>
      <c r="D221" s="193">
        <v>1</v>
      </c>
      <c r="E221" s="107" t="str">
        <f>DEC2HEX(((D221)*2^16),8)</f>
        <v>00010000</v>
      </c>
      <c r="F221" s="194" t="s">
        <v>227</v>
      </c>
      <c r="G221" s="505"/>
      <c r="H221" s="459"/>
      <c r="I221" s="462"/>
    </row>
    <row r="222" spans="1:10" s="8" customFormat="1" ht="52.8">
      <c r="B222" s="197" t="s">
        <v>278</v>
      </c>
      <c r="C222" s="169" t="s">
        <v>0</v>
      </c>
      <c r="D222" s="200">
        <v>0</v>
      </c>
      <c r="E222" s="87" t="str">
        <f>DEC2HEX(((D222)*2^7),8)</f>
        <v>00000000</v>
      </c>
      <c r="F222" s="192" t="s">
        <v>228</v>
      </c>
      <c r="G222" s="505"/>
      <c r="H222" s="459"/>
      <c r="I222" s="462"/>
    </row>
    <row r="223" spans="1:10" s="8" customFormat="1" ht="52.8">
      <c r="B223" s="198" t="s">
        <v>279</v>
      </c>
      <c r="C223" s="104" t="s">
        <v>0</v>
      </c>
      <c r="D223" s="201">
        <v>0</v>
      </c>
      <c r="E223" s="88" t="str">
        <f>DEC2HEX(((D223)*2^6),8)</f>
        <v>00000000</v>
      </c>
      <c r="F223" s="109" t="s">
        <v>229</v>
      </c>
      <c r="G223" s="505"/>
      <c r="H223" s="459"/>
      <c r="I223" s="462"/>
    </row>
    <row r="224" spans="1:10" s="8" customFormat="1" ht="52.8">
      <c r="B224" s="198" t="s">
        <v>280</v>
      </c>
      <c r="C224" s="104" t="s">
        <v>0</v>
      </c>
      <c r="D224" s="105">
        <v>0</v>
      </c>
      <c r="E224" s="88" t="str">
        <f>DEC2HEX(((D224)*2^5),8)</f>
        <v>00000000</v>
      </c>
      <c r="F224" s="109" t="s">
        <v>230</v>
      </c>
      <c r="G224" s="505"/>
      <c r="H224" s="459"/>
      <c r="I224" s="462"/>
    </row>
    <row r="225" spans="2:9" s="8" customFormat="1" ht="52.8">
      <c r="B225" s="198" t="s">
        <v>281</v>
      </c>
      <c r="C225" s="104" t="s">
        <v>0</v>
      </c>
      <c r="D225" s="201">
        <v>0</v>
      </c>
      <c r="E225" s="88" t="str">
        <f>DEC2HEX(((D225)*2^4),8)</f>
        <v>00000000</v>
      </c>
      <c r="F225" s="109" t="s">
        <v>231</v>
      </c>
      <c r="G225" s="505"/>
      <c r="H225" s="459"/>
      <c r="I225" s="462"/>
    </row>
    <row r="226" spans="2:9" s="8" customFormat="1" ht="66">
      <c r="B226" s="198" t="s">
        <v>282</v>
      </c>
      <c r="C226" s="104" t="s">
        <v>0</v>
      </c>
      <c r="D226" s="390">
        <f>IF(C29&lt;800, 0, 1)</f>
        <v>1</v>
      </c>
      <c r="E226" s="88" t="str">
        <f>DEC2HEX(((D226)*2^3),8)</f>
        <v>00000008</v>
      </c>
      <c r="F226" s="109" t="s">
        <v>954</v>
      </c>
      <c r="G226" s="505"/>
      <c r="H226" s="459"/>
      <c r="I226" s="462"/>
    </row>
    <row r="227" spans="2:9" s="8" customFormat="1" ht="52.8">
      <c r="B227" s="198" t="s">
        <v>283</v>
      </c>
      <c r="C227" s="104" t="s">
        <v>0</v>
      </c>
      <c r="D227" s="201">
        <v>0</v>
      </c>
      <c r="E227" s="88" t="str">
        <f>DEC2HEX(((D227)*2^2),8)</f>
        <v>00000000</v>
      </c>
      <c r="F227" s="109" t="s">
        <v>232</v>
      </c>
      <c r="G227" s="505"/>
      <c r="H227" s="459"/>
      <c r="I227" s="462"/>
    </row>
    <row r="228" spans="2:9" s="8" customFormat="1" ht="52.8">
      <c r="B228" s="198" t="s">
        <v>284</v>
      </c>
      <c r="C228" s="104" t="s">
        <v>0</v>
      </c>
      <c r="D228" s="201">
        <v>0</v>
      </c>
      <c r="E228" s="88" t="str">
        <f>DEC2HEX(((D228)*2^1),8)</f>
        <v>00000000</v>
      </c>
      <c r="F228" s="109" t="s">
        <v>233</v>
      </c>
      <c r="G228" s="505"/>
      <c r="H228" s="459"/>
      <c r="I228" s="462"/>
    </row>
    <row r="229" spans="2:9" s="8" customFormat="1" ht="53.4" thickBot="1">
      <c r="B229" s="199" t="s">
        <v>285</v>
      </c>
      <c r="C229" s="106" t="s">
        <v>0</v>
      </c>
      <c r="D229" s="202">
        <v>0</v>
      </c>
      <c r="E229" s="107" t="str">
        <f>DEC2HEX(((D229)*2^0),8)</f>
        <v>00000000</v>
      </c>
      <c r="F229" s="194" t="s">
        <v>234</v>
      </c>
      <c r="G229" s="506"/>
      <c r="H229" s="460"/>
      <c r="I229" s="463"/>
    </row>
    <row r="230" spans="2:9" s="8" customFormat="1" ht="6.75" customHeight="1" thickBot="1">
      <c r="E230" s="13"/>
      <c r="G230" s="13"/>
      <c r="H230" s="13"/>
      <c r="I230" s="13"/>
    </row>
    <row r="231" spans="2:9" s="8" customFormat="1" ht="132">
      <c r="B231" s="302" t="s">
        <v>357</v>
      </c>
      <c r="C231" s="167" t="s">
        <v>0</v>
      </c>
      <c r="D231" s="223">
        <v>6</v>
      </c>
      <c r="E231" s="294" t="str">
        <f>DEC2HEX(((D231)*2^20),8)</f>
        <v>00600000</v>
      </c>
      <c r="F231" s="303" t="s">
        <v>361</v>
      </c>
      <c r="G231" s="516" t="s">
        <v>356</v>
      </c>
      <c r="H231" s="519" t="str">
        <f>"0x"&amp;DEC2HEX((HEX2DEC(C35)+232), 8)</f>
        <v>0x3D4000E8</v>
      </c>
      <c r="I231" s="520" t="str">
        <f>"0x"&amp;DEC2HEX((HEX2DEC(E231)+HEX2DEC(E232)+HEX2DEC(E233)+HEX2DEC(E234)), 8)</f>
        <v>0x0066004A</v>
      </c>
    </row>
    <row r="232" spans="2:9" s="8" customFormat="1" ht="118.8">
      <c r="B232" s="304" t="s">
        <v>358</v>
      </c>
      <c r="C232" s="104" t="s">
        <v>0</v>
      </c>
      <c r="D232" s="221">
        <v>6</v>
      </c>
      <c r="E232" s="87" t="str">
        <f>DEC2HEX(((D232)*2^16),8)</f>
        <v>00060000</v>
      </c>
      <c r="F232" s="300" t="s">
        <v>370</v>
      </c>
      <c r="G232" s="517"/>
      <c r="H232" s="517"/>
      <c r="I232" s="521"/>
    </row>
    <row r="233" spans="2:9" s="8" customFormat="1" ht="39.6">
      <c r="B233" s="304" t="s">
        <v>359</v>
      </c>
      <c r="C233" s="104" t="s">
        <v>0</v>
      </c>
      <c r="D233" s="301">
        <v>1</v>
      </c>
      <c r="E233" s="87" t="str">
        <f>DEC2HEX(((D233)*2^6),8)</f>
        <v>00000040</v>
      </c>
      <c r="F233" s="300" t="s">
        <v>371</v>
      </c>
      <c r="G233" s="517"/>
      <c r="H233" s="517"/>
      <c r="I233" s="521"/>
    </row>
    <row r="234" spans="2:9" s="8" customFormat="1" ht="27" thickBot="1">
      <c r="B234" s="305" t="s">
        <v>360</v>
      </c>
      <c r="C234" s="106" t="s">
        <v>0</v>
      </c>
      <c r="D234" s="306">
        <v>10</v>
      </c>
      <c r="E234" s="293" t="str">
        <f>DEC2HEX(((D234)*2^0),8)</f>
        <v>0000000A</v>
      </c>
      <c r="F234" s="307" t="s">
        <v>372</v>
      </c>
      <c r="G234" s="518"/>
      <c r="H234" s="518"/>
      <c r="I234" s="522"/>
    </row>
    <row r="235" spans="2:9" s="8" customFormat="1" ht="8.25" customHeight="1" thickBot="1">
      <c r="B235" s="308"/>
      <c r="C235" s="309"/>
      <c r="D235" s="278"/>
      <c r="E235" s="310"/>
      <c r="F235" s="311"/>
      <c r="G235" s="278"/>
      <c r="H235" s="278"/>
      <c r="I235" s="278"/>
    </row>
    <row r="236" spans="2:9" s="8" customFormat="1" ht="39.6">
      <c r="B236" s="302" t="s">
        <v>374</v>
      </c>
      <c r="C236" s="167" t="s">
        <v>0</v>
      </c>
      <c r="D236" s="223">
        <v>0</v>
      </c>
      <c r="E236" s="294" t="str">
        <f>DEC2HEX(((D236)*2^21),8)</f>
        <v>00000000</v>
      </c>
      <c r="F236" s="312" t="s">
        <v>385</v>
      </c>
      <c r="G236" s="496" t="s">
        <v>373</v>
      </c>
      <c r="H236" s="499" t="str">
        <f>"0x"&amp;DEC2HEX((HEX2DEC(C35)+236), 8)</f>
        <v>0x3D4000EC</v>
      </c>
      <c r="I236" s="500" t="str">
        <f>"0x"&amp;DEC2HEX((HEX2DEC(E236)+HEX2DEC(E237)+HEX2DEC(E238)+HEX2DEC(E239)+HEX2DEC(E240)+HEX2DEC(E241)), 8)</f>
        <v>0x0016004A</v>
      </c>
    </row>
    <row r="237" spans="2:9" s="8" customFormat="1" ht="39.6">
      <c r="B237" s="304" t="s">
        <v>375</v>
      </c>
      <c r="C237" s="104" t="s">
        <v>0</v>
      </c>
      <c r="D237" s="221">
        <v>1</v>
      </c>
      <c r="E237" s="87" t="str">
        <f>DEC2HEX(((D237)*2^20),8)</f>
        <v>00100000</v>
      </c>
      <c r="F237" s="300" t="s">
        <v>384</v>
      </c>
      <c r="G237" s="497"/>
      <c r="H237" s="497"/>
      <c r="I237" s="501"/>
    </row>
    <row r="238" spans="2:9" s="8" customFormat="1" ht="39.6">
      <c r="B238" s="304" t="s">
        <v>376</v>
      </c>
      <c r="C238" s="104" t="s">
        <v>0</v>
      </c>
      <c r="D238" s="221">
        <v>0</v>
      </c>
      <c r="E238" s="87" t="str">
        <f>DEC2HEX(((D238)*2^19),8)</f>
        <v>00000000</v>
      </c>
      <c r="F238" s="300" t="s">
        <v>383</v>
      </c>
      <c r="G238" s="497"/>
      <c r="H238" s="497"/>
      <c r="I238" s="501"/>
    </row>
    <row r="239" spans="2:9" s="8" customFormat="1" ht="118.8">
      <c r="B239" s="304" t="s">
        <v>377</v>
      </c>
      <c r="C239" s="104" t="s">
        <v>0</v>
      </c>
      <c r="D239" s="221">
        <v>6</v>
      </c>
      <c r="E239" s="87" t="str">
        <f>DEC2HEX(((D239)*2^16),8)</f>
        <v>00060000</v>
      </c>
      <c r="F239" s="300" t="s">
        <v>382</v>
      </c>
      <c r="G239" s="497"/>
      <c r="H239" s="497"/>
      <c r="I239" s="501"/>
    </row>
    <row r="240" spans="2:9" s="8" customFormat="1" ht="39.6">
      <c r="B240" s="304" t="s">
        <v>378</v>
      </c>
      <c r="C240" s="104" t="s">
        <v>0</v>
      </c>
      <c r="D240" s="301">
        <v>1</v>
      </c>
      <c r="E240" s="87" t="str">
        <f>DEC2HEX(((D240)*2^6),8)</f>
        <v>00000040</v>
      </c>
      <c r="F240" s="300" t="s">
        <v>380</v>
      </c>
      <c r="G240" s="497"/>
      <c r="H240" s="497"/>
      <c r="I240" s="501"/>
    </row>
    <row r="241" spans="2:13" s="8" customFormat="1" ht="27" thickBot="1">
      <c r="B241" s="305" t="s">
        <v>379</v>
      </c>
      <c r="C241" s="106" t="s">
        <v>0</v>
      </c>
      <c r="D241" s="306">
        <v>10</v>
      </c>
      <c r="E241" s="293" t="str">
        <f>DEC2HEX(((D241)*2^0),8)</f>
        <v>0000000A</v>
      </c>
      <c r="F241" s="307" t="s">
        <v>381</v>
      </c>
      <c r="G241" s="498"/>
      <c r="H241" s="498"/>
      <c r="I241" s="502"/>
    </row>
    <row r="242" spans="2:13" ht="13.8" thickBot="1">
      <c r="B242" s="76"/>
      <c r="C242" s="77"/>
      <c r="D242" s="78"/>
      <c r="E242" s="36"/>
      <c r="F242" s="73"/>
      <c r="G242" s="81"/>
      <c r="H242" s="81"/>
      <c r="I242" s="81"/>
      <c r="J242" s="82"/>
    </row>
    <row r="243" spans="2:13" ht="13.8" thickBot="1">
      <c r="B243" s="598" t="s">
        <v>178</v>
      </c>
      <c r="C243" s="599"/>
      <c r="D243" s="599"/>
      <c r="E243" s="599"/>
      <c r="F243" s="599"/>
      <c r="G243" s="599"/>
      <c r="H243" s="599"/>
      <c r="I243" s="600"/>
      <c r="J243" s="82"/>
      <c r="L243" s="111"/>
      <c r="M243" s="111"/>
    </row>
    <row r="244" spans="2:13" s="111" customFormat="1" ht="4.5" customHeight="1" thickBot="1">
      <c r="B244" s="112"/>
      <c r="C244" s="112"/>
      <c r="D244" s="112"/>
      <c r="E244" s="112"/>
      <c r="F244" s="112"/>
      <c r="G244" s="112"/>
      <c r="H244" s="112"/>
      <c r="I244" s="112"/>
      <c r="J244" s="113"/>
      <c r="L244" s="8"/>
      <c r="M244" s="8"/>
    </row>
    <row r="245" spans="2:13" ht="40.200000000000003" thickBot="1">
      <c r="B245" s="14" t="s">
        <v>77</v>
      </c>
      <c r="C245" s="16" t="s">
        <v>103</v>
      </c>
      <c r="D245" s="96" t="s">
        <v>102</v>
      </c>
      <c r="E245" s="14" t="s">
        <v>6</v>
      </c>
      <c r="F245" s="15" t="s">
        <v>1</v>
      </c>
      <c r="G245" s="35" t="s">
        <v>3</v>
      </c>
      <c r="H245" s="16" t="s">
        <v>288</v>
      </c>
      <c r="I245" s="16" t="s">
        <v>4</v>
      </c>
      <c r="J245" s="18"/>
    </row>
    <row r="246" spans="2:13" ht="105.6">
      <c r="B246" s="58" t="s">
        <v>145</v>
      </c>
      <c r="C246" s="65"/>
      <c r="D246" s="125">
        <f>IF(C29&lt;800, 3, 4)</f>
        <v>4</v>
      </c>
      <c r="E246" s="147" t="str">
        <f>DEC2HEX(((D246)*2^24),8)</f>
        <v>04000000</v>
      </c>
      <c r="F246" s="33" t="s">
        <v>365</v>
      </c>
      <c r="G246" s="458" t="s">
        <v>53</v>
      </c>
      <c r="H246" s="458" t="str">
        <f>"0x"&amp;DEC2HEX((HEX2DEC(C35)+400), 8)</f>
        <v>0x3D400190</v>
      </c>
      <c r="I246" s="493" t="str">
        <f>"0x"&amp;DEC2HEX((HEX2DEC(E246)+HEX2DEC(E247)+HEX2DEC(E248)+HEX2DEC(E249)+HEX2DEC(E250)+HEX2DEC(E251)), 8)</f>
        <v>0x0497820A</v>
      </c>
      <c r="J246" s="18"/>
    </row>
    <row r="247" spans="2:13" ht="106.5" customHeight="1">
      <c r="B247" s="59" t="s">
        <v>146</v>
      </c>
      <c r="C247" s="61"/>
      <c r="D247" s="126">
        <v>1</v>
      </c>
      <c r="E247" s="145" t="str">
        <f>DEC2HEX(((D247)*2^23),8)</f>
        <v>00800000</v>
      </c>
      <c r="F247" s="17" t="s">
        <v>331</v>
      </c>
      <c r="G247" s="459"/>
      <c r="H247" s="459"/>
      <c r="I247" s="494"/>
      <c r="J247" s="18"/>
    </row>
    <row r="248" spans="2:13" ht="132">
      <c r="B248" s="59" t="s">
        <v>147</v>
      </c>
      <c r="C248" s="61"/>
      <c r="D248" s="125">
        <f>(C125 - 5)</f>
        <v>23</v>
      </c>
      <c r="E248" s="145" t="str">
        <f>DEC2HEX(((D248)*2^16),8)</f>
        <v>00170000</v>
      </c>
      <c r="F248" s="32" t="s">
        <v>364</v>
      </c>
      <c r="G248" s="459"/>
      <c r="H248" s="459"/>
      <c r="I248" s="494"/>
      <c r="J248" s="208"/>
    </row>
    <row r="249" spans="2:13" ht="132">
      <c r="B249" s="59" t="s">
        <v>148</v>
      </c>
      <c r="C249" s="61"/>
      <c r="D249" s="126">
        <v>1</v>
      </c>
      <c r="E249" s="145" t="str">
        <f>DEC2HEX(((D249)*2^15),8)</f>
        <v>00008000</v>
      </c>
      <c r="F249" s="32" t="s">
        <v>332</v>
      </c>
      <c r="G249" s="459"/>
      <c r="H249" s="459"/>
      <c r="I249" s="494"/>
      <c r="J249" s="18"/>
    </row>
    <row r="250" spans="2:13" ht="100.5" customHeight="1">
      <c r="B250" s="75" t="s">
        <v>149</v>
      </c>
      <c r="C250" s="61"/>
      <c r="D250" s="126">
        <v>2</v>
      </c>
      <c r="E250" s="145" t="str">
        <f>DEC2HEX(((D250)*2^8),8)</f>
        <v>00000200</v>
      </c>
      <c r="F250" s="32" t="s">
        <v>73</v>
      </c>
      <c r="G250" s="459"/>
      <c r="H250" s="459"/>
      <c r="I250" s="494"/>
      <c r="J250" s="18"/>
    </row>
    <row r="251" spans="2:13" ht="93" thickBot="1">
      <c r="B251" s="148" t="s">
        <v>150</v>
      </c>
      <c r="C251" s="63"/>
      <c r="D251" s="144">
        <f>C124+1-5</f>
        <v>10</v>
      </c>
      <c r="E251" s="146" t="str">
        <f>DEC2HEX(((D251)*2^0),8)</f>
        <v>0000000A</v>
      </c>
      <c r="F251" s="34" t="s">
        <v>369</v>
      </c>
      <c r="G251" s="460"/>
      <c r="H251" s="460"/>
      <c r="I251" s="495"/>
      <c r="J251" s="208"/>
    </row>
    <row r="252" spans="2:13" ht="6.75" customHeight="1" thickBot="1">
      <c r="B252" s="69"/>
      <c r="C252" s="70"/>
      <c r="D252" s="71"/>
      <c r="E252" s="72"/>
      <c r="F252" s="73"/>
      <c r="G252" s="36"/>
      <c r="H252" s="36"/>
      <c r="I252" s="55"/>
      <c r="J252" s="18"/>
    </row>
    <row r="253" spans="2:13" ht="92.4">
      <c r="B253" s="58" t="s">
        <v>246</v>
      </c>
      <c r="C253" s="65" t="s">
        <v>0</v>
      </c>
      <c r="D253" s="57">
        <v>0</v>
      </c>
      <c r="E253" s="52" t="str">
        <f>DEC2HEX(((D253)*2^28),8)</f>
        <v>00000000</v>
      </c>
      <c r="F253" s="33" t="s">
        <v>247</v>
      </c>
      <c r="G253" s="458" t="s">
        <v>54</v>
      </c>
      <c r="H253" s="458" t="str">
        <f>"0x"&amp;DEC2HEX((HEX2DEC(C35)+404), 8)</f>
        <v>0x3D400194</v>
      </c>
      <c r="I253" s="461" t="str">
        <f>"0x"&amp;DEC2HEX((HEX2DEC(E253)+HEX2DEC(E254)+HEX2DEC(E255)+HEX2DEC(E256)+HEX2DEC(E257)), 8)</f>
        <v>0x00080303</v>
      </c>
      <c r="J253" s="18"/>
    </row>
    <row r="254" spans="2:13" ht="52.8">
      <c r="B254" s="59" t="s">
        <v>248</v>
      </c>
      <c r="C254" s="61" t="s">
        <v>0</v>
      </c>
      <c r="D254" s="62">
        <v>0</v>
      </c>
      <c r="E254" s="53" t="str">
        <f>DEC2HEX(((D254)*2^24),8)</f>
        <v>00000000</v>
      </c>
      <c r="F254" s="17" t="s">
        <v>249</v>
      </c>
      <c r="G254" s="459"/>
      <c r="H254" s="459"/>
      <c r="I254" s="462"/>
      <c r="J254" s="18"/>
    </row>
    <row r="255" spans="2:13" ht="211.2">
      <c r="B255" s="59" t="s">
        <v>151</v>
      </c>
      <c r="C255" s="61" t="s">
        <v>0</v>
      </c>
      <c r="D255" s="125">
        <f>ROUNDUP((6 + D48 + D249)/2, 0)</f>
        <v>8</v>
      </c>
      <c r="E255" s="53" t="str">
        <f>DEC2HEX(((D255)*2^16),8)</f>
        <v>00080000</v>
      </c>
      <c r="F255" s="32" t="s">
        <v>1041</v>
      </c>
      <c r="G255" s="459"/>
      <c r="H255" s="459"/>
      <c r="I255" s="462"/>
      <c r="J255" s="18"/>
    </row>
    <row r="256" spans="2:13" ht="91.5" customHeight="1">
      <c r="B256" s="59" t="s">
        <v>152</v>
      </c>
      <c r="C256" s="61" t="s">
        <v>0</v>
      </c>
      <c r="D256" s="62">
        <v>3</v>
      </c>
      <c r="E256" s="53" t="str">
        <f>DEC2HEX(((D256)*2^8),8)</f>
        <v>00000300</v>
      </c>
      <c r="F256" s="32" t="s">
        <v>1042</v>
      </c>
      <c r="G256" s="459"/>
      <c r="H256" s="459"/>
      <c r="I256" s="462"/>
      <c r="J256" s="18"/>
    </row>
    <row r="257" spans="1:11" ht="96.75" customHeight="1" thickBot="1">
      <c r="B257" s="60" t="s">
        <v>153</v>
      </c>
      <c r="C257" s="63" t="s">
        <v>0</v>
      </c>
      <c r="D257" s="64">
        <v>3</v>
      </c>
      <c r="E257" s="54" t="str">
        <f>DEC2HEX(((D257)*2^0),8)</f>
        <v>00000003</v>
      </c>
      <c r="F257" s="34" t="s">
        <v>1043</v>
      </c>
      <c r="G257" s="460"/>
      <c r="H257" s="460"/>
      <c r="I257" s="463"/>
      <c r="J257" s="18"/>
    </row>
    <row r="258" spans="1:11" ht="8.25" customHeight="1" thickBot="1">
      <c r="B258" s="76"/>
      <c r="C258" s="77"/>
      <c r="D258" s="78"/>
      <c r="E258" s="36"/>
      <c r="F258" s="73"/>
      <c r="G258" s="81"/>
      <c r="H258" s="81"/>
      <c r="I258" s="81"/>
      <c r="J258" s="18"/>
    </row>
    <row r="259" spans="1:11" ht="66">
      <c r="A259" s="240"/>
      <c r="B259" s="58" t="s">
        <v>251</v>
      </c>
      <c r="C259" s="93" t="s">
        <v>0</v>
      </c>
      <c r="D259" s="92">
        <f>(C125-5)</f>
        <v>23</v>
      </c>
      <c r="E259" s="238" t="str">
        <f>DEC2HEX(((D259)*2^8),8)</f>
        <v>00001700</v>
      </c>
      <c r="F259" s="33" t="s">
        <v>367</v>
      </c>
      <c r="G259" s="465" t="s">
        <v>250</v>
      </c>
      <c r="H259" s="465" t="str">
        <f>"0x"&amp;DEC2HEX((HEX2DEC(C35)+436), 8)</f>
        <v>0x3D4001B4</v>
      </c>
      <c r="I259" s="461" t="str">
        <f>"0x"&amp;DEC2HEX((HEX2DEC(E259)+HEX2DEC(E260)), 8)</f>
        <v>0x0000170A</v>
      </c>
      <c r="J259" s="18"/>
    </row>
    <row r="260" spans="1:11" ht="79.8" thickBot="1">
      <c r="A260" s="240"/>
      <c r="B260" s="60" t="s">
        <v>252</v>
      </c>
      <c r="C260" s="97" t="s">
        <v>0</v>
      </c>
      <c r="D260" s="164">
        <f>(C124+1-5)</f>
        <v>10</v>
      </c>
      <c r="E260" s="239" t="str">
        <f>DEC2HEX(((D260)*2^0),8)</f>
        <v>0000000A</v>
      </c>
      <c r="F260" s="34" t="s">
        <v>368</v>
      </c>
      <c r="G260" s="460"/>
      <c r="H260" s="460"/>
      <c r="I260" s="463"/>
      <c r="J260" s="18"/>
    </row>
    <row r="261" spans="1:11" ht="9" customHeight="1" thickBot="1">
      <c r="B261" s="76"/>
      <c r="C261" s="103"/>
      <c r="D261" s="78"/>
      <c r="E261" s="36"/>
      <c r="F261" s="73"/>
      <c r="G261" s="81"/>
      <c r="H261" s="81"/>
      <c r="I261" s="81"/>
      <c r="J261" s="18"/>
    </row>
    <row r="262" spans="1:11" ht="66">
      <c r="B262" s="58" t="s">
        <v>389</v>
      </c>
      <c r="C262" s="93" t="s">
        <v>0</v>
      </c>
      <c r="D262" s="57">
        <v>1</v>
      </c>
      <c r="E262" s="295" t="str">
        <f>DEC2HEX(((D262)*2^4),8)</f>
        <v>00000010</v>
      </c>
      <c r="F262" s="33" t="s">
        <v>366</v>
      </c>
      <c r="G262" s="465" t="s">
        <v>253</v>
      </c>
      <c r="H262" s="465" t="str">
        <f>"0x"&amp;DEC2HEX((HEX2DEC(C35)+432), 8)</f>
        <v>0x3D4001B0</v>
      </c>
      <c r="I262" s="466" t="str">
        <f>"0x"&amp;DEC2HEX((HEX2DEC(E263)+HEX2DEC(E264)+HEX2DEC(E265)+HEX2DEC(E262)), 8)</f>
        <v>0x00000011</v>
      </c>
      <c r="J262" s="18"/>
    </row>
    <row r="263" spans="1:11" ht="52.8">
      <c r="B263" s="59" t="s">
        <v>254</v>
      </c>
      <c r="C263" s="94" t="s">
        <v>0</v>
      </c>
      <c r="D263" s="126">
        <v>0</v>
      </c>
      <c r="E263" s="296" t="str">
        <f>DEC2HEX(((D263)*2^2),8)</f>
        <v>00000000</v>
      </c>
      <c r="F263" s="17" t="s">
        <v>257</v>
      </c>
      <c r="G263" s="459"/>
      <c r="H263" s="459"/>
      <c r="I263" s="462"/>
      <c r="J263" s="622"/>
      <c r="K263" s="618"/>
    </row>
    <row r="264" spans="1:11" ht="66">
      <c r="B264" s="59" t="s">
        <v>255</v>
      </c>
      <c r="C264" s="94" t="s">
        <v>0</v>
      </c>
      <c r="D264" s="126">
        <v>0</v>
      </c>
      <c r="E264" s="296" t="str">
        <f>DEC2HEX(((D264)*2^1),8)</f>
        <v>00000000</v>
      </c>
      <c r="F264" s="17" t="s">
        <v>258</v>
      </c>
      <c r="G264" s="459"/>
      <c r="H264" s="459"/>
      <c r="I264" s="462"/>
      <c r="J264" s="622"/>
      <c r="K264" s="618"/>
    </row>
    <row r="265" spans="1:11" ht="53.4" thickBot="1">
      <c r="B265" s="60" t="s">
        <v>256</v>
      </c>
      <c r="C265" s="97" t="s">
        <v>0</v>
      </c>
      <c r="D265" s="64">
        <v>1</v>
      </c>
      <c r="E265" s="297" t="str">
        <f>DEC2HEX(((D265)*2^0),8)</f>
        <v>00000001</v>
      </c>
      <c r="F265" s="34" t="s">
        <v>259</v>
      </c>
      <c r="G265" s="460"/>
      <c r="H265" s="460"/>
      <c r="I265" s="463"/>
      <c r="J265" s="622"/>
      <c r="K265" s="618"/>
    </row>
    <row r="266" spans="1:11" ht="6.75" customHeight="1" thickBot="1">
      <c r="B266" s="69"/>
      <c r="C266" s="70"/>
      <c r="D266" s="71"/>
      <c r="E266" s="72"/>
      <c r="F266" s="73"/>
      <c r="G266" s="36"/>
      <c r="H266" s="36"/>
      <c r="I266" s="55"/>
      <c r="J266" s="18"/>
    </row>
    <row r="267" spans="1:11" ht="92.4">
      <c r="B267" s="58" t="s">
        <v>154</v>
      </c>
      <c r="C267" s="65" t="s">
        <v>0</v>
      </c>
      <c r="D267" s="57">
        <v>1</v>
      </c>
      <c r="E267" s="52" t="str">
        <f>DEC2HEX(((D267)*2^31),8)</f>
        <v>80000000</v>
      </c>
      <c r="F267" s="133" t="s">
        <v>72</v>
      </c>
      <c r="G267" s="458" t="s">
        <v>55</v>
      </c>
      <c r="H267" s="458" t="str">
        <f>"0x"&amp;DEC2HEX((HEX2DEC(C35)+416), 8)</f>
        <v>0x3D4001A0</v>
      </c>
      <c r="I267" s="461" t="str">
        <f>"0x"&amp;DEC2HEX((HEX2DEC(E267)+HEX2DEC(E268)+HEX2DEC(E269)+HEX2DEC(E270)+HEX2DEC(E271)), 8)</f>
        <v>0xE0400018</v>
      </c>
      <c r="J267" s="18"/>
    </row>
    <row r="268" spans="1:11" ht="105.6">
      <c r="B268" s="59" t="s">
        <v>155</v>
      </c>
      <c r="C268" s="61" t="s">
        <v>0</v>
      </c>
      <c r="D268" s="62">
        <v>1</v>
      </c>
      <c r="E268" s="53" t="str">
        <f>DEC2HEX(((D268)*2^30),8)</f>
        <v>40000000</v>
      </c>
      <c r="F268" s="17" t="s">
        <v>71</v>
      </c>
      <c r="G268" s="459"/>
      <c r="H268" s="459"/>
      <c r="I268" s="462"/>
      <c r="J268" s="18"/>
    </row>
    <row r="269" spans="1:11" ht="79.2">
      <c r="B269" s="59" t="s">
        <v>390</v>
      </c>
      <c r="C269" s="61" t="s">
        <v>0</v>
      </c>
      <c r="D269" s="126">
        <v>1</v>
      </c>
      <c r="E269" s="314" t="str">
        <f>DEC2HEX(((D269)*2^29),8)</f>
        <v>20000000</v>
      </c>
      <c r="F269" s="247" t="s">
        <v>391</v>
      </c>
      <c r="G269" s="459"/>
      <c r="H269" s="459"/>
      <c r="I269" s="462"/>
      <c r="J269" s="18"/>
    </row>
    <row r="270" spans="1:11" ht="66">
      <c r="B270" s="75" t="s">
        <v>156</v>
      </c>
      <c r="C270" s="61" t="s">
        <v>0</v>
      </c>
      <c r="D270" s="62">
        <v>64</v>
      </c>
      <c r="E270" s="53" t="str">
        <f>DEC2HEX(((D270)*2^16),8)</f>
        <v>00400000</v>
      </c>
      <c r="F270" s="32" t="s">
        <v>69</v>
      </c>
      <c r="G270" s="459"/>
      <c r="H270" s="459"/>
      <c r="I270" s="462"/>
      <c r="J270" s="18"/>
    </row>
    <row r="271" spans="1:11" ht="105.75" customHeight="1" thickBot="1">
      <c r="B271" s="60" t="s">
        <v>157</v>
      </c>
      <c r="C271" s="63" t="s">
        <v>0</v>
      </c>
      <c r="D271" s="64">
        <v>24</v>
      </c>
      <c r="E271" s="54" t="str">
        <f>DEC2HEX(((D271)*2^0),8)</f>
        <v>00000018</v>
      </c>
      <c r="F271" s="34" t="s">
        <v>70</v>
      </c>
      <c r="G271" s="460"/>
      <c r="H271" s="460"/>
      <c r="I271" s="463"/>
      <c r="J271" s="18"/>
    </row>
    <row r="272" spans="1:11" ht="6" customHeight="1" thickBot="1">
      <c r="B272" s="69"/>
      <c r="C272" s="70"/>
      <c r="D272" s="71"/>
      <c r="E272" s="72"/>
      <c r="F272" s="73"/>
      <c r="G272" s="36"/>
      <c r="H272" s="36"/>
      <c r="I272" s="55"/>
      <c r="J272" s="18"/>
    </row>
    <row r="273" spans="2:10" ht="92.4">
      <c r="B273" s="58" t="s">
        <v>158</v>
      </c>
      <c r="C273" s="65" t="s">
        <v>0</v>
      </c>
      <c r="D273" s="209">
        <v>223</v>
      </c>
      <c r="E273" s="52" t="str">
        <f>DEC2HEX(((D273)*2^16),8)</f>
        <v>00DF0000</v>
      </c>
      <c r="F273" s="33" t="s">
        <v>68</v>
      </c>
      <c r="G273" s="458" t="s">
        <v>56</v>
      </c>
      <c r="H273" s="458" t="str">
        <f>"0x"&amp;DEC2HEX((HEX2DEC(C35)+420), 8)</f>
        <v>0x3D4001A4</v>
      </c>
      <c r="I273" s="461" t="str">
        <f>"0x"&amp;DEC2HEX((HEX2DEC(E273)+HEX2DEC(E274)), 8)</f>
        <v>0x00DF00E4</v>
      </c>
      <c r="J273" s="18"/>
    </row>
    <row r="274" spans="2:10" ht="159" thickBot="1">
      <c r="B274" s="60" t="s">
        <v>159</v>
      </c>
      <c r="C274" s="63" t="s">
        <v>0</v>
      </c>
      <c r="D274" s="64">
        <v>228</v>
      </c>
      <c r="E274" s="54" t="str">
        <f>DEC2HEX(((D274)*2^0),8)</f>
        <v>000000E4</v>
      </c>
      <c r="F274" s="34" t="s">
        <v>260</v>
      </c>
      <c r="G274" s="460"/>
      <c r="H274" s="460"/>
      <c r="I274" s="463"/>
      <c r="J274" s="18"/>
    </row>
    <row r="275" spans="2:10" ht="6.75" customHeight="1" thickBot="1">
      <c r="B275" s="69"/>
      <c r="C275" s="70"/>
      <c r="D275" s="71"/>
      <c r="E275" s="72"/>
      <c r="F275" s="73"/>
      <c r="G275" s="36"/>
      <c r="H275" s="36"/>
      <c r="I275" s="55"/>
      <c r="J275" s="18"/>
    </row>
    <row r="276" spans="2:10" ht="68.25" customHeight="1" thickBot="1">
      <c r="B276" s="258" t="s">
        <v>160</v>
      </c>
      <c r="C276" s="259" t="s">
        <v>0</v>
      </c>
      <c r="D276" s="260">
        <v>1</v>
      </c>
      <c r="E276" s="261" t="str">
        <f>DEC2HEX(((D276)*2^31),8)</f>
        <v>80000000</v>
      </c>
      <c r="F276" s="262" t="s">
        <v>67</v>
      </c>
      <c r="G276" s="261" t="s">
        <v>57</v>
      </c>
      <c r="H276" s="261" t="str">
        <f>"0x"&amp;DEC2HEX((HEX2DEC(C35)+424), 8)</f>
        <v>0x3D4001A8</v>
      </c>
      <c r="I276" s="263" t="str">
        <f>"0x"&amp;DEC2HEX((HEX2DEC(E276)), 8)</f>
        <v>0x80000000</v>
      </c>
      <c r="J276" s="342"/>
    </row>
    <row r="277" spans="2:10" ht="13.8" thickBot="1">
      <c r="B277" s="77"/>
      <c r="C277" s="77"/>
      <c r="D277" s="78"/>
      <c r="E277" s="113"/>
      <c r="F277" s="225"/>
      <c r="G277" s="226"/>
      <c r="H277" s="226"/>
      <c r="I277" s="226"/>
      <c r="J277" s="18"/>
    </row>
    <row r="278" spans="2:10" ht="105.6">
      <c r="B278" s="127" t="s">
        <v>305</v>
      </c>
      <c r="C278" s="93" t="s">
        <v>0</v>
      </c>
      <c r="D278" s="92">
        <f>IF(I27="Enabled", 1, 0)</f>
        <v>0</v>
      </c>
      <c r="E278" s="151" t="str">
        <f>DEC2HEX(((D278)*2^2),8)</f>
        <v>00000000</v>
      </c>
      <c r="F278" s="152" t="s">
        <v>308</v>
      </c>
      <c r="G278" s="617" t="s">
        <v>304</v>
      </c>
      <c r="H278" s="617" t="str">
        <f>"0x"&amp;DEC2HEX((HEX2DEC(C35)+448), 8)</f>
        <v>0x3D4001C0</v>
      </c>
      <c r="I278" s="616" t="str">
        <f>"0x"&amp;DEC2HEX((HEX2DEC(E278)+HEX2DEC(E279)+HEX2DEC(E280)), 8)</f>
        <v>0x00000001</v>
      </c>
      <c r="J278" s="18"/>
    </row>
    <row r="279" spans="2:10" ht="105.6">
      <c r="B279" s="128" t="s">
        <v>306</v>
      </c>
      <c r="C279" s="94" t="s">
        <v>0</v>
      </c>
      <c r="D279" s="232">
        <f>IF(I27="ENABLED", 1, 0)</f>
        <v>0</v>
      </c>
      <c r="E279" s="153" t="str">
        <f>DEC2HEX(((D279)*2^1),8)</f>
        <v>00000000</v>
      </c>
      <c r="F279" s="241" t="s">
        <v>309</v>
      </c>
      <c r="G279" s="488"/>
      <c r="H279" s="488"/>
      <c r="I279" s="491"/>
      <c r="J279" s="18"/>
    </row>
    <row r="280" spans="2:10" ht="119.4" thickBot="1">
      <c r="B280" s="148" t="s">
        <v>307</v>
      </c>
      <c r="C280" s="97" t="s">
        <v>0</v>
      </c>
      <c r="D280" s="64">
        <v>1</v>
      </c>
      <c r="E280" s="154" t="str">
        <f>DEC2HEX(((D280)*2^0),8)</f>
        <v>00000001</v>
      </c>
      <c r="F280" s="155" t="s">
        <v>310</v>
      </c>
      <c r="G280" s="489"/>
      <c r="H280" s="489"/>
      <c r="I280" s="492"/>
      <c r="J280" s="18"/>
    </row>
    <row r="281" spans="2:10" ht="6.75" customHeight="1" thickBot="1">
      <c r="B281" s="77"/>
      <c r="C281" s="103"/>
      <c r="D281" s="78"/>
      <c r="E281" s="113"/>
      <c r="F281" s="225"/>
      <c r="G281" s="226"/>
      <c r="H281" s="226"/>
      <c r="I281" s="226"/>
      <c r="J281" s="18"/>
    </row>
    <row r="282" spans="2:10" ht="53.4" thickBot="1">
      <c r="B282" s="258" t="s">
        <v>388</v>
      </c>
      <c r="C282" s="317" t="s">
        <v>0</v>
      </c>
      <c r="D282" s="260">
        <v>1</v>
      </c>
      <c r="E282" s="261" t="str">
        <f>DEC2HEX(((D282)*2^0),8)</f>
        <v>00000001</v>
      </c>
      <c r="F282" s="262" t="s">
        <v>1056</v>
      </c>
      <c r="G282" s="318" t="s">
        <v>387</v>
      </c>
      <c r="H282" s="319" t="str">
        <f>"0x"&amp;DEC2HEX((HEX2DEC(C35)+452), 8)</f>
        <v>0x3D4001C4</v>
      </c>
      <c r="I282" s="320" t="str">
        <f>"0x"&amp;DEC2HEX((HEX2DEC(E282)), 8)</f>
        <v>0x00000001</v>
      </c>
      <c r="J282" s="18"/>
    </row>
    <row r="283" spans="2:10" ht="13.8" thickBot="1">
      <c r="B283" s="77"/>
      <c r="C283" s="103"/>
      <c r="D283" s="78"/>
      <c r="E283" s="113"/>
      <c r="F283" s="225"/>
      <c r="G283" s="325"/>
      <c r="H283" s="226"/>
      <c r="I283" s="226"/>
      <c r="J283" s="18"/>
    </row>
    <row r="284" spans="2:10" ht="145.19999999999999">
      <c r="B284" s="127" t="s">
        <v>857</v>
      </c>
      <c r="C284" s="93" t="s">
        <v>0</v>
      </c>
      <c r="D284" s="57">
        <v>41</v>
      </c>
      <c r="E284" s="151" t="str">
        <f>DEC2HEX(((D284)*2^24),8)</f>
        <v>29000000</v>
      </c>
      <c r="F284" s="391" t="s">
        <v>868</v>
      </c>
      <c r="G284" s="484" t="s">
        <v>856</v>
      </c>
      <c r="H284" s="487" t="str">
        <f>"0x"&amp;DEC2HEX((HEX2DEC(C35)+592), 8)</f>
        <v>0x3D400250</v>
      </c>
      <c r="I284" s="490" t="str">
        <f>"0x"&amp;DEC2HEX((HEX2DEC(E284)+HEX2DEC(E285)+HEX2DEC(E286)+HEX2DEC(E287)+HEX2DEC(E288)+HEX2DEC(E289) ), 8)</f>
        <v>0x29001505</v>
      </c>
      <c r="J284" s="18"/>
    </row>
    <row r="285" spans="2:10" ht="26.4">
      <c r="B285" s="128" t="s">
        <v>858</v>
      </c>
      <c r="C285" s="94" t="s">
        <v>0</v>
      </c>
      <c r="D285" s="126">
        <v>0</v>
      </c>
      <c r="E285" s="153" t="str">
        <f>DEC2HEX(((D285)*2^16),8)</f>
        <v>00000000</v>
      </c>
      <c r="F285" s="392" t="s">
        <v>867</v>
      </c>
      <c r="G285" s="485"/>
      <c r="H285" s="488"/>
      <c r="I285" s="491"/>
      <c r="J285" s="18"/>
    </row>
    <row r="286" spans="2:10" ht="158.4">
      <c r="B286" s="128" t="s">
        <v>859</v>
      </c>
      <c r="C286" s="94" t="s">
        <v>0</v>
      </c>
      <c r="D286" s="126">
        <v>21</v>
      </c>
      <c r="E286" s="153" t="str">
        <f>DEC2HEX(((D286)*2^8),8)</f>
        <v>00001500</v>
      </c>
      <c r="F286" s="392" t="s">
        <v>866</v>
      </c>
      <c r="G286" s="485"/>
      <c r="H286" s="488"/>
      <c r="I286" s="491"/>
      <c r="J286" s="18"/>
    </row>
    <row r="287" spans="2:10" ht="224.4">
      <c r="B287" s="128" t="s">
        <v>860</v>
      </c>
      <c r="C287" s="94" t="s">
        <v>0</v>
      </c>
      <c r="D287" s="126">
        <v>1</v>
      </c>
      <c r="E287" s="153" t="str">
        <f>DEC2HEX(((D287)*2^2),8)</f>
        <v>00000004</v>
      </c>
      <c r="F287" s="392" t="s">
        <v>865</v>
      </c>
      <c r="G287" s="485"/>
      <c r="H287" s="488"/>
      <c r="I287" s="491"/>
      <c r="J287" s="18"/>
    </row>
    <row r="288" spans="2:10" ht="39.6">
      <c r="B288" s="128" t="s">
        <v>861</v>
      </c>
      <c r="C288" s="94" t="s">
        <v>0</v>
      </c>
      <c r="D288" s="126">
        <v>0</v>
      </c>
      <c r="E288" s="153" t="str">
        <f>DEC2HEX(((D288)*2^1),8)</f>
        <v>00000000</v>
      </c>
      <c r="F288" s="392" t="s">
        <v>864</v>
      </c>
      <c r="G288" s="485"/>
      <c r="H288" s="488"/>
      <c r="I288" s="491"/>
      <c r="J288" s="18"/>
    </row>
    <row r="289" spans="2:10" ht="119.4" thickBot="1">
      <c r="B289" s="148" t="s">
        <v>862</v>
      </c>
      <c r="C289" s="97" t="s">
        <v>0</v>
      </c>
      <c r="D289" s="64">
        <v>1</v>
      </c>
      <c r="E289" s="154" t="str">
        <f>DEC2HEX(((D289)*2^0),8)</f>
        <v>00000001</v>
      </c>
      <c r="F289" s="393" t="s">
        <v>863</v>
      </c>
      <c r="G289" s="486"/>
      <c r="H289" s="489"/>
      <c r="I289" s="492"/>
      <c r="J289" s="18"/>
    </row>
    <row r="290" spans="2:10" ht="13.8" thickBot="1">
      <c r="B290" s="77"/>
      <c r="C290" s="103"/>
      <c r="D290" s="78"/>
      <c r="E290" s="113"/>
      <c r="F290" s="225"/>
      <c r="G290" s="325"/>
      <c r="H290" s="226"/>
      <c r="I290" s="226"/>
      <c r="J290" s="18"/>
    </row>
    <row r="291" spans="2:10" ht="211.8" thickBot="1">
      <c r="B291" s="258" t="s">
        <v>869</v>
      </c>
      <c r="C291" s="317" t="s">
        <v>0</v>
      </c>
      <c r="D291" s="260">
        <v>44</v>
      </c>
      <c r="E291" s="261" t="str">
        <f>DEC2HEX(((D291)*2^0),8)</f>
        <v>0000002C</v>
      </c>
      <c r="F291" s="394" t="s">
        <v>870</v>
      </c>
      <c r="G291" s="318" t="s">
        <v>871</v>
      </c>
      <c r="H291" s="319" t="str">
        <f>"0x"&amp;DEC2HEX((HEX2DEC(C35)+596), 8)</f>
        <v>0x3D400254</v>
      </c>
      <c r="I291" s="320" t="str">
        <f>"0x"&amp;DEC2HEX((HEX2DEC(E291)), 8)</f>
        <v>0x0000002C</v>
      </c>
      <c r="J291" s="18"/>
    </row>
    <row r="292" spans="2:10" ht="13.8" thickBot="1">
      <c r="B292" s="77"/>
      <c r="C292" s="103"/>
      <c r="D292" s="78"/>
      <c r="E292" s="113"/>
      <c r="F292" s="395"/>
      <c r="G292" s="325"/>
      <c r="H292" s="226"/>
      <c r="I292" s="226"/>
      <c r="J292" s="18"/>
    </row>
    <row r="293" spans="2:10" ht="92.4">
      <c r="B293" s="127" t="s">
        <v>983</v>
      </c>
      <c r="C293" s="93" t="s">
        <v>0</v>
      </c>
      <c r="D293" s="57">
        <v>89</v>
      </c>
      <c r="E293" s="151" t="str">
        <f>DEC2HEX(((D293)*2^24),8)</f>
        <v>59000000</v>
      </c>
      <c r="F293" s="391" t="s">
        <v>985</v>
      </c>
      <c r="G293" s="473" t="s">
        <v>982</v>
      </c>
      <c r="H293" s="475" t="str">
        <f>"0x"&amp;DEC2HEX((HEX2DEC(C35)+604), 8)</f>
        <v>0x3D40025C</v>
      </c>
      <c r="I293" s="477" t="str">
        <f>"0x"&amp;DEC2HEX((HEX2DEC(E293)+HEX2DEC(E294)), 8)</f>
        <v>0x5900575B</v>
      </c>
      <c r="J293" s="18"/>
    </row>
    <row r="294" spans="2:10" ht="93" thickBot="1">
      <c r="B294" s="148" t="s">
        <v>984</v>
      </c>
      <c r="C294" s="97" t="s">
        <v>0</v>
      </c>
      <c r="D294" s="64">
        <v>22363</v>
      </c>
      <c r="E294" s="154" t="str">
        <f>DEC2HEX(((D294)*2^0),8)</f>
        <v>0000575B</v>
      </c>
      <c r="F294" s="393" t="s">
        <v>986</v>
      </c>
      <c r="G294" s="474"/>
      <c r="H294" s="476"/>
      <c r="I294" s="478"/>
      <c r="J294" s="18"/>
    </row>
    <row r="295" spans="2:10" ht="13.8" thickBot="1">
      <c r="B295" s="77"/>
      <c r="C295" s="103"/>
      <c r="D295" s="78"/>
      <c r="E295" s="113"/>
      <c r="F295" s="395"/>
      <c r="G295" s="325"/>
      <c r="H295" s="226"/>
      <c r="I295" s="226"/>
      <c r="J295" s="18"/>
    </row>
    <row r="296" spans="2:10" ht="92.4">
      <c r="B296" s="127" t="s">
        <v>873</v>
      </c>
      <c r="C296" s="93" t="s">
        <v>0</v>
      </c>
      <c r="D296" s="57">
        <v>144</v>
      </c>
      <c r="E296" s="151" t="str">
        <f>DEC2HEX(((D296)*2^24),8)</f>
        <v>90000000</v>
      </c>
      <c r="F296" s="391" t="s">
        <v>875</v>
      </c>
      <c r="G296" s="473" t="s">
        <v>872</v>
      </c>
      <c r="H296" s="475" t="str">
        <f>"0x"&amp;DEC2HEX((HEX2DEC(C35)+612), 8)</f>
        <v>0x3D400264</v>
      </c>
      <c r="I296" s="477" t="str">
        <f>"0x"&amp;DEC2HEX((HEX2DEC(E296)+HEX2DEC(E297)), 8)</f>
        <v>0x90000096</v>
      </c>
      <c r="J296" s="18"/>
    </row>
    <row r="297" spans="2:10" ht="93" thickBot="1">
      <c r="B297" s="148" t="s">
        <v>874</v>
      </c>
      <c r="C297" s="97" t="s">
        <v>0</v>
      </c>
      <c r="D297" s="64">
        <v>150</v>
      </c>
      <c r="E297" s="154" t="str">
        <f>DEC2HEX(((D297)*2^0),8)</f>
        <v>00000096</v>
      </c>
      <c r="F297" s="393" t="s">
        <v>876</v>
      </c>
      <c r="G297" s="474"/>
      <c r="H297" s="476"/>
      <c r="I297" s="478"/>
      <c r="J297" s="18"/>
    </row>
    <row r="298" spans="2:10" ht="13.8" thickBot="1">
      <c r="B298" s="77"/>
      <c r="C298" s="103"/>
      <c r="D298" s="78"/>
      <c r="E298" s="113"/>
      <c r="F298" s="395"/>
      <c r="G298" s="325"/>
      <c r="H298" s="226"/>
      <c r="I298" s="226"/>
      <c r="J298" s="18"/>
    </row>
    <row r="299" spans="2:10" ht="92.4">
      <c r="B299" s="127" t="s">
        <v>878</v>
      </c>
      <c r="C299" s="93" t="s">
        <v>0</v>
      </c>
      <c r="D299" s="57">
        <v>16</v>
      </c>
      <c r="E299" s="151" t="str">
        <f>DEC2HEX(((D299)*2^24),8)</f>
        <v>10000000</v>
      </c>
      <c r="F299" s="391" t="s">
        <v>880</v>
      </c>
      <c r="G299" s="473" t="s">
        <v>877</v>
      </c>
      <c r="H299" s="475" t="str">
        <f>"0x"&amp;DEC2HEX((HEX2DEC(C35)+620), 8)</f>
        <v>0x3D40026C</v>
      </c>
      <c r="I299" s="477" t="str">
        <f>"0x"&amp;DEC2HEX((HEX2DEC(E299)+HEX2DEC(E300)), 8)</f>
        <v>0x1000012C</v>
      </c>
      <c r="J299" s="18"/>
    </row>
    <row r="300" spans="2:10" ht="93" thickBot="1">
      <c r="B300" s="148" t="s">
        <v>879</v>
      </c>
      <c r="C300" s="97" t="s">
        <v>0</v>
      </c>
      <c r="D300" s="64">
        <v>300</v>
      </c>
      <c r="E300" s="154" t="str">
        <f>DEC2HEX(((D300)*2^0),8)</f>
        <v>0000012C</v>
      </c>
      <c r="F300" s="393" t="s">
        <v>881</v>
      </c>
      <c r="G300" s="474"/>
      <c r="H300" s="476"/>
      <c r="I300" s="478"/>
      <c r="J300" s="18"/>
    </row>
    <row r="301" spans="2:10" ht="13.8" thickBot="1">
      <c r="B301" s="77"/>
      <c r="C301" s="103"/>
      <c r="D301" s="78"/>
      <c r="E301" s="113"/>
      <c r="F301" s="395"/>
      <c r="G301" s="325"/>
      <c r="H301" s="226"/>
      <c r="I301" s="226"/>
      <c r="J301" s="18"/>
    </row>
    <row r="302" spans="2:10" ht="246" customHeight="1">
      <c r="B302" s="127" t="s">
        <v>883</v>
      </c>
      <c r="C302" s="93" t="s">
        <v>0</v>
      </c>
      <c r="D302" s="57">
        <v>1</v>
      </c>
      <c r="E302" s="151" t="str">
        <f>DEC2HEX(((D302)*2^8),8)</f>
        <v>00000100</v>
      </c>
      <c r="F302" s="391" t="s">
        <v>888</v>
      </c>
      <c r="G302" s="484" t="s">
        <v>882</v>
      </c>
      <c r="H302" s="487" t="str">
        <f>"0x"&amp;DEC2HEX((HEX2DEC(C35)+1024), 8)</f>
        <v>0x3D400400</v>
      </c>
      <c r="I302" s="490" t="str">
        <f>"0x"&amp;DEC2HEX((HEX2DEC(E302)+HEX2DEC(E303)+HEX2DEC(E304)), 8)</f>
        <v>0x00000111</v>
      </c>
      <c r="J302" s="18"/>
    </row>
    <row r="303" spans="2:10" ht="66">
      <c r="B303" s="128" t="s">
        <v>884</v>
      </c>
      <c r="C303" s="94" t="s">
        <v>0</v>
      </c>
      <c r="D303" s="126">
        <v>1</v>
      </c>
      <c r="E303" s="153" t="str">
        <f>DEC2HEX(((D303)*2^4),8)</f>
        <v>00000010</v>
      </c>
      <c r="F303" s="392" t="s">
        <v>887</v>
      </c>
      <c r="G303" s="485"/>
      <c r="H303" s="488"/>
      <c r="I303" s="491"/>
      <c r="J303" s="18"/>
    </row>
    <row r="304" spans="2:10" ht="93" thickBot="1">
      <c r="B304" s="148" t="s">
        <v>885</v>
      </c>
      <c r="C304" s="97" t="s">
        <v>0</v>
      </c>
      <c r="D304" s="64">
        <v>1</v>
      </c>
      <c r="E304" s="154" t="str">
        <f>DEC2HEX(((D304)*2^0),8)</f>
        <v>00000001</v>
      </c>
      <c r="F304" s="393" t="s">
        <v>886</v>
      </c>
      <c r="G304" s="486"/>
      <c r="H304" s="489"/>
      <c r="I304" s="492"/>
      <c r="J304" s="18"/>
    </row>
    <row r="305" spans="2:10" ht="13.8" thickBot="1">
      <c r="B305" s="77"/>
      <c r="C305" s="103"/>
      <c r="D305" s="78"/>
      <c r="E305" s="113"/>
      <c r="F305" s="395"/>
      <c r="G305" s="325"/>
      <c r="H305" s="226"/>
      <c r="I305" s="226"/>
      <c r="J305" s="18"/>
    </row>
    <row r="306" spans="2:10" ht="66">
      <c r="B306" s="127" t="s">
        <v>889</v>
      </c>
      <c r="C306" s="93" t="s">
        <v>0</v>
      </c>
      <c r="D306" s="57">
        <v>1</v>
      </c>
      <c r="E306" s="151" t="str">
        <f>DEC2HEX(((D306)*2^14),8)</f>
        <v>00004000</v>
      </c>
      <c r="F306" s="391" t="s">
        <v>893</v>
      </c>
      <c r="G306" s="484" t="s">
        <v>897</v>
      </c>
      <c r="H306" s="487" t="str">
        <f>"0x"&amp;DEC2HEX((HEX2DEC(C35)+1032), 8)</f>
        <v>0x3D400408</v>
      </c>
      <c r="I306" s="490" t="str">
        <f>"0x"&amp;DEC2HEX((HEX2DEC(E306)+HEX2DEC(E307)+HEX2DEC(E308)+HEX2DEC(E309)), 8)</f>
        <v>0x000072FF</v>
      </c>
      <c r="J306" s="18"/>
    </row>
    <row r="307" spans="2:10" ht="105.6">
      <c r="B307" s="128" t="s">
        <v>890</v>
      </c>
      <c r="C307" s="94" t="s">
        <v>0</v>
      </c>
      <c r="D307" s="126">
        <v>1</v>
      </c>
      <c r="E307" s="153" t="str">
        <f>DEC2HEX(((D307)*2^13),8)</f>
        <v>00002000</v>
      </c>
      <c r="F307" s="392" t="s">
        <v>894</v>
      </c>
      <c r="G307" s="485"/>
      <c r="H307" s="488"/>
      <c r="I307" s="491"/>
      <c r="J307" s="18"/>
    </row>
    <row r="308" spans="2:10" ht="26.4">
      <c r="B308" s="128" t="s">
        <v>891</v>
      </c>
      <c r="C308" s="94" t="s">
        <v>0</v>
      </c>
      <c r="D308" s="126">
        <v>1</v>
      </c>
      <c r="E308" s="153" t="str">
        <f>DEC2HEX(((D308)*2^12),8)</f>
        <v>00001000</v>
      </c>
      <c r="F308" s="396" t="s">
        <v>896</v>
      </c>
      <c r="G308" s="485"/>
      <c r="H308" s="488"/>
      <c r="I308" s="491"/>
      <c r="J308" s="18"/>
    </row>
    <row r="309" spans="2:10" ht="198.6" thickBot="1">
      <c r="B309" s="148" t="s">
        <v>892</v>
      </c>
      <c r="C309" s="97" t="s">
        <v>0</v>
      </c>
      <c r="D309" s="64">
        <v>767</v>
      </c>
      <c r="E309" s="154" t="str">
        <f>DEC2HEX(((D309)*2^0),8)</f>
        <v>000002FF</v>
      </c>
      <c r="F309" s="393" t="s">
        <v>895</v>
      </c>
      <c r="G309" s="486"/>
      <c r="H309" s="489"/>
      <c r="I309" s="492"/>
      <c r="J309" s="18"/>
    </row>
    <row r="310" spans="2:10" ht="13.8" thickBot="1">
      <c r="B310" s="77"/>
      <c r="C310" s="103"/>
      <c r="D310" s="78"/>
      <c r="E310" s="113"/>
      <c r="F310" s="395"/>
      <c r="G310" s="325"/>
      <c r="H310" s="226"/>
      <c r="I310" s="226"/>
      <c r="J310" s="18"/>
    </row>
    <row r="311" spans="2:10" ht="92.4">
      <c r="B311" s="127" t="s">
        <v>899</v>
      </c>
      <c r="C311" s="93" t="s">
        <v>0</v>
      </c>
      <c r="D311" s="57">
        <v>0</v>
      </c>
      <c r="E311" s="151" t="str">
        <f>DEC2HEX(((D311)*2^24),8)</f>
        <v>00000000</v>
      </c>
      <c r="F311" s="391" t="s">
        <v>900</v>
      </c>
      <c r="G311" s="484" t="s">
        <v>898</v>
      </c>
      <c r="H311" s="487" t="str">
        <f>"0x"&amp;DEC2HEX((HEX2DEC(C35)+1172), 8)</f>
        <v>0x3D400494</v>
      </c>
      <c r="I311" s="490" t="str">
        <f>"0x"&amp;DEC2HEX((HEX2DEC(E311)+HEX2DEC(E312)+HEX2DEC(E313)+HEX2DEC(E314)+HEX2DEC(E315)), 8)</f>
        <v>0x00000E00</v>
      </c>
      <c r="J311" s="18"/>
    </row>
    <row r="312" spans="2:10" ht="132">
      <c r="B312" s="128" t="s">
        <v>901</v>
      </c>
      <c r="C312" s="94" t="s">
        <v>0</v>
      </c>
      <c r="D312" s="126">
        <v>0</v>
      </c>
      <c r="E312" s="153" t="str">
        <f>DEC2HEX(((D312)*2^20),8)</f>
        <v>00000000</v>
      </c>
      <c r="F312" s="392" t="s">
        <v>906</v>
      </c>
      <c r="G312" s="485"/>
      <c r="H312" s="488"/>
      <c r="I312" s="491"/>
      <c r="J312" s="18"/>
    </row>
    <row r="313" spans="2:10" ht="132">
      <c r="B313" s="128" t="s">
        <v>902</v>
      </c>
      <c r="C313" s="94" t="s">
        <v>0</v>
      </c>
      <c r="D313" s="126">
        <v>0</v>
      </c>
      <c r="E313" s="153" t="str">
        <f>DEC2HEX(((D313)*2^16),8)</f>
        <v>00000000</v>
      </c>
      <c r="F313" s="392" t="s">
        <v>907</v>
      </c>
      <c r="G313" s="485"/>
      <c r="H313" s="488"/>
      <c r="I313" s="491"/>
      <c r="J313" s="18"/>
    </row>
    <row r="314" spans="2:10" ht="92.4">
      <c r="B314" s="128" t="s">
        <v>903</v>
      </c>
      <c r="C314" s="94" t="s">
        <v>0</v>
      </c>
      <c r="D314" s="126">
        <v>14</v>
      </c>
      <c r="E314" s="153" t="str">
        <f>DEC2HEX(((D314)*2^8),8)</f>
        <v>00000E00</v>
      </c>
      <c r="F314" s="392" t="s">
        <v>908</v>
      </c>
      <c r="G314" s="485"/>
      <c r="H314" s="488"/>
      <c r="I314" s="491"/>
      <c r="J314" s="18"/>
    </row>
    <row r="315" spans="2:10" ht="93" thickBot="1">
      <c r="B315" s="148" t="s">
        <v>904</v>
      </c>
      <c r="C315" s="97" t="s">
        <v>0</v>
      </c>
      <c r="D315" s="64">
        <v>0</v>
      </c>
      <c r="E315" s="154" t="str">
        <f>DEC2HEX(((D315)*2^0),8)</f>
        <v>00000000</v>
      </c>
      <c r="F315" s="393" t="s">
        <v>905</v>
      </c>
      <c r="G315" s="486"/>
      <c r="H315" s="489"/>
      <c r="I315" s="492"/>
      <c r="J315" s="18"/>
    </row>
    <row r="316" spans="2:10" ht="13.8" thickBot="1">
      <c r="B316" s="77"/>
      <c r="C316" s="103"/>
      <c r="D316" s="78"/>
      <c r="E316" s="113"/>
      <c r="F316" s="395"/>
      <c r="G316" s="325"/>
      <c r="H316" s="226"/>
      <c r="I316" s="226"/>
      <c r="J316" s="18"/>
    </row>
    <row r="317" spans="2:10" ht="39.6">
      <c r="B317" s="127" t="s">
        <v>910</v>
      </c>
      <c r="C317" s="93" t="s">
        <v>0</v>
      </c>
      <c r="D317" s="57">
        <v>98</v>
      </c>
      <c r="E317" s="151" t="str">
        <f>DEC2HEX(((D317)*2^16),8)</f>
        <v>00620000</v>
      </c>
      <c r="F317" s="391" t="s">
        <v>912</v>
      </c>
      <c r="G317" s="484" t="s">
        <v>909</v>
      </c>
      <c r="H317" s="487" t="str">
        <f>"0x"&amp;DEC2HEX((HEX2DEC(C35)+1176), 8)</f>
        <v>0x3D400498</v>
      </c>
      <c r="I317" s="490" t="str">
        <f>"0x"&amp;DEC2HEX((HEX2DEC(E317)+HEX2DEC(E318)), 8)</f>
        <v>0x0062FFFF</v>
      </c>
      <c r="J317" s="18"/>
    </row>
    <row r="318" spans="2:10" ht="40.200000000000003" thickBot="1">
      <c r="B318" s="148" t="s">
        <v>911</v>
      </c>
      <c r="C318" s="97" t="s">
        <v>0</v>
      </c>
      <c r="D318" s="64">
        <v>65535</v>
      </c>
      <c r="E318" s="154" t="str">
        <f>DEC2HEX(((D318)*2^0),8)</f>
        <v>0000FFFF</v>
      </c>
      <c r="F318" s="393" t="s">
        <v>913</v>
      </c>
      <c r="G318" s="486"/>
      <c r="H318" s="489"/>
      <c r="I318" s="492"/>
      <c r="J318" s="18"/>
    </row>
    <row r="319" spans="2:10" ht="13.8" thickBot="1">
      <c r="B319" s="77"/>
      <c r="C319" s="103"/>
      <c r="D319" s="78"/>
      <c r="E319" s="113"/>
      <c r="F319" s="395"/>
      <c r="G319" s="325"/>
      <c r="H319" s="226"/>
      <c r="I319" s="226"/>
      <c r="J319" s="18"/>
    </row>
    <row r="320" spans="2:10" ht="79.2">
      <c r="B320" s="127" t="s">
        <v>914</v>
      </c>
      <c r="C320" s="93" t="s">
        <v>0</v>
      </c>
      <c r="D320" s="57">
        <v>0</v>
      </c>
      <c r="E320" s="151" t="str">
        <f>DEC2HEX(((D320)*2^20),8)</f>
        <v>00000000</v>
      </c>
      <c r="F320" s="391" t="s">
        <v>919</v>
      </c>
      <c r="G320" s="484" t="s">
        <v>920</v>
      </c>
      <c r="H320" s="487" t="str">
        <f>"0x"&amp;DEC2HEX((HEX2DEC(C35)+1180), 8)</f>
        <v>0x3D40049C</v>
      </c>
      <c r="I320" s="490" t="str">
        <f>"0x"&amp;DEC2HEX((HEX2DEC(E320)+HEX2DEC(E321)+HEX2DEC(E322)), 8)</f>
        <v>0x00000E00</v>
      </c>
      <c r="J320" s="18"/>
    </row>
    <row r="321" spans="2:10" ht="79.2">
      <c r="B321" s="128" t="s">
        <v>915</v>
      </c>
      <c r="C321" s="94" t="s">
        <v>0</v>
      </c>
      <c r="D321" s="126">
        <v>0</v>
      </c>
      <c r="E321" s="153" t="str">
        <f>DEC2HEX(((D321)*2^16),8)</f>
        <v>00000000</v>
      </c>
      <c r="F321" s="392" t="s">
        <v>918</v>
      </c>
      <c r="G321" s="485"/>
      <c r="H321" s="488"/>
      <c r="I321" s="491"/>
      <c r="J321" s="18"/>
    </row>
    <row r="322" spans="2:10" ht="66.599999999999994" thickBot="1">
      <c r="B322" s="148" t="s">
        <v>916</v>
      </c>
      <c r="C322" s="97" t="s">
        <v>0</v>
      </c>
      <c r="D322" s="64">
        <v>3584</v>
      </c>
      <c r="E322" s="154" t="str">
        <f>DEC2HEX(((D322)*2^0),8)</f>
        <v>00000E00</v>
      </c>
      <c r="F322" s="393" t="s">
        <v>917</v>
      </c>
      <c r="G322" s="486"/>
      <c r="H322" s="489"/>
      <c r="I322" s="492"/>
      <c r="J322" s="18"/>
    </row>
    <row r="323" spans="2:10" ht="13.8" thickBot="1">
      <c r="B323" s="77"/>
      <c r="C323" s="103"/>
      <c r="D323" s="78"/>
      <c r="E323" s="113"/>
      <c r="F323" s="395"/>
      <c r="G323" s="325"/>
      <c r="H323" s="226"/>
      <c r="I323" s="226"/>
      <c r="J323" s="18"/>
    </row>
    <row r="324" spans="2:10" ht="27" thickBot="1">
      <c r="B324" s="258" t="s">
        <v>921</v>
      </c>
      <c r="C324" s="317" t="s">
        <v>0</v>
      </c>
      <c r="D324" s="260">
        <v>65535</v>
      </c>
      <c r="E324" s="261" t="str">
        <f>DEC2HEX(((D324)*2^0),8)</f>
        <v>0000FFFF</v>
      </c>
      <c r="F324" s="394" t="s">
        <v>922</v>
      </c>
      <c r="G324" s="318" t="s">
        <v>923</v>
      </c>
      <c r="H324" s="319" t="str">
        <f>"0x"&amp;DEC2HEX((HEX2DEC(C35)+1184), 8)</f>
        <v>0x3D4004A0</v>
      </c>
      <c r="I324" s="320" t="str">
        <f>"0x"&amp;DEC2HEX((HEX2DEC(E324)), 8)</f>
        <v>0x0000FFFF</v>
      </c>
      <c r="J324" s="18"/>
    </row>
    <row r="325" spans="2:10" ht="13.8" thickBot="1">
      <c r="B325" s="77"/>
      <c r="C325" s="103"/>
      <c r="D325" s="78"/>
      <c r="E325" s="113"/>
      <c r="F325" s="395"/>
      <c r="G325" s="325"/>
      <c r="H325" s="226"/>
      <c r="I325" s="226"/>
      <c r="J325" s="18"/>
    </row>
    <row r="326" spans="2:10" ht="39.6">
      <c r="B326" s="127" t="s">
        <v>1004</v>
      </c>
      <c r="C326" s="93" t="s">
        <v>0</v>
      </c>
      <c r="D326" s="57">
        <v>0</v>
      </c>
      <c r="E326" s="151" t="str">
        <f>DEC2HEX(((D326)*2^24),8)</f>
        <v>00000000</v>
      </c>
      <c r="F326" s="391" t="s">
        <v>1015</v>
      </c>
      <c r="G326" s="484" t="s">
        <v>1003</v>
      </c>
      <c r="H326" s="487" t="str">
        <f>"0x"&amp;DEC2HEX((HEX2DEC(C35)+876), 8)</f>
        <v>0x3D40036C</v>
      </c>
      <c r="I326" s="490" t="str">
        <f>"0x"&amp;DEC2HEX((HEX2DEC(E326)+HEX2DEC(E327)+HEX2DEC(E328)+HEX2DEC(E329)+HEX2DEC(E330)+HEX2DEC(E331)), 8)</f>
        <v>0x00000011</v>
      </c>
      <c r="J326" s="18"/>
    </row>
    <row r="327" spans="2:10" ht="26.4">
      <c r="B327" s="128" t="s">
        <v>1005</v>
      </c>
      <c r="C327" s="94" t="s">
        <v>0</v>
      </c>
      <c r="D327" s="126">
        <v>0</v>
      </c>
      <c r="E327" s="153" t="str">
        <f>DEC2HEX(((D327)*2^20),8)</f>
        <v>00000000</v>
      </c>
      <c r="F327" s="392" t="s">
        <v>1014</v>
      </c>
      <c r="G327" s="485"/>
      <c r="H327" s="488"/>
      <c r="I327" s="491"/>
      <c r="J327" s="18"/>
    </row>
    <row r="328" spans="2:10" ht="26.4">
      <c r="B328" s="128" t="s">
        <v>1006</v>
      </c>
      <c r="C328" s="94" t="s">
        <v>0</v>
      </c>
      <c r="D328" s="126">
        <v>0</v>
      </c>
      <c r="E328" s="153" t="str">
        <f>DEC2HEX(((D328)*2^16),8)</f>
        <v>00000000</v>
      </c>
      <c r="F328" s="392" t="s">
        <v>1013</v>
      </c>
      <c r="G328" s="485"/>
      <c r="H328" s="488"/>
      <c r="I328" s="491"/>
      <c r="J328" s="18"/>
    </row>
    <row r="329" spans="2:10" ht="39.6">
      <c r="B329" s="128" t="s">
        <v>1007</v>
      </c>
      <c r="C329" s="94" t="s">
        <v>0</v>
      </c>
      <c r="D329" s="126">
        <v>0</v>
      </c>
      <c r="E329" s="153" t="str">
        <f>DEC2HEX(((D329)*2^8),8)</f>
        <v>00000000</v>
      </c>
      <c r="F329" s="392" t="s">
        <v>1012</v>
      </c>
      <c r="G329" s="485"/>
      <c r="H329" s="488"/>
      <c r="I329" s="491"/>
      <c r="J329" s="18"/>
    </row>
    <row r="330" spans="2:10" ht="26.4">
      <c r="B330" s="128" t="s">
        <v>1008</v>
      </c>
      <c r="C330" s="94" t="s">
        <v>0</v>
      </c>
      <c r="D330" s="126">
        <v>1</v>
      </c>
      <c r="E330" s="153" t="str">
        <f>DEC2HEX(((D330)*2^4),8)</f>
        <v>00000010</v>
      </c>
      <c r="F330" s="392" t="s">
        <v>1011</v>
      </c>
      <c r="G330" s="485"/>
      <c r="H330" s="488"/>
      <c r="I330" s="491"/>
      <c r="J330" s="18"/>
    </row>
    <row r="331" spans="2:10" ht="27" thickBot="1">
      <c r="B331" s="148" t="s">
        <v>1009</v>
      </c>
      <c r="C331" s="97" t="s">
        <v>0</v>
      </c>
      <c r="D331" s="64">
        <v>1</v>
      </c>
      <c r="E331" s="154" t="str">
        <f>DEC2HEX(((D331)*2^0),8)</f>
        <v>00000001</v>
      </c>
      <c r="F331" s="393" t="s">
        <v>1010</v>
      </c>
      <c r="G331" s="486"/>
      <c r="H331" s="489"/>
      <c r="I331" s="492"/>
      <c r="J331" s="18"/>
    </row>
    <row r="332" spans="2:10" ht="13.8" thickBot="1">
      <c r="B332" s="77"/>
      <c r="C332" s="103"/>
      <c r="D332" s="78"/>
      <c r="E332" s="113"/>
      <c r="F332" s="395"/>
      <c r="G332" s="325"/>
      <c r="H332" s="226"/>
      <c r="I332" s="226"/>
      <c r="J332" s="18"/>
    </row>
    <row r="333" spans="2:10" ht="118.8">
      <c r="B333" s="127" t="s">
        <v>1017</v>
      </c>
      <c r="C333" s="93" t="s">
        <v>0</v>
      </c>
      <c r="D333" s="57">
        <v>0</v>
      </c>
      <c r="E333" s="151" t="str">
        <f>DEC2HEX(((D333)*2^16),8)</f>
        <v>00000000</v>
      </c>
      <c r="F333" s="391" t="s">
        <v>1023</v>
      </c>
      <c r="G333" s="484" t="s">
        <v>1029</v>
      </c>
      <c r="H333" s="487" t="str">
        <f>"0x"&amp;DEC2HEX((HEX2DEC(C35)+1028), 8)</f>
        <v>0x3D400404</v>
      </c>
      <c r="I333" s="490" t="str">
        <f>"0x"&amp;DEC2HEX((HEX2DEC(E333)+HEX2DEC(E334)+HEX2DEC(E335)+HEX2DEC(E336)+HEX2DEC(E337)+HEX2DEC(E338)), 8)</f>
        <v>0x000010F3</v>
      </c>
      <c r="J333" s="18"/>
    </row>
    <row r="334" spans="2:10" ht="52.8">
      <c r="B334" s="128" t="s">
        <v>1018</v>
      </c>
      <c r="C334" s="94" t="s">
        <v>0</v>
      </c>
      <c r="D334" s="126">
        <v>0</v>
      </c>
      <c r="E334" s="153" t="str">
        <f>DEC2HEX(((D334)*2^14),8)</f>
        <v>00000000</v>
      </c>
      <c r="F334" s="392" t="s">
        <v>1024</v>
      </c>
      <c r="G334" s="485"/>
      <c r="H334" s="488"/>
      <c r="I334" s="491"/>
      <c r="J334" s="18"/>
    </row>
    <row r="335" spans="2:10" ht="92.4">
      <c r="B335" s="128" t="s">
        <v>1019</v>
      </c>
      <c r="C335" s="94" t="s">
        <v>0</v>
      </c>
      <c r="D335" s="126">
        <v>0</v>
      </c>
      <c r="E335" s="153" t="str">
        <f>DEC2HEX(((D335)*2^13),8)</f>
        <v>00000000</v>
      </c>
      <c r="F335" s="392" t="s">
        <v>1025</v>
      </c>
      <c r="G335" s="485"/>
      <c r="H335" s="488"/>
      <c r="I335" s="491"/>
      <c r="J335" s="18"/>
    </row>
    <row r="336" spans="2:10">
      <c r="B336" s="128" t="s">
        <v>1020</v>
      </c>
      <c r="C336" s="94" t="s">
        <v>0</v>
      </c>
      <c r="D336" s="126">
        <v>1</v>
      </c>
      <c r="E336" s="153" t="str">
        <f>DEC2HEX(((D336)*2^12),8)</f>
        <v>00001000</v>
      </c>
      <c r="F336" s="392" t="s">
        <v>1026</v>
      </c>
      <c r="G336" s="485"/>
      <c r="H336" s="488"/>
      <c r="I336" s="491"/>
      <c r="J336" s="18"/>
    </row>
    <row r="337" spans="1:11" ht="26.4">
      <c r="B337" s="128" t="s">
        <v>1021</v>
      </c>
      <c r="C337" s="94" t="s">
        <v>0</v>
      </c>
      <c r="D337" s="126">
        <v>0</v>
      </c>
      <c r="E337" s="153" t="str">
        <f>DEC2HEX(((D337)*2^11),8)</f>
        <v>00000000</v>
      </c>
      <c r="F337" s="392" t="s">
        <v>1027</v>
      </c>
      <c r="G337" s="485"/>
      <c r="H337" s="488"/>
      <c r="I337" s="491"/>
      <c r="J337" s="18"/>
    </row>
    <row r="338" spans="1:11" ht="225" thickBot="1">
      <c r="B338" s="148" t="s">
        <v>1022</v>
      </c>
      <c r="C338" s="97" t="s">
        <v>0</v>
      </c>
      <c r="D338" s="64">
        <v>243</v>
      </c>
      <c r="E338" s="154" t="str">
        <f>DEC2HEX(((D338)*2^0),8)</f>
        <v>000000F3</v>
      </c>
      <c r="F338" s="393" t="s">
        <v>1028</v>
      </c>
      <c r="G338" s="486"/>
      <c r="H338" s="489"/>
      <c r="I338" s="492"/>
      <c r="J338" s="18"/>
    </row>
    <row r="339" spans="1:11">
      <c r="B339" s="77"/>
      <c r="C339" s="103"/>
      <c r="D339" s="78"/>
      <c r="E339" s="113"/>
      <c r="F339" s="395"/>
      <c r="G339" s="325"/>
      <c r="H339" s="226"/>
      <c r="I339" s="226"/>
      <c r="J339" s="18"/>
    </row>
    <row r="340" spans="1:11" ht="13.8" thickBot="1">
      <c r="B340" s="77"/>
      <c r="C340" s="103"/>
      <c r="D340" s="78"/>
      <c r="E340" s="113"/>
      <c r="F340" s="225"/>
      <c r="G340" s="325"/>
      <c r="H340" s="226"/>
      <c r="I340" s="226"/>
      <c r="J340" s="18"/>
    </row>
    <row r="341" spans="1:11" ht="14.4" thickBot="1">
      <c r="A341" s="372"/>
      <c r="B341" s="619" t="s">
        <v>686</v>
      </c>
      <c r="C341" s="620"/>
      <c r="D341" s="620"/>
      <c r="E341" s="620"/>
      <c r="F341" s="620"/>
      <c r="G341" s="620"/>
      <c r="H341" s="620"/>
      <c r="I341" s="621"/>
    </row>
    <row r="342" spans="1:11" ht="13.8" thickBot="1">
      <c r="A342" s="372"/>
      <c r="B342" s="373"/>
      <c r="C342" s="374"/>
      <c r="D342" s="375"/>
      <c r="E342" s="376"/>
      <c r="F342" s="377"/>
      <c r="G342" s="378"/>
      <c r="H342" s="379"/>
      <c r="I342" s="379"/>
      <c r="J342" s="18"/>
    </row>
    <row r="343" spans="1:11" ht="14.4">
      <c r="A343" s="372"/>
      <c r="B343" s="58" t="s">
        <v>183</v>
      </c>
      <c r="C343" s="92">
        <f>MAX(18/C32, 6)</f>
        <v>6.0119999999999996</v>
      </c>
      <c r="D343" s="56">
        <f>ROUNDUP((1+C352+D48+ROUNDUP((C343),0))/2, 0)</f>
        <v>11</v>
      </c>
      <c r="E343" s="348" t="str">
        <f>DEC2HEX(((D343)*2^24),8)</f>
        <v>0B000000</v>
      </c>
      <c r="F343" s="133" t="s">
        <v>800</v>
      </c>
      <c r="G343" s="458" t="s">
        <v>687</v>
      </c>
      <c r="H343" s="458" t="str">
        <f>"0x"&amp;DEC2HEX((HEX2DEC(C36)+256), 8)</f>
        <v>0x3D402100</v>
      </c>
      <c r="I343" s="461" t="str">
        <f>"0x"&amp;DEC2HEX((HEX2DEC(E343)+HEX2DEC(E344)+HEX2DEC(E345)+HEX2DEC(E346)), 8)</f>
        <v>0x0B070508</v>
      </c>
      <c r="J343" s="82"/>
      <c r="K343" s="25"/>
    </row>
    <row r="344" spans="1:11" ht="14.4">
      <c r="A344" s="372"/>
      <c r="B344" s="74" t="s">
        <v>184</v>
      </c>
      <c r="C344" s="232">
        <f>C114</f>
        <v>40</v>
      </c>
      <c r="D344" s="159">
        <f>ROUNDUP(((C344/C32)/2),0)</f>
        <v>7</v>
      </c>
      <c r="E344" s="68" t="str">
        <f>DEC2HEX(((D344)*2^16),8)</f>
        <v>00070000</v>
      </c>
      <c r="F344" s="237" t="s">
        <v>800</v>
      </c>
      <c r="G344" s="479"/>
      <c r="H344" s="479"/>
      <c r="I344" s="481"/>
      <c r="J344" s="18"/>
      <c r="K344" s="25"/>
    </row>
    <row r="345" spans="1:11" ht="14.4">
      <c r="A345" s="372"/>
      <c r="B345" s="59" t="s">
        <v>185</v>
      </c>
      <c r="C345" s="232">
        <f>C115</f>
        <v>35136</v>
      </c>
      <c r="D345" s="249">
        <f>ROUNDDOWN(((C345/C32 - 1)/2/1024),0)</f>
        <v>5</v>
      </c>
      <c r="E345" s="349" t="str">
        <f>DEC2HEX(((D345)*2^8),8)</f>
        <v>00000500</v>
      </c>
      <c r="F345" s="132" t="s">
        <v>800</v>
      </c>
      <c r="G345" s="459"/>
      <c r="H345" s="459"/>
      <c r="I345" s="462"/>
      <c r="J345" s="18"/>
      <c r="K345" s="25"/>
    </row>
    <row r="346" spans="1:11" ht="15" thickBot="1">
      <c r="A346" s="372"/>
      <c r="B346" s="148" t="s">
        <v>186</v>
      </c>
      <c r="C346" s="164">
        <f>IF(G40 = "Option 2", MAX((42+1.875)/C32, 3), MAX(42/C32, 3))</f>
        <v>14.028</v>
      </c>
      <c r="D346" s="158">
        <f>ROUNDUP((C346)/2,0)</f>
        <v>8</v>
      </c>
      <c r="E346" s="154" t="str">
        <f>DEC2HEX(((D346)*2^0),8)</f>
        <v>00000008</v>
      </c>
      <c r="F346" s="157" t="s">
        <v>800</v>
      </c>
      <c r="G346" s="460"/>
      <c r="H346" s="460"/>
      <c r="I346" s="463"/>
      <c r="J346" s="18"/>
    </row>
    <row r="347" spans="1:11" ht="11.25" customHeight="1" thickBot="1">
      <c r="A347" s="372"/>
      <c r="B347" s="77"/>
      <c r="C347" s="119"/>
      <c r="D347" s="119"/>
      <c r="E347" s="113"/>
      <c r="F347" s="324"/>
      <c r="G347" s="81"/>
      <c r="H347" s="81"/>
      <c r="I347" s="81"/>
      <c r="J347" s="18"/>
    </row>
    <row r="348" spans="1:11" ht="14.4">
      <c r="A348" s="372"/>
      <c r="B348" s="58" t="s">
        <v>108</v>
      </c>
      <c r="C348" s="92">
        <f>MAX(7.5/C32, 5)</f>
        <v>5</v>
      </c>
      <c r="D348" s="117">
        <f>ROUNDUP((C348)/2, 0)</f>
        <v>3</v>
      </c>
      <c r="E348" s="348" t="str">
        <f>DEC2HEX(((D348)*2^16),8)</f>
        <v>00030000</v>
      </c>
      <c r="F348" s="137" t="s">
        <v>800</v>
      </c>
      <c r="G348" s="467" t="s">
        <v>799</v>
      </c>
      <c r="H348" s="467" t="str">
        <f>"0x"&amp;DEC2HEX((HEX2DEC(C36)+260), 8)</f>
        <v>0x3D402104</v>
      </c>
      <c r="I348" s="523" t="str">
        <f>"0x"&amp;DEC2HEX((HEX2DEC(E348)+HEX2DEC(E349)+HEX2DEC(E350)), 8)</f>
        <v>0x0003040B</v>
      </c>
      <c r="J348" s="18"/>
    </row>
    <row r="349" spans="1:11" ht="14.4">
      <c r="A349" s="372"/>
      <c r="B349" s="59" t="s">
        <v>109</v>
      </c>
      <c r="C349" s="232">
        <f>MAX(7.5/C32, 8)</f>
        <v>8</v>
      </c>
      <c r="D349" s="159">
        <f>ROUNDUP((C349)/2,0)</f>
        <v>4</v>
      </c>
      <c r="E349" s="349" t="str">
        <f>DEC2HEX(((D349)*2^8),8)</f>
        <v>00000400</v>
      </c>
      <c r="F349" s="350" t="s">
        <v>800</v>
      </c>
      <c r="G349" s="468"/>
      <c r="H349" s="468"/>
      <c r="I349" s="524"/>
      <c r="J349" s="98"/>
    </row>
    <row r="350" spans="1:11" ht="15" thickBot="1">
      <c r="A350" s="372"/>
      <c r="B350" s="60" t="s">
        <v>298</v>
      </c>
      <c r="C350" s="164">
        <f>IF(G40 = "Option 2", MAX((21+1.875)/C32, 4), MAX(21/C32, 4))</f>
        <v>7.0140000000000002</v>
      </c>
      <c r="D350" s="164">
        <f>ROUNDUP(((C350+C346)/2),0)</f>
        <v>11</v>
      </c>
      <c r="E350" s="351" t="str">
        <f>DEC2HEX(((D350)*2^0),8)</f>
        <v>0000000B</v>
      </c>
      <c r="F350" s="138" t="s">
        <v>800</v>
      </c>
      <c r="G350" s="469"/>
      <c r="H350" s="469"/>
      <c r="I350" s="525"/>
      <c r="J350" s="18"/>
    </row>
    <row r="351" spans="1:11" ht="13.8" thickBot="1">
      <c r="A351" s="372"/>
      <c r="B351" s="77"/>
      <c r="C351" s="103"/>
      <c r="D351" s="78"/>
      <c r="E351" s="113"/>
      <c r="F351" s="225"/>
      <c r="G351" s="325"/>
      <c r="H351" s="226"/>
      <c r="I351" s="226"/>
      <c r="J351" s="18"/>
    </row>
    <row r="352" spans="1:11" ht="14.4">
      <c r="A352" s="372"/>
      <c r="B352" s="58" t="s">
        <v>106</v>
      </c>
      <c r="C352" s="218">
        <f>IF(C31&lt;201,4,(IF(C31&lt;534,6,IF(C31&lt;801,8,IF(C31&lt;1066,10,IF(C31&lt;1333,12,14))))))</f>
        <v>6</v>
      </c>
      <c r="D352" s="117">
        <f>ROUNDUP((C352/2), 0)</f>
        <v>3</v>
      </c>
      <c r="E352" s="412" t="str">
        <f>DEC2HEX(((D352)*2^24),8)</f>
        <v>03000000</v>
      </c>
      <c r="F352" s="137" t="s">
        <v>800</v>
      </c>
      <c r="G352" s="458" t="s">
        <v>688</v>
      </c>
      <c r="H352" s="458" t="str">
        <f>"0x"&amp;DEC2HEX((HEX2DEC(C36)+264), 8)</f>
        <v>0x3D402108</v>
      </c>
      <c r="I352" s="493" t="str">
        <f>"0x"&amp;DEC2HEX((HEX2DEC(E352)+HEX2DEC(E353)+HEX2DEC(E354)+HEX2DEC(E355)), 8)</f>
        <v>0x0305090C</v>
      </c>
      <c r="J352" s="82"/>
    </row>
    <row r="353" spans="1:11" ht="14.4">
      <c r="A353" s="372"/>
      <c r="B353" s="74" t="s">
        <v>107</v>
      </c>
      <c r="C353" s="129">
        <f>IF(C31&lt;201, 6,  IF(D217=1, IF(C31&lt;534, 12, IF(C31&lt;801, 16, IF(C31&lt;1066, 22, IF(C31&lt;1333, 28, 32)))), IF(C31&lt;534, 10, IF(C31&lt;801, 14, IF(C31&lt;1066, 20, IF(C31&lt;1333, 24, 28))))))</f>
        <v>10</v>
      </c>
      <c r="D353" s="159">
        <f>ROUNDUP((C353/2), 0)</f>
        <v>5</v>
      </c>
      <c r="E353" s="68" t="str">
        <f>DEC2HEX(((D353)*2^16),8)</f>
        <v>00050000</v>
      </c>
      <c r="F353" s="414" t="s">
        <v>800</v>
      </c>
      <c r="G353" s="479"/>
      <c r="H353" s="479"/>
      <c r="I353" s="503"/>
      <c r="J353" s="82"/>
    </row>
    <row r="354" spans="1:11" ht="14.4">
      <c r="A354" s="372"/>
      <c r="B354" s="59" t="s">
        <v>105</v>
      </c>
      <c r="C354" s="125">
        <f>C126</f>
        <v>3.6</v>
      </c>
      <c r="D354" s="83">
        <f>ROUNDUP((C353+D48+ROUNDUP(C354/C32, 0) + (0.5+D429) - (IF(C31&lt;1333, 4, 6)) -ROUNDUP((1.5/C32),0) ) /2,0)</f>
        <v>9</v>
      </c>
      <c r="E354" s="153" t="str">
        <f>DEC2HEX(((D354)*2^8),8)</f>
        <v>00000900</v>
      </c>
      <c r="F354" s="414" t="s">
        <v>800</v>
      </c>
      <c r="G354" s="459"/>
      <c r="H354" s="459"/>
      <c r="I354" s="494"/>
      <c r="J354" s="224"/>
    </row>
    <row r="355" spans="1:11" ht="15" thickBot="1">
      <c r="A355" s="372"/>
      <c r="B355" s="99" t="s">
        <v>104</v>
      </c>
      <c r="C355" s="164">
        <f>MAX(10/C32, 8)</f>
        <v>8</v>
      </c>
      <c r="D355" s="164">
        <f>ROUNDUP((C352+D48+ C355  + 1)/2, 0)</f>
        <v>12</v>
      </c>
      <c r="E355" s="413" t="str">
        <f>DEC2HEX(((D355)*2^0),8)</f>
        <v>0000000C</v>
      </c>
      <c r="F355" s="138" t="s">
        <v>800</v>
      </c>
      <c r="G355" s="460"/>
      <c r="H355" s="460"/>
      <c r="I355" s="495"/>
      <c r="J355" s="224"/>
      <c r="K355" s="25"/>
    </row>
    <row r="356" spans="1:11" ht="13.8" thickBot="1">
      <c r="A356" s="372"/>
      <c r="B356" s="77"/>
      <c r="C356" s="103"/>
      <c r="D356" s="78"/>
      <c r="E356" s="113"/>
      <c r="F356" s="225"/>
      <c r="G356" s="325"/>
      <c r="H356" s="226"/>
      <c r="I356" s="226"/>
      <c r="J356" s="18"/>
    </row>
    <row r="357" spans="1:11" ht="14.4">
      <c r="A357" s="372"/>
      <c r="B357" s="58" t="s">
        <v>110</v>
      </c>
      <c r="C357" s="92">
        <f>MAX(14/C32, 10)</f>
        <v>10</v>
      </c>
      <c r="D357" s="92">
        <f>ROUNDUP((C357)/2, 0)</f>
        <v>5</v>
      </c>
      <c r="E357" s="348" t="str">
        <f>DEC2HEX(((D357)*2^20),8)</f>
        <v>00500000</v>
      </c>
      <c r="F357" s="137" t="s">
        <v>800</v>
      </c>
      <c r="G357" s="458" t="s">
        <v>798</v>
      </c>
      <c r="H357" s="458" t="str">
        <f>"0x"&amp;DEC2HEX((HEX2DEC(C36)+268), 8)</f>
        <v>0x3D40210C</v>
      </c>
      <c r="I357" s="461" t="str">
        <f>"0x"&amp;DEC2HEX((HEX2DEC(E357)+HEX2DEC(E358)+HEX2DEC(E359)), 8)</f>
        <v>0x00505000</v>
      </c>
      <c r="J357" s="18"/>
    </row>
    <row r="358" spans="1:11" ht="14.4">
      <c r="A358" s="372"/>
      <c r="B358" s="128" t="s">
        <v>111</v>
      </c>
      <c r="C358" s="232">
        <f>MAX(14/C32, 10)</f>
        <v>10</v>
      </c>
      <c r="D358" s="118">
        <f>ROUNDUP((C358)/2, 0)</f>
        <v>5</v>
      </c>
      <c r="E358" s="349" t="str">
        <f>DEC2HEX(((D358)*2^12),8)</f>
        <v>00005000</v>
      </c>
      <c r="F358" s="350" t="s">
        <v>800</v>
      </c>
      <c r="G358" s="459"/>
      <c r="H358" s="459"/>
      <c r="I358" s="462"/>
      <c r="J358" s="18"/>
    </row>
    <row r="359" spans="1:11" ht="15" thickBot="1">
      <c r="A359" s="372"/>
      <c r="B359" s="148" t="s">
        <v>112</v>
      </c>
      <c r="C359" s="63">
        <v>0</v>
      </c>
      <c r="D359" s="115">
        <f>(C359/2)</f>
        <v>0</v>
      </c>
      <c r="E359" s="351" t="str">
        <f>DEC2HEX(((D359)*2^0),8)</f>
        <v>00000000</v>
      </c>
      <c r="F359" s="368" t="s">
        <v>800</v>
      </c>
      <c r="G359" s="460"/>
      <c r="H359" s="460"/>
      <c r="I359" s="463"/>
      <c r="J359" s="217"/>
    </row>
    <row r="360" spans="1:11" ht="13.8" thickBot="1">
      <c r="A360" s="372"/>
      <c r="B360" s="77"/>
      <c r="C360" s="103"/>
      <c r="D360" s="78"/>
      <c r="E360" s="113"/>
      <c r="F360" s="225"/>
      <c r="G360" s="325"/>
      <c r="H360" s="226"/>
      <c r="I360" s="226"/>
      <c r="J360" s="18"/>
    </row>
    <row r="361" spans="1:11" ht="14.4">
      <c r="A361" s="372"/>
      <c r="B361" s="58" t="s">
        <v>123</v>
      </c>
      <c r="C361" s="92">
        <f>IF((G40 = "Option 2"), MAX((18+1.875)/C32, 4), MAX(18/C32, 4))</f>
        <v>6.0119999999999996</v>
      </c>
      <c r="D361" s="117">
        <f>ROUNDUP(((C361)/2),0)</f>
        <v>4</v>
      </c>
      <c r="E361" s="348" t="str">
        <f>DEC2HEX(((D361)*2^24),8)</f>
        <v>04000000</v>
      </c>
      <c r="F361" s="137" t="s">
        <v>800</v>
      </c>
      <c r="G361" s="458" t="s">
        <v>797</v>
      </c>
      <c r="H361" s="458" t="str">
        <f>"0x"&amp;DEC2HEX((HEX2DEC(C36)+272), 8)</f>
        <v>0x3D402110</v>
      </c>
      <c r="I361" s="493" t="str">
        <f>"0x"&amp;DEC2HEX((HEX2DEC(E361)+HEX2DEC(E362)+HEX2DEC(E363)+HEX2DEC(E364)), 8)</f>
        <v>0x04040204</v>
      </c>
      <c r="J361" s="18"/>
    </row>
    <row r="362" spans="1:11" ht="14.4">
      <c r="A362" s="372"/>
      <c r="B362" s="59" t="s">
        <v>124</v>
      </c>
      <c r="C362" s="61">
        <v>8</v>
      </c>
      <c r="D362" s="159">
        <f>ROUNDUP(C362/2, 0)</f>
        <v>4</v>
      </c>
      <c r="E362" s="349" t="str">
        <f>DEC2HEX(((D362)*2^16),8)</f>
        <v>00040000</v>
      </c>
      <c r="F362" s="350" t="s">
        <v>800</v>
      </c>
      <c r="G362" s="459"/>
      <c r="H362" s="459"/>
      <c r="I362" s="494"/>
      <c r="J362" s="18"/>
    </row>
    <row r="363" spans="1:11" ht="14.4">
      <c r="A363" s="372"/>
      <c r="B363" s="75" t="s">
        <v>125</v>
      </c>
      <c r="C363" s="232">
        <f>IF(G40 = "Option 2", MAX((10+1.875)/C32, 4), MAX(10/C32, 4))</f>
        <v>4</v>
      </c>
      <c r="D363" s="249">
        <f>ROUNDUP(((C363)/2),0)</f>
        <v>2</v>
      </c>
      <c r="E363" s="349" t="str">
        <f>DEC2HEX(((D363)*2^8),8)</f>
        <v>00000200</v>
      </c>
      <c r="F363" s="350" t="s">
        <v>800</v>
      </c>
      <c r="G363" s="459"/>
      <c r="H363" s="459"/>
      <c r="I363" s="494"/>
      <c r="J363" s="18"/>
    </row>
    <row r="364" spans="1:11" ht="15" thickBot="1">
      <c r="A364" s="372"/>
      <c r="B364" s="60" t="s">
        <v>126</v>
      </c>
      <c r="C364" s="164">
        <f>IF((G40 = "Option 2"), MAX((18+1.875)/C32, 4), MAX(18/C32, 4))</f>
        <v>6.0119999999999996</v>
      </c>
      <c r="D364" s="115">
        <f>ROUNDUP((C364)/2, 0)</f>
        <v>4</v>
      </c>
      <c r="E364" s="154" t="str">
        <f>DEC2HEX(((D364)*2^0),8)</f>
        <v>00000004</v>
      </c>
      <c r="F364" s="138" t="s">
        <v>800</v>
      </c>
      <c r="G364" s="460"/>
      <c r="H364" s="460"/>
      <c r="I364" s="495"/>
      <c r="J364" s="224"/>
    </row>
    <row r="365" spans="1:11" ht="13.5" customHeight="1" thickBot="1">
      <c r="A365" s="372"/>
      <c r="B365" s="69"/>
      <c r="C365" s="70"/>
      <c r="D365" s="71"/>
      <c r="E365" s="72"/>
      <c r="F365" s="73"/>
      <c r="G365" s="36"/>
      <c r="H365" s="36"/>
      <c r="I365" s="55"/>
      <c r="J365" s="18"/>
    </row>
    <row r="366" spans="1:11" ht="14.4">
      <c r="A366" s="372"/>
      <c r="B366" s="58" t="s">
        <v>127</v>
      </c>
      <c r="C366" s="92">
        <f>MAX(1.75/C32, 3)</f>
        <v>3</v>
      </c>
      <c r="D366" s="117">
        <f>ROUNDUP(((C366/2)),0)</f>
        <v>2</v>
      </c>
      <c r="E366" s="151" t="str">
        <f>DEC2HEX(((D366)*2^24),8)</f>
        <v>02000000</v>
      </c>
      <c r="F366" s="137" t="s">
        <v>800</v>
      </c>
      <c r="G366" s="458" t="s">
        <v>796</v>
      </c>
      <c r="H366" s="458" t="str">
        <f>"0x"&amp;DEC2HEX((HEX2DEC(C36)+276), 8)</f>
        <v>0x3D402114</v>
      </c>
      <c r="I366" s="461" t="str">
        <f>"0x"&amp;DEC2HEX((HEX2DEC(E366)+HEX2DEC(E367)+HEX2DEC(E368)+HEX2DEC(E369)), 8)</f>
        <v>0x02030303</v>
      </c>
      <c r="J366" s="222"/>
    </row>
    <row r="367" spans="1:11" ht="14.4">
      <c r="A367" s="372"/>
      <c r="B367" s="59" t="s">
        <v>128</v>
      </c>
      <c r="C367" s="232">
        <f>MAX(5/C32, 5)</f>
        <v>5</v>
      </c>
      <c r="D367" s="159">
        <f>ROUNDUP(((C367)/2),0)</f>
        <v>3</v>
      </c>
      <c r="E367" s="153" t="str">
        <f>DEC2HEX(((D367)*2^16),8)</f>
        <v>00030000</v>
      </c>
      <c r="F367" s="350" t="s">
        <v>800</v>
      </c>
      <c r="G367" s="459"/>
      <c r="H367" s="459"/>
      <c r="I367" s="462"/>
      <c r="J367" s="222"/>
    </row>
    <row r="368" spans="1:11" ht="14.4">
      <c r="A368" s="372"/>
      <c r="B368" s="75" t="s">
        <v>320</v>
      </c>
      <c r="C368" s="232">
        <f>MAX(15/C32, 4)</f>
        <v>5.01</v>
      </c>
      <c r="D368" s="248">
        <f>ROUNDUP(((C368)/2),0)</f>
        <v>3</v>
      </c>
      <c r="E368" s="246" t="str">
        <f>DEC2HEX(((D368)*2^8),8)</f>
        <v>00000300</v>
      </c>
      <c r="F368" s="350" t="s">
        <v>800</v>
      </c>
      <c r="G368" s="459"/>
      <c r="H368" s="459"/>
      <c r="I368" s="462"/>
      <c r="J368" s="18"/>
    </row>
    <row r="369" spans="1:10" ht="15" thickBot="1">
      <c r="A369" s="372"/>
      <c r="B369" s="60" t="s">
        <v>321</v>
      </c>
      <c r="C369" s="164">
        <f>MAX(15/C32, 4)</f>
        <v>5.01</v>
      </c>
      <c r="D369" s="120">
        <f>ROUNDUP(((C369)/2),0)</f>
        <v>3</v>
      </c>
      <c r="E369" s="351" t="str">
        <f>DEC2HEX(((D369)*2^0),8)</f>
        <v>00000003</v>
      </c>
      <c r="F369" s="138" t="s">
        <v>800</v>
      </c>
      <c r="G369" s="460"/>
      <c r="H369" s="460"/>
      <c r="I369" s="463"/>
      <c r="J369" s="18"/>
    </row>
    <row r="370" spans="1:10" ht="13.8" thickBot="1">
      <c r="A370" s="372"/>
      <c r="B370" s="77"/>
      <c r="C370" s="103"/>
      <c r="D370" s="78"/>
      <c r="E370" s="113"/>
      <c r="F370" s="225"/>
      <c r="G370" s="325"/>
      <c r="H370" s="226"/>
      <c r="I370" s="226"/>
      <c r="J370" s="18"/>
    </row>
    <row r="371" spans="1:10">
      <c r="A371" s="372"/>
      <c r="B371" s="58" t="s">
        <v>131</v>
      </c>
      <c r="C371" s="101">
        <v>2</v>
      </c>
      <c r="D371" s="57">
        <f>(C371/2)</f>
        <v>1</v>
      </c>
      <c r="E371" s="348" t="str">
        <f>DEC2HEX(((D371)*2^24),8)</f>
        <v>01000000</v>
      </c>
      <c r="F371" s="137" t="s">
        <v>800</v>
      </c>
      <c r="G371" s="464" t="s">
        <v>795</v>
      </c>
      <c r="H371" s="465" t="str">
        <f>"0x"&amp;DEC2HEX((HEX2DEC(C36)+280), 8)</f>
        <v>0x3D402118</v>
      </c>
      <c r="I371" s="466" t="str">
        <f>"0x"&amp;DEC2HEX((HEX2DEC(E371)+HEX2DEC(E372)+HEX2DEC(E373)), 8)</f>
        <v>0x01010004</v>
      </c>
      <c r="J371" s="18"/>
    </row>
    <row r="372" spans="1:10">
      <c r="A372" s="372"/>
      <c r="B372" s="84" t="s">
        <v>130</v>
      </c>
      <c r="C372" s="100">
        <v>2</v>
      </c>
      <c r="D372" s="126">
        <f>(C372/2)</f>
        <v>1</v>
      </c>
      <c r="E372" s="347" t="str">
        <f>DEC2HEX(((D372)*2^16),8)</f>
        <v>00010000</v>
      </c>
      <c r="F372" s="350" t="s">
        <v>800</v>
      </c>
      <c r="G372" s="483"/>
      <c r="H372" s="459"/>
      <c r="I372" s="462"/>
      <c r="J372" s="18"/>
    </row>
    <row r="373" spans="1:10" ht="15" thickBot="1">
      <c r="A373" s="372"/>
      <c r="B373" s="60" t="s">
        <v>129</v>
      </c>
      <c r="C373" s="102" t="s">
        <v>0</v>
      </c>
      <c r="D373" s="115">
        <f>ROUNDUP(((C348)+2)/2,0)</f>
        <v>4</v>
      </c>
      <c r="E373" s="351" t="str">
        <f>DEC2HEX(((D373)*2^0),8)</f>
        <v>00000004</v>
      </c>
      <c r="F373" s="368" t="s">
        <v>800</v>
      </c>
      <c r="G373" s="460"/>
      <c r="H373" s="460"/>
      <c r="I373" s="463"/>
      <c r="J373" s="18"/>
    </row>
    <row r="374" spans="1:10" ht="13.8" thickBot="1">
      <c r="A374" s="372"/>
      <c r="B374" s="77"/>
      <c r="C374" s="103"/>
      <c r="D374" s="78"/>
      <c r="E374" s="113"/>
      <c r="F374" s="225"/>
      <c r="G374" s="325"/>
      <c r="H374" s="226"/>
      <c r="I374" s="226"/>
      <c r="J374" s="18"/>
    </row>
    <row r="375" spans="1:10" ht="14.4">
      <c r="A375" s="372"/>
      <c r="B375" s="58" t="s">
        <v>132</v>
      </c>
      <c r="C375" s="369">
        <f>MAX(5/C32, 5)</f>
        <v>5</v>
      </c>
      <c r="D375" s="92">
        <f>ROUNDUP((C375)/2,0)</f>
        <v>3</v>
      </c>
      <c r="E375" s="348" t="str">
        <f>DEC2HEX(((D375)*2^8),8)</f>
        <v>00000300</v>
      </c>
      <c r="F375" s="370" t="s">
        <v>800</v>
      </c>
      <c r="G375" s="464" t="s">
        <v>794</v>
      </c>
      <c r="H375" s="465" t="str">
        <f>"0x"&amp;DEC2HEX((HEX2DEC(C36)+284), 8)</f>
        <v>0x3D40211C</v>
      </c>
      <c r="I375" s="466" t="str">
        <f>"0x"&amp;DEC2HEX((HEX2DEC(E375)+HEX2DEC(E376)), 8)</f>
        <v>0x00000301</v>
      </c>
      <c r="J375" s="222"/>
    </row>
    <row r="376" spans="1:10" ht="15" thickBot="1">
      <c r="A376" s="372"/>
      <c r="B376" s="60" t="s">
        <v>133</v>
      </c>
      <c r="C376" s="364">
        <v>2</v>
      </c>
      <c r="D376" s="164">
        <f>ROUNDUP(C376/2, 0)</f>
        <v>1</v>
      </c>
      <c r="E376" s="351" t="str">
        <f>DEC2HEX(((D376)*2^0),8)</f>
        <v>00000001</v>
      </c>
      <c r="F376" s="368" t="s">
        <v>800</v>
      </c>
      <c r="G376" s="460"/>
      <c r="H376" s="460"/>
      <c r="I376" s="463"/>
      <c r="J376" s="18"/>
    </row>
    <row r="377" spans="1:10" ht="15" thickBot="1">
      <c r="A377" s="372"/>
      <c r="B377" s="76"/>
      <c r="C377" s="410"/>
      <c r="D377" s="119"/>
      <c r="E377" s="36"/>
      <c r="F377" s="409"/>
      <c r="G377" s="81"/>
      <c r="H377" s="81"/>
      <c r="I377" s="81"/>
      <c r="J377" s="18"/>
    </row>
    <row r="378" spans="1:10" ht="14.4">
      <c r="A378" s="372"/>
      <c r="B378" s="58" t="s">
        <v>237</v>
      </c>
      <c r="C378" s="92">
        <f>MAX(1.75/C32, 3)</f>
        <v>3</v>
      </c>
      <c r="D378" s="92">
        <f>ROUNDUP( (C378/2), 0)</f>
        <v>2</v>
      </c>
      <c r="E378" s="403" t="str">
        <f>DEC2HEX(((D378)*2^16),8)</f>
        <v>00020000</v>
      </c>
      <c r="F378" s="137" t="s">
        <v>800</v>
      </c>
      <c r="G378" s="467" t="s">
        <v>966</v>
      </c>
      <c r="H378" s="467" t="str">
        <f>"0x"&amp;DEC2HEX((HEX2DEC(C36)+304), 8)</f>
        <v>0x3D402130</v>
      </c>
      <c r="I378" s="470" t="str">
        <f>"0x"&amp;DEC2HEX((HEX2DEC(E378)+HEX2DEC(E379)+HEX2DEC(E380)), 8)</f>
        <v>0x00020300</v>
      </c>
      <c r="J378" s="220"/>
    </row>
    <row r="379" spans="1:10" ht="14.4">
      <c r="A379" s="372"/>
      <c r="B379" s="59" t="s">
        <v>352</v>
      </c>
      <c r="C379" s="232">
        <f>MAX(7.5/C32,5)</f>
        <v>5</v>
      </c>
      <c r="D379" s="232">
        <f>ROUNDUP( (C379/2), 0)</f>
        <v>3</v>
      </c>
      <c r="E379" s="404" t="str">
        <f>DEC2HEX(((D379)*2^8),8)</f>
        <v>00000300</v>
      </c>
      <c r="F379" s="406" t="s">
        <v>800</v>
      </c>
      <c r="G379" s="468"/>
      <c r="H379" s="468"/>
      <c r="I379" s="471"/>
      <c r="J379" s="18"/>
    </row>
    <row r="380" spans="1:10" ht="15" thickBot="1">
      <c r="A380" s="372"/>
      <c r="B380" s="60" t="s">
        <v>238</v>
      </c>
      <c r="C380" s="203" t="s">
        <v>0</v>
      </c>
      <c r="D380" s="204">
        <v>0</v>
      </c>
      <c r="E380" s="405" t="str">
        <f>DEC2HEX(((D380)*2^0),8)</f>
        <v>00000000</v>
      </c>
      <c r="F380" s="368" t="s">
        <v>800</v>
      </c>
      <c r="G380" s="469"/>
      <c r="H380" s="469"/>
      <c r="I380" s="472"/>
      <c r="J380" s="18"/>
    </row>
    <row r="381" spans="1:10" ht="15" thickBot="1">
      <c r="A381" s="372"/>
      <c r="B381" s="76"/>
      <c r="C381" s="205"/>
      <c r="D381" s="171"/>
      <c r="E381" s="36"/>
      <c r="F381" s="139"/>
      <c r="G381" s="36"/>
      <c r="H381" s="36"/>
      <c r="I381" s="55"/>
      <c r="J381" s="18"/>
    </row>
    <row r="382" spans="1:10" ht="14.4">
      <c r="A382" s="372"/>
      <c r="B382" s="58" t="s">
        <v>240</v>
      </c>
      <c r="C382" s="299">
        <f>IF(C31&lt;1066,20,IF(C31&lt;1333,22,24))</f>
        <v>20</v>
      </c>
      <c r="D382" s="92">
        <f>ROUNDUP( (C382/2), 0)</f>
        <v>10</v>
      </c>
      <c r="E382" s="403" t="str">
        <f>DEC2HEX(((D382)*2^24),8)</f>
        <v>0A000000</v>
      </c>
      <c r="F382" s="137" t="s">
        <v>800</v>
      </c>
      <c r="G382" s="467" t="s">
        <v>967</v>
      </c>
      <c r="H382" s="467" t="str">
        <f>"0x"&amp;DEC2HEX((HEX2DEC(C36)+308), 8)</f>
        <v>0x3D402134</v>
      </c>
      <c r="I382" s="470" t="str">
        <f>"0x"&amp;DEC2HEX((HEX2DEC(E382)+HEX2DEC(E383)+HEX2DEC(E384)), 8)</f>
        <v>0x0A100002</v>
      </c>
      <c r="J382" s="18"/>
    </row>
    <row r="383" spans="1:10" ht="14.4">
      <c r="A383" s="372"/>
      <c r="B383" s="59" t="s">
        <v>241</v>
      </c>
      <c r="C383" s="365">
        <v>32</v>
      </c>
      <c r="D383" s="232">
        <f>ROUNDUP( (C383/2), 0)</f>
        <v>16</v>
      </c>
      <c r="E383" s="404" t="str">
        <f>DEC2HEX(((D383)*2^16),8)</f>
        <v>00100000</v>
      </c>
      <c r="F383" s="406" t="s">
        <v>800</v>
      </c>
      <c r="G383" s="468"/>
      <c r="H383" s="468"/>
      <c r="I383" s="471"/>
      <c r="J383" s="18"/>
    </row>
    <row r="384" spans="1:10" ht="15" thickBot="1">
      <c r="A384" s="372"/>
      <c r="B384" s="60" t="s">
        <v>242</v>
      </c>
      <c r="C384" s="366">
        <v>4</v>
      </c>
      <c r="D384" s="164">
        <f>ROUNDUP( (C384/2), 0)</f>
        <v>2</v>
      </c>
      <c r="E384" s="405" t="str">
        <f>DEC2HEX(((D384)*2^0),8)</f>
        <v>00000002</v>
      </c>
      <c r="F384" s="368" t="s">
        <v>800</v>
      </c>
      <c r="G384" s="469"/>
      <c r="H384" s="469"/>
      <c r="I384" s="472"/>
      <c r="J384" s="18"/>
    </row>
    <row r="385" spans="1:22" ht="13.8" thickBot="1">
      <c r="A385" s="372"/>
      <c r="B385" s="77"/>
      <c r="C385" s="103"/>
      <c r="D385" s="78"/>
      <c r="E385" s="113"/>
      <c r="F385" s="225"/>
      <c r="G385" s="325"/>
      <c r="H385" s="226"/>
      <c r="I385" s="226"/>
      <c r="J385" s="18"/>
    </row>
    <row r="386" spans="1:22" ht="15" thickBot="1">
      <c r="A386" s="372"/>
      <c r="B386" s="250" t="s">
        <v>205</v>
      </c>
      <c r="C386" s="251">
        <f>MAX((C97+7.5)/C32, 2)</f>
        <v>96.024999999999991</v>
      </c>
      <c r="D386" s="252">
        <f>ROUNDUP((C386)/2,0)</f>
        <v>49</v>
      </c>
      <c r="E386" s="253" t="str">
        <f>DEC2HEX(((D386)*2^0),8)</f>
        <v>00000031</v>
      </c>
      <c r="F386" s="371" t="s">
        <v>800</v>
      </c>
      <c r="G386" s="90" t="s">
        <v>793</v>
      </c>
      <c r="H386" s="79" t="str">
        <f>"0x"&amp;DEC2HEX((HEX2DEC(C36)+312), 8)</f>
        <v>0x3D402138</v>
      </c>
      <c r="I386" s="80" t="str">
        <f>"0x"&amp;DEC2HEX((HEX2DEC(E386)), 8)</f>
        <v>0x00000031</v>
      </c>
      <c r="J386" s="222"/>
    </row>
    <row r="387" spans="1:22" ht="15" thickBot="1">
      <c r="A387" s="372"/>
      <c r="B387" s="77"/>
      <c r="C387" s="323"/>
      <c r="D387" s="119"/>
      <c r="E387" s="113"/>
      <c r="F387" s="324"/>
      <c r="G387" s="325"/>
      <c r="H387" s="226"/>
      <c r="I387" s="226"/>
      <c r="J387" s="326"/>
    </row>
    <row r="388" spans="1:22" ht="14.4">
      <c r="A388" s="372"/>
      <c r="B388" s="127" t="s">
        <v>398</v>
      </c>
      <c r="C388" s="236">
        <v>200</v>
      </c>
      <c r="D388" s="117">
        <f>ROUNDUP(((C388/C32)/2),0)</f>
        <v>34</v>
      </c>
      <c r="E388" s="348" t="str">
        <f>DEC2HEX(((D388)*2^16),8)</f>
        <v>00220000</v>
      </c>
      <c r="F388" s="370" t="s">
        <v>800</v>
      </c>
      <c r="G388" s="473" t="s">
        <v>792</v>
      </c>
      <c r="H388" s="475" t="str">
        <f>"0x"&amp;DEC2HEX((HEX2DEC(C36)+324), 8)</f>
        <v>0x3D402144</v>
      </c>
      <c r="I388" s="477" t="str">
        <f>"0x"&amp;DEC2HEX((HEX2DEC(E388)+HEX2DEC(E389)), 8)</f>
        <v>0x00220011</v>
      </c>
      <c r="J388" s="326"/>
    </row>
    <row r="389" spans="1:22" ht="15" thickBot="1">
      <c r="A389" s="372"/>
      <c r="B389" s="60" t="s">
        <v>399</v>
      </c>
      <c r="C389" s="328">
        <v>100</v>
      </c>
      <c r="D389" s="120">
        <f>ROUNDUP(((C389/C32)/2),0)</f>
        <v>17</v>
      </c>
      <c r="E389" s="351" t="str">
        <f>DEC2HEX(((D389)*2^0),8)</f>
        <v>00000011</v>
      </c>
      <c r="F389" s="368" t="s">
        <v>800</v>
      </c>
      <c r="G389" s="474"/>
      <c r="H389" s="476"/>
      <c r="I389" s="478"/>
      <c r="J389" s="222"/>
    </row>
    <row r="390" spans="1:22" ht="15" thickBot="1">
      <c r="A390" s="372"/>
      <c r="B390" s="76"/>
      <c r="C390" s="407"/>
      <c r="D390" s="119"/>
      <c r="E390" s="36"/>
      <c r="F390" s="409"/>
      <c r="G390" s="325"/>
      <c r="H390" s="226"/>
      <c r="I390" s="226"/>
      <c r="J390" s="222"/>
    </row>
    <row r="391" spans="1:22" ht="14.4">
      <c r="A391" s="372"/>
      <c r="B391" s="58" t="s">
        <v>772</v>
      </c>
      <c r="C391" s="65">
        <v>3.75</v>
      </c>
      <c r="D391" s="92">
        <f>ROUNDUP(C391/C32/2, 0) - 1</f>
        <v>0</v>
      </c>
      <c r="E391" s="355" t="str">
        <f>DEC2HEX(((D391)*2^8),8)</f>
        <v>00000000</v>
      </c>
      <c r="F391" s="137" t="s">
        <v>800</v>
      </c>
      <c r="G391" s="464" t="s">
        <v>964</v>
      </c>
      <c r="H391" s="465" t="str">
        <f>"0x"&amp;DEC2HEX((HEX2DEC(C36)+32), 8)</f>
        <v>0x3D402020</v>
      </c>
      <c r="I391" s="466" t="str">
        <f>"0x"&amp;DEC2HEX((HEX2DEC(E391)+HEX2DEC(E392)+HEX2DEC(E393)+HEX2DEC(E394)), 8)</f>
        <v>0x00000001</v>
      </c>
      <c r="J391" s="82"/>
    </row>
    <row r="392" spans="1:22" ht="14.4">
      <c r="A392" s="372"/>
      <c r="B392" s="59" t="s">
        <v>775</v>
      </c>
      <c r="C392" s="94" t="s">
        <v>0</v>
      </c>
      <c r="D392" s="232">
        <f>D177</f>
        <v>0</v>
      </c>
      <c r="E392" s="356" t="str">
        <f>DEC2HEX(((D392)*2^4),8)</f>
        <v>00000000</v>
      </c>
      <c r="F392" s="451" t="s">
        <v>800</v>
      </c>
      <c r="G392" s="459"/>
      <c r="H392" s="459"/>
      <c r="I392" s="462"/>
      <c r="J392" s="82"/>
    </row>
    <row r="393" spans="1:22" ht="14.4">
      <c r="A393" s="372"/>
      <c r="B393" s="59" t="s">
        <v>777</v>
      </c>
      <c r="C393" s="61">
        <v>1.875</v>
      </c>
      <c r="D393" s="232">
        <f>ROUNDUP(C393/C32/2, 0) - 1</f>
        <v>0</v>
      </c>
      <c r="E393" s="356" t="str">
        <f>DEC2HEX(((D393)*2^1),8)</f>
        <v>00000000</v>
      </c>
      <c r="F393" s="451" t="s">
        <v>800</v>
      </c>
      <c r="G393" s="459"/>
      <c r="H393" s="459"/>
      <c r="I393" s="462"/>
      <c r="J393" s="82"/>
    </row>
    <row r="394" spans="1:22" ht="15" thickBot="1">
      <c r="A394" s="372"/>
      <c r="B394" s="60" t="s">
        <v>779</v>
      </c>
      <c r="C394" s="97" t="s">
        <v>0</v>
      </c>
      <c r="D394" s="164">
        <f>D179</f>
        <v>1</v>
      </c>
      <c r="E394" s="357" t="str">
        <f>DEC2HEX(((D394)*2^0),8)</f>
        <v>00000001</v>
      </c>
      <c r="F394" s="138" t="s">
        <v>800</v>
      </c>
      <c r="G394" s="460"/>
      <c r="H394" s="460"/>
      <c r="I394" s="463"/>
      <c r="J394" s="82"/>
    </row>
    <row r="395" spans="1:22" ht="13.8" thickBot="1">
      <c r="A395" s="372"/>
      <c r="B395" s="77"/>
      <c r="C395" s="103"/>
      <c r="D395" s="78"/>
      <c r="E395" s="113"/>
      <c r="F395" s="225"/>
      <c r="G395" s="325"/>
      <c r="H395" s="226"/>
      <c r="I395" s="226"/>
      <c r="J395" s="18"/>
    </row>
    <row r="396" spans="1:22" ht="15" thickBot="1">
      <c r="A396" s="372"/>
      <c r="B396" s="250" t="s">
        <v>781</v>
      </c>
      <c r="C396" s="259">
        <v>32</v>
      </c>
      <c r="D396" s="422">
        <f>ROUNDUP(C396*1000000/C32/2/100, 0 )</f>
        <v>53440</v>
      </c>
      <c r="E396" s="358" t="str">
        <f>DEC2HEX(((D396)*2^0),8)</f>
        <v>0000D0C0</v>
      </c>
      <c r="F396" s="371" t="s">
        <v>800</v>
      </c>
      <c r="G396" s="90" t="s">
        <v>783</v>
      </c>
      <c r="H396" s="79" t="str">
        <f>"0x"&amp;DEC2HEX((HEX2DEC(C36)+36), 8)</f>
        <v>0x3D402024</v>
      </c>
      <c r="I396" s="80" t="str">
        <f>"0x"&amp;DEC2HEX(HEX2DEC(E396), 8)</f>
        <v>0x0000D0C0</v>
      </c>
      <c r="J396" s="82"/>
    </row>
    <row r="397" spans="1:22" ht="13.8" thickBot="1">
      <c r="A397" s="372"/>
      <c r="B397" s="77"/>
      <c r="C397" s="103"/>
      <c r="D397" s="78"/>
      <c r="E397" s="113"/>
      <c r="F397" s="225"/>
      <c r="G397" s="325"/>
      <c r="H397" s="226"/>
      <c r="I397" s="226"/>
      <c r="J397" s="18"/>
    </row>
    <row r="398" spans="1:22" ht="12.75" customHeight="1">
      <c r="A398" s="372"/>
      <c r="B398" s="58" t="s">
        <v>290</v>
      </c>
      <c r="C398" s="93" t="s">
        <v>0</v>
      </c>
      <c r="D398" s="57">
        <v>2</v>
      </c>
      <c r="E398" s="348" t="str">
        <f>DEC2HEX(((D398)*2^20),8)</f>
        <v>00200000</v>
      </c>
      <c r="F398" s="137" t="s">
        <v>800</v>
      </c>
      <c r="G398" s="458" t="s">
        <v>791</v>
      </c>
      <c r="H398" s="458" t="str">
        <f>"0x"&amp;DEC2HEX((HEX2DEC(C36)+HEX2DEC(50)), 8)</f>
        <v>0x3D402050</v>
      </c>
      <c r="I398" s="461" t="str">
        <f>"0x"&amp;DEC2HEX((HEX2DEC(E398)+HEX2DEC(E399)+HEX2DEC(E400)+HEX2DEC(E401)), 8)</f>
        <v>0x0020D040</v>
      </c>
      <c r="J398" s="66"/>
      <c r="V398"/>
    </row>
    <row r="399" spans="1:22">
      <c r="A399" s="372"/>
      <c r="B399" s="59" t="s">
        <v>292</v>
      </c>
      <c r="C399" s="94" t="s">
        <v>0</v>
      </c>
      <c r="D399" s="126">
        <v>13</v>
      </c>
      <c r="E399" s="349" t="str">
        <f>DEC2HEX(((D399)*2^12),8)</f>
        <v>0000D000</v>
      </c>
      <c r="F399" s="350" t="s">
        <v>800</v>
      </c>
      <c r="G399" s="479"/>
      <c r="H399" s="479"/>
      <c r="I399" s="481"/>
      <c r="J399" s="66"/>
      <c r="V399"/>
    </row>
    <row r="400" spans="1:22">
      <c r="A400" s="372"/>
      <c r="B400" s="59" t="s">
        <v>294</v>
      </c>
      <c r="C400" s="94" t="s">
        <v>0</v>
      </c>
      <c r="D400" s="126">
        <v>4</v>
      </c>
      <c r="E400" s="349" t="str">
        <f>DEC2HEX(((D400)*2^4),8)</f>
        <v>00000040</v>
      </c>
      <c r="F400" s="350" t="s">
        <v>800</v>
      </c>
      <c r="G400" s="479"/>
      <c r="H400" s="479"/>
      <c r="I400" s="481"/>
      <c r="J400" s="66"/>
      <c r="V400"/>
    </row>
    <row r="401" spans="1:22" ht="13.8" thickBot="1">
      <c r="A401" s="372"/>
      <c r="B401" s="60" t="s">
        <v>296</v>
      </c>
      <c r="C401" s="97" t="s">
        <v>0</v>
      </c>
      <c r="D401" s="64">
        <v>0</v>
      </c>
      <c r="E401" s="351" t="str">
        <f>DEC2HEX(((D401)*2^2),8)</f>
        <v>00000000</v>
      </c>
      <c r="F401" s="138" t="s">
        <v>800</v>
      </c>
      <c r="G401" s="480"/>
      <c r="H401" s="480"/>
      <c r="I401" s="482"/>
      <c r="J401" s="66"/>
      <c r="V401"/>
    </row>
    <row r="402" spans="1:22" ht="13.8" thickBot="1">
      <c r="A402" s="372"/>
      <c r="B402" s="76"/>
      <c r="C402" s="103"/>
      <c r="D402" s="78"/>
      <c r="E402" s="36"/>
      <c r="F402" s="411"/>
      <c r="G402" s="36"/>
      <c r="H402" s="36"/>
      <c r="I402" s="55"/>
      <c r="J402" s="66"/>
      <c r="V402"/>
    </row>
    <row r="403" spans="1:22" ht="14.4">
      <c r="A403" s="372"/>
      <c r="B403" s="58" t="s">
        <v>138</v>
      </c>
      <c r="C403" s="65" t="s">
        <v>0</v>
      </c>
      <c r="D403" s="92">
        <f>D165</f>
        <v>1</v>
      </c>
      <c r="E403" s="423" t="str">
        <f>DEC2HEX(((D403)*2^31),8)</f>
        <v>80000000</v>
      </c>
      <c r="F403" s="370" t="s">
        <v>800</v>
      </c>
      <c r="G403" s="458" t="s">
        <v>971</v>
      </c>
      <c r="H403" s="458" t="str">
        <f>"0x"&amp;DEC2HEX((HEX2DEC(C36)+384), 8)</f>
        <v>0x3D402180</v>
      </c>
      <c r="I403" s="461" t="str">
        <f>"0x"&amp;DEC2HEX((HEX2DEC(E403)+HEX2DEC(E404)+HEX2DEC(E405)+HEX2DEC(E407)+HEX2DEC(E408)), 8)</f>
        <v>0xC0A70006</v>
      </c>
      <c r="J403" s="18"/>
    </row>
    <row r="404" spans="1:22" ht="14.4">
      <c r="A404" s="372"/>
      <c r="B404" s="59" t="s">
        <v>139</v>
      </c>
      <c r="C404" s="61" t="s">
        <v>0</v>
      </c>
      <c r="D404" s="232">
        <f>D166</f>
        <v>1</v>
      </c>
      <c r="E404" s="424" t="str">
        <f>DEC2HEX(((D404)*2^30),8)</f>
        <v>40000000</v>
      </c>
      <c r="F404" s="426" t="s">
        <v>800</v>
      </c>
      <c r="G404" s="479"/>
      <c r="H404" s="479"/>
      <c r="I404" s="481"/>
      <c r="J404" s="18"/>
    </row>
    <row r="405" spans="1:22" ht="14.4">
      <c r="A405" s="372"/>
      <c r="B405" s="59" t="s">
        <v>140</v>
      </c>
      <c r="C405" s="61" t="s">
        <v>0</v>
      </c>
      <c r="D405" s="232">
        <f>D167</f>
        <v>0</v>
      </c>
      <c r="E405" s="424" t="str">
        <f>DEC2HEX(((D405)*2^29),8)</f>
        <v>00000000</v>
      </c>
      <c r="F405" s="426" t="s">
        <v>800</v>
      </c>
      <c r="G405" s="479"/>
      <c r="H405" s="479"/>
      <c r="I405" s="481"/>
      <c r="J405" s="18"/>
    </row>
    <row r="406" spans="1:22" ht="14.4">
      <c r="A406" s="372"/>
      <c r="B406" s="75" t="s">
        <v>244</v>
      </c>
      <c r="C406" s="94" t="s">
        <v>0</v>
      </c>
      <c r="D406" s="207">
        <v>0</v>
      </c>
      <c r="E406" s="424" t="str">
        <f>DEC2HEX(((D406)*2^28),8)</f>
        <v>00000000</v>
      </c>
      <c r="F406" s="426" t="s">
        <v>800</v>
      </c>
      <c r="G406" s="479"/>
      <c r="H406" s="479"/>
      <c r="I406" s="481"/>
      <c r="J406" s="18"/>
    </row>
    <row r="407" spans="1:22" ht="14.4">
      <c r="A407" s="372"/>
      <c r="B407" s="75" t="s">
        <v>141</v>
      </c>
      <c r="C407" s="61">
        <v>1000</v>
      </c>
      <c r="D407" s="159">
        <f>ROUNDUP(((C407/C32)/2),0)</f>
        <v>167</v>
      </c>
      <c r="E407" s="424" t="str">
        <f>DEC2HEX(((D407)*2^16),8)</f>
        <v>00A70000</v>
      </c>
      <c r="F407" s="426" t="s">
        <v>800</v>
      </c>
      <c r="G407" s="479"/>
      <c r="H407" s="479"/>
      <c r="I407" s="481"/>
      <c r="J407" s="18"/>
    </row>
    <row r="408" spans="1:22" ht="15" thickBot="1">
      <c r="A408" s="372"/>
      <c r="B408" s="60" t="s">
        <v>142</v>
      </c>
      <c r="C408" s="164">
        <f>MAX(30/C32,8)</f>
        <v>10.02</v>
      </c>
      <c r="D408" s="120">
        <f>ROUNDUP(((C408)/2),0)</f>
        <v>6</v>
      </c>
      <c r="E408" s="425" t="str">
        <f>DEC2HEX(((D408)*2^0),8)</f>
        <v>00000006</v>
      </c>
      <c r="F408" s="368" t="s">
        <v>800</v>
      </c>
      <c r="G408" s="480"/>
      <c r="H408" s="480"/>
      <c r="I408" s="482"/>
      <c r="J408" s="18"/>
    </row>
    <row r="409" spans="1:22" ht="13.8" thickBot="1">
      <c r="A409" s="372"/>
      <c r="B409" s="77"/>
      <c r="C409" s="103"/>
      <c r="D409" s="78"/>
      <c r="E409" s="113"/>
      <c r="F409" s="225"/>
      <c r="G409" s="325"/>
      <c r="H409" s="226"/>
      <c r="I409" s="226"/>
      <c r="J409" s="18"/>
    </row>
    <row r="410" spans="1:22">
      <c r="A410" s="372"/>
      <c r="B410" s="58" t="s">
        <v>145</v>
      </c>
      <c r="C410" s="65"/>
      <c r="D410" s="209">
        <v>3</v>
      </c>
      <c r="E410" s="348" t="str">
        <f>DEC2HEX(((D410)*2^24),8)</f>
        <v>03000000</v>
      </c>
      <c r="F410" s="370" t="s">
        <v>800</v>
      </c>
      <c r="G410" s="458" t="s">
        <v>784</v>
      </c>
      <c r="H410" s="458" t="str">
        <f>"0x"&amp;DEC2HEX((HEX2DEC(C36)+400), 8)</f>
        <v>0x3D402190</v>
      </c>
      <c r="I410" s="493" t="str">
        <f>"0x"&amp;DEC2HEX((HEX2DEC(E410)+HEX2DEC(E411)+HEX2DEC(E412)+HEX2DEC(E413)+HEX2DEC(E414)+HEX2DEC(E415)), 8)</f>
        <v>0x03858202</v>
      </c>
      <c r="J410" s="18"/>
    </row>
    <row r="411" spans="1:22">
      <c r="A411" s="372"/>
      <c r="B411" s="59" t="s">
        <v>146</v>
      </c>
      <c r="C411" s="61"/>
      <c r="D411" s="126">
        <v>1</v>
      </c>
      <c r="E411" s="349" t="str">
        <f>DEC2HEX(((D411)*2^23),8)</f>
        <v>00800000</v>
      </c>
      <c r="F411" s="350" t="s">
        <v>800</v>
      </c>
      <c r="G411" s="459"/>
      <c r="H411" s="459"/>
      <c r="I411" s="494"/>
      <c r="J411" s="18"/>
    </row>
    <row r="412" spans="1:22" ht="15.6">
      <c r="A412" s="372"/>
      <c r="B412" s="59" t="s">
        <v>147</v>
      </c>
      <c r="C412" s="61"/>
      <c r="D412" s="232">
        <f>(C353 - 5)</f>
        <v>5</v>
      </c>
      <c r="E412" s="349" t="str">
        <f>DEC2HEX(((D412)*2^16),8)</f>
        <v>00050000</v>
      </c>
      <c r="F412" s="350" t="s">
        <v>800</v>
      </c>
      <c r="G412" s="459"/>
      <c r="H412" s="459"/>
      <c r="I412" s="494"/>
      <c r="J412" s="208"/>
    </row>
    <row r="413" spans="1:22">
      <c r="A413" s="372"/>
      <c r="B413" s="59" t="s">
        <v>148</v>
      </c>
      <c r="C413" s="61"/>
      <c r="D413" s="126">
        <v>1</v>
      </c>
      <c r="E413" s="349" t="str">
        <f>DEC2HEX(((D413)*2^15),8)</f>
        <v>00008000</v>
      </c>
      <c r="F413" s="350" t="s">
        <v>800</v>
      </c>
      <c r="G413" s="459"/>
      <c r="H413" s="459"/>
      <c r="I413" s="494"/>
      <c r="J413" s="18"/>
    </row>
    <row r="414" spans="1:22">
      <c r="A414" s="372"/>
      <c r="B414" s="75" t="s">
        <v>149</v>
      </c>
      <c r="C414" s="61"/>
      <c r="D414" s="126">
        <v>2</v>
      </c>
      <c r="E414" s="349" t="str">
        <f>DEC2HEX(((D414)*2^8),8)</f>
        <v>00000200</v>
      </c>
      <c r="F414" s="350" t="s">
        <v>800</v>
      </c>
      <c r="G414" s="459"/>
      <c r="H414" s="459"/>
      <c r="I414" s="494"/>
      <c r="J414" s="18"/>
    </row>
    <row r="415" spans="1:22" ht="16.2" thickBot="1">
      <c r="A415" s="372"/>
      <c r="B415" s="148" t="s">
        <v>150</v>
      </c>
      <c r="C415" s="63"/>
      <c r="D415" s="164">
        <f>C352+1-5</f>
        <v>2</v>
      </c>
      <c r="E415" s="351" t="str">
        <f>DEC2HEX(((D415)*2^0),8)</f>
        <v>00000002</v>
      </c>
      <c r="F415" s="368" t="s">
        <v>800</v>
      </c>
      <c r="G415" s="460"/>
      <c r="H415" s="460"/>
      <c r="I415" s="495"/>
      <c r="J415" s="208"/>
    </row>
    <row r="416" spans="1:22" ht="16.2" thickBot="1">
      <c r="A416" s="372"/>
      <c r="B416" s="77"/>
      <c r="C416" s="77"/>
      <c r="D416" s="119"/>
      <c r="E416" s="36"/>
      <c r="F416" s="409"/>
      <c r="G416" s="81"/>
      <c r="H416" s="81"/>
      <c r="I416" s="397"/>
      <c r="J416" s="208"/>
    </row>
    <row r="417" spans="1:11">
      <c r="A417" s="372"/>
      <c r="B417" s="58" t="s">
        <v>246</v>
      </c>
      <c r="C417" s="65" t="s">
        <v>0</v>
      </c>
      <c r="D417" s="57">
        <v>0</v>
      </c>
      <c r="E417" s="403" t="str">
        <f>DEC2HEX(((D417)*2^28),8)</f>
        <v>00000000</v>
      </c>
      <c r="F417" s="370" t="s">
        <v>800</v>
      </c>
      <c r="G417" s="458" t="s">
        <v>970</v>
      </c>
      <c r="H417" s="458" t="str">
        <f>"0x"&amp;DEC2HEX((HEX2DEC(C36)+404), 8)</f>
        <v>0x3D402194</v>
      </c>
      <c r="I417" s="461" t="str">
        <f>"0x"&amp;DEC2HEX((HEX2DEC(E417)+HEX2DEC(E418)+HEX2DEC(E419)+HEX2DEC(E420)+HEX2DEC(E421)), 8)</f>
        <v>0x00080303</v>
      </c>
      <c r="J417" s="18"/>
    </row>
    <row r="418" spans="1:11">
      <c r="A418" s="372"/>
      <c r="B418" s="59" t="s">
        <v>248</v>
      </c>
      <c r="C418" s="61" t="s">
        <v>0</v>
      </c>
      <c r="D418" s="126">
        <v>0</v>
      </c>
      <c r="E418" s="404" t="str">
        <f>DEC2HEX(((D418)*2^24),8)</f>
        <v>00000000</v>
      </c>
      <c r="F418" s="406" t="s">
        <v>800</v>
      </c>
      <c r="G418" s="459"/>
      <c r="H418" s="459"/>
      <c r="I418" s="462"/>
      <c r="J418" s="18"/>
    </row>
    <row r="419" spans="1:11" ht="14.4">
      <c r="A419" s="372"/>
      <c r="B419" s="59" t="s">
        <v>151</v>
      </c>
      <c r="C419" s="61" t="s">
        <v>0</v>
      </c>
      <c r="D419" s="125">
        <f>ROUNDUP((6 + D48 + D249)/2, 0)</f>
        <v>8</v>
      </c>
      <c r="E419" s="404" t="str">
        <f>DEC2HEX(((D419)*2^16),8)</f>
        <v>00080000</v>
      </c>
      <c r="F419" s="406" t="s">
        <v>800</v>
      </c>
      <c r="G419" s="459"/>
      <c r="H419" s="459"/>
      <c r="I419" s="462"/>
      <c r="J419" s="18"/>
    </row>
    <row r="420" spans="1:11">
      <c r="A420" s="372"/>
      <c r="B420" s="59" t="s">
        <v>152</v>
      </c>
      <c r="C420" s="61" t="s">
        <v>0</v>
      </c>
      <c r="D420" s="126">
        <v>3</v>
      </c>
      <c r="E420" s="404" t="str">
        <f>DEC2HEX(((D420)*2^8),8)</f>
        <v>00000300</v>
      </c>
      <c r="F420" s="406" t="s">
        <v>800</v>
      </c>
      <c r="G420" s="459"/>
      <c r="H420" s="459"/>
      <c r="I420" s="462"/>
      <c r="J420" s="18"/>
    </row>
    <row r="421" spans="1:11" ht="13.8" thickBot="1">
      <c r="A421" s="372"/>
      <c r="B421" s="60" t="s">
        <v>153</v>
      </c>
      <c r="C421" s="63" t="s">
        <v>0</v>
      </c>
      <c r="D421" s="64">
        <v>3</v>
      </c>
      <c r="E421" s="405" t="str">
        <f>DEC2HEX(((D421)*2^0),8)</f>
        <v>00000003</v>
      </c>
      <c r="F421" s="368" t="s">
        <v>800</v>
      </c>
      <c r="G421" s="460"/>
      <c r="H421" s="460"/>
      <c r="I421" s="463"/>
      <c r="J421" s="18"/>
    </row>
    <row r="422" spans="1:11" ht="13.8" thickBot="1">
      <c r="A422" s="372"/>
      <c r="B422" s="77"/>
      <c r="C422" s="103"/>
      <c r="D422" s="78"/>
      <c r="E422" s="113"/>
      <c r="F422" s="225"/>
      <c r="G422" s="325"/>
      <c r="H422" s="226"/>
      <c r="I422" s="226"/>
      <c r="J422" s="18"/>
    </row>
    <row r="423" spans="1:11" ht="14.4">
      <c r="A423" s="380"/>
      <c r="B423" s="58" t="s">
        <v>251</v>
      </c>
      <c r="C423" s="93" t="s">
        <v>0</v>
      </c>
      <c r="D423" s="92">
        <f>(C353-5)</f>
        <v>5</v>
      </c>
      <c r="E423" s="348" t="str">
        <f>DEC2HEX(((D423)*2^8),8)</f>
        <v>00000500</v>
      </c>
      <c r="F423" s="370" t="s">
        <v>800</v>
      </c>
      <c r="G423" s="465" t="s">
        <v>785</v>
      </c>
      <c r="H423" s="465" t="str">
        <f>"0x"&amp;DEC2HEX((HEX2DEC(C36)+436), 8)</f>
        <v>0x3D4021B4</v>
      </c>
      <c r="I423" s="461" t="str">
        <f>"0x"&amp;DEC2HEX((HEX2DEC(E423)+HEX2DEC(E424)), 8)</f>
        <v>0x00000502</v>
      </c>
      <c r="J423" s="18"/>
    </row>
    <row r="424" spans="1:11" ht="15" thickBot="1">
      <c r="A424" s="380"/>
      <c r="B424" s="60" t="s">
        <v>252</v>
      </c>
      <c r="C424" s="97" t="s">
        <v>0</v>
      </c>
      <c r="D424" s="164">
        <f>(C352+1-5)</f>
        <v>2</v>
      </c>
      <c r="E424" s="351" t="str">
        <f>DEC2HEX(((D424)*2^0),8)</f>
        <v>00000002</v>
      </c>
      <c r="F424" s="368" t="s">
        <v>800</v>
      </c>
      <c r="G424" s="460"/>
      <c r="H424" s="460"/>
      <c r="I424" s="463"/>
      <c r="J424" s="18"/>
    </row>
    <row r="425" spans="1:11" ht="13.8" thickBot="1">
      <c r="A425" s="372"/>
      <c r="B425" s="77"/>
      <c r="C425" s="103"/>
      <c r="D425" s="78"/>
      <c r="E425" s="113"/>
      <c r="F425" s="225"/>
      <c r="G425" s="325"/>
      <c r="H425" s="226"/>
      <c r="I425" s="226"/>
      <c r="J425" s="18"/>
    </row>
    <row r="426" spans="1:11" ht="14.4">
      <c r="A426" s="372"/>
      <c r="B426" s="127" t="s">
        <v>136</v>
      </c>
      <c r="C426" s="92">
        <f>C96</f>
        <v>3904</v>
      </c>
      <c r="D426" s="117">
        <f>MAX(ROUNDDOWN(((C426/C32)/64), 0), 3)</f>
        <v>20</v>
      </c>
      <c r="E426" s="449" t="str">
        <f>DEC2HEX(((D426)*2^16),8)</f>
        <v>00140000</v>
      </c>
      <c r="F426" s="370" t="s">
        <v>800</v>
      </c>
      <c r="G426" s="458" t="s">
        <v>789</v>
      </c>
      <c r="H426" s="458" t="str">
        <f>"0x"&amp;DEC2HEX((HEX2DEC(C36)+HEX2DEC(64)), 8)</f>
        <v>0x3D402064</v>
      </c>
      <c r="I426" s="461" t="str">
        <f>"0x"&amp;DEC2HEX((HEX2DEC(E426)+HEX2DEC(E427)), 8)</f>
        <v>0x0014002F</v>
      </c>
      <c r="J426" s="217"/>
      <c r="K426" s="66"/>
    </row>
    <row r="427" spans="1:11" ht="15" thickBot="1">
      <c r="A427" s="372"/>
      <c r="B427" s="148" t="s">
        <v>137</v>
      </c>
      <c r="C427" s="164">
        <f>C97</f>
        <v>280</v>
      </c>
      <c r="D427" s="115">
        <f>ROUNDUP((C427/C32/2),0)</f>
        <v>47</v>
      </c>
      <c r="E427" s="450" t="str">
        <f>DEC2HEX(((D427)*2^0),8)</f>
        <v>0000002F</v>
      </c>
      <c r="F427" s="368" t="s">
        <v>800</v>
      </c>
      <c r="G427" s="460"/>
      <c r="H427" s="460"/>
      <c r="I427" s="463"/>
      <c r="J427" s="18"/>
      <c r="K427" s="66"/>
    </row>
    <row r="428" spans="1:11" ht="13.8" thickBot="1">
      <c r="A428" s="372"/>
      <c r="B428" s="77"/>
      <c r="C428" s="103"/>
      <c r="D428" s="78"/>
      <c r="E428" s="113"/>
      <c r="F428" s="225"/>
      <c r="G428" s="325"/>
      <c r="H428" s="226"/>
      <c r="I428" s="226"/>
      <c r="J428" s="18"/>
    </row>
    <row r="429" spans="1:11" s="8" customFormat="1" ht="39.6">
      <c r="A429" s="372"/>
      <c r="B429" s="182" t="s">
        <v>263</v>
      </c>
      <c r="C429" s="255" t="s">
        <v>0</v>
      </c>
      <c r="D429" s="256">
        <v>1</v>
      </c>
      <c r="E429" s="183" t="str">
        <f>DEC2HEX(((D429)*2^23),8)</f>
        <v>00800000</v>
      </c>
      <c r="F429" s="370" t="s">
        <v>800</v>
      </c>
      <c r="G429" s="510" t="s">
        <v>790</v>
      </c>
      <c r="H429" s="484" t="str">
        <f>"0x"&amp;DEC2HEX((HEX2DEC(C36)+220), 8)</f>
        <v>0x3D4020DC</v>
      </c>
      <c r="I429" s="513" t="str">
        <f>"0x"&amp;DEC2HEX((HEX2DEC(E429)+HEX2DEC(E430)+HEX2DEC(E431)+HEX2DEC(E432)+HEX2DEC(E433)+HEX2DEC(E434)+HEX2DEC(E435)+HEX2DEC(E436)+HEX2DEC(E437)),8)</f>
        <v>0x00940009</v>
      </c>
    </row>
    <row r="430" spans="1:11" s="8" customFormat="1" ht="39.6">
      <c r="A430" s="372"/>
      <c r="B430" s="184" t="s">
        <v>264</v>
      </c>
      <c r="C430" s="177" t="s">
        <v>0</v>
      </c>
      <c r="D430" s="129">
        <f>D436</f>
        <v>1</v>
      </c>
      <c r="E430" s="110" t="str">
        <f>DEC2HEX(((D430)*2^20),8)</f>
        <v>00100000</v>
      </c>
      <c r="F430" s="350" t="s">
        <v>800</v>
      </c>
      <c r="G430" s="511"/>
      <c r="H430" s="485"/>
      <c r="I430" s="514"/>
    </row>
    <row r="431" spans="1:11" s="8" customFormat="1" ht="39.6">
      <c r="A431" s="372"/>
      <c r="B431" s="176" t="s">
        <v>265</v>
      </c>
      <c r="C431" s="177" t="s">
        <v>0</v>
      </c>
      <c r="D431" s="243">
        <v>0</v>
      </c>
      <c r="E431" s="110" t="str">
        <f>DEC2HEX(((D431)*2^19),8)</f>
        <v>00000000</v>
      </c>
      <c r="F431" s="350" t="s">
        <v>800</v>
      </c>
      <c r="G431" s="511"/>
      <c r="H431" s="485"/>
      <c r="I431" s="514"/>
    </row>
    <row r="432" spans="1:11" s="8" customFormat="1" ht="39.6">
      <c r="A432" s="372"/>
      <c r="B432" s="176" t="s">
        <v>266</v>
      </c>
      <c r="C432" s="177" t="s">
        <v>0</v>
      </c>
      <c r="D432" s="243">
        <v>1</v>
      </c>
      <c r="E432" s="110" t="str">
        <f>DEC2HEX(((D432)*2^18),8)</f>
        <v>00040000</v>
      </c>
      <c r="F432" s="350" t="s">
        <v>800</v>
      </c>
      <c r="G432" s="511"/>
      <c r="H432" s="485"/>
      <c r="I432" s="514"/>
    </row>
    <row r="433" spans="1:10" s="8" customFormat="1" ht="27" thickBot="1">
      <c r="A433" s="372"/>
      <c r="B433" s="180" t="s">
        <v>267</v>
      </c>
      <c r="C433" s="181" t="s">
        <v>0</v>
      </c>
      <c r="D433" s="354">
        <v>0</v>
      </c>
      <c r="E433" s="173" t="str">
        <f>DEC2HEX(((D433)*2^16),8)</f>
        <v>00000000</v>
      </c>
      <c r="F433" s="368" t="s">
        <v>800</v>
      </c>
      <c r="G433" s="511"/>
      <c r="H433" s="485"/>
      <c r="I433" s="514"/>
    </row>
    <row r="434" spans="1:10" s="8" customFormat="1" ht="26.4">
      <c r="A434" s="372"/>
      <c r="B434" s="186" t="s">
        <v>268</v>
      </c>
      <c r="C434" s="187" t="s">
        <v>0</v>
      </c>
      <c r="D434" s="174">
        <v>0</v>
      </c>
      <c r="E434" s="172" t="str">
        <f>DEC2HEX(((D434)*2^7),8)</f>
        <v>00000000</v>
      </c>
      <c r="F434" s="370" t="s">
        <v>800</v>
      </c>
      <c r="G434" s="511"/>
      <c r="H434" s="485"/>
      <c r="I434" s="514"/>
    </row>
    <row r="435" spans="1:10" s="8" customFormat="1" ht="26.4">
      <c r="A435" s="372"/>
      <c r="B435" s="186" t="s">
        <v>269</v>
      </c>
      <c r="C435" s="177" t="s">
        <v>0</v>
      </c>
      <c r="D435" s="175">
        <v>0</v>
      </c>
      <c r="E435" s="172" t="str">
        <f>DEC2HEX(((D435)*2^6),8)</f>
        <v>00000000</v>
      </c>
      <c r="F435" s="350" t="s">
        <v>800</v>
      </c>
      <c r="G435" s="511"/>
      <c r="H435" s="485"/>
      <c r="I435" s="514"/>
    </row>
    <row r="436" spans="1:10" s="8" customFormat="1" ht="26.4">
      <c r="A436" s="372"/>
      <c r="B436" s="186" t="s">
        <v>270</v>
      </c>
      <c r="C436" s="177" t="s">
        <v>0</v>
      </c>
      <c r="D436" s="129">
        <f>(C352-4)/2</f>
        <v>1</v>
      </c>
      <c r="E436" s="172" t="str">
        <f>DEC2HEX(((D436)*2^3),8)</f>
        <v>00000008</v>
      </c>
      <c r="F436" s="350" t="s">
        <v>800</v>
      </c>
      <c r="G436" s="511"/>
      <c r="H436" s="485"/>
      <c r="I436" s="514"/>
    </row>
    <row r="437" spans="1:10" s="8" customFormat="1" ht="27" thickBot="1">
      <c r="A437" s="372"/>
      <c r="B437" s="189" t="s">
        <v>271</v>
      </c>
      <c r="C437" s="181" t="s">
        <v>0</v>
      </c>
      <c r="D437" s="130">
        <f>D436</f>
        <v>1</v>
      </c>
      <c r="E437" s="190" t="str">
        <f>DEC2HEX(((D437)*2^0),8)</f>
        <v>00000001</v>
      </c>
      <c r="F437" s="368" t="s">
        <v>800</v>
      </c>
      <c r="G437" s="512"/>
      <c r="H437" s="486"/>
      <c r="I437" s="515"/>
    </row>
    <row r="438" spans="1:10" ht="13.8" thickBot="1">
      <c r="A438" s="372"/>
      <c r="B438" s="77"/>
      <c r="C438" s="103"/>
      <c r="D438" s="78"/>
      <c r="E438" s="113"/>
      <c r="F438" s="225"/>
      <c r="G438" s="325"/>
      <c r="H438" s="226"/>
      <c r="I438" s="226"/>
      <c r="J438" s="18"/>
    </row>
    <row r="439" spans="1:10" s="8" customFormat="1">
      <c r="A439" s="372"/>
      <c r="B439" s="302" t="s">
        <v>357</v>
      </c>
      <c r="C439" s="167" t="s">
        <v>0</v>
      </c>
      <c r="D439" s="223">
        <v>6</v>
      </c>
      <c r="E439" s="294" t="str">
        <f>DEC2HEX(((D439)*2^20),8)</f>
        <v>00600000</v>
      </c>
      <c r="F439" s="370" t="s">
        <v>800</v>
      </c>
      <c r="G439" s="516" t="s">
        <v>786</v>
      </c>
      <c r="H439" s="519" t="str">
        <f>"0x"&amp;DEC2HEX((HEX2DEC(C36)+232), 8)</f>
        <v>0x3D4020E8</v>
      </c>
      <c r="I439" s="520" t="str">
        <f>"0x"&amp;DEC2HEX((HEX2DEC(E439)+HEX2DEC(E440)+HEX2DEC(E441)+HEX2DEC(E442)), 8)</f>
        <v>0x0066004A</v>
      </c>
    </row>
    <row r="440" spans="1:10" s="8" customFormat="1">
      <c r="A440" s="372"/>
      <c r="B440" s="304" t="s">
        <v>358</v>
      </c>
      <c r="C440" s="104" t="s">
        <v>0</v>
      </c>
      <c r="D440" s="221">
        <v>6</v>
      </c>
      <c r="E440" s="87" t="str">
        <f>DEC2HEX(((D440)*2^16),8)</f>
        <v>00060000</v>
      </c>
      <c r="F440" s="350" t="s">
        <v>800</v>
      </c>
      <c r="G440" s="517"/>
      <c r="H440" s="517"/>
      <c r="I440" s="521"/>
    </row>
    <row r="441" spans="1:10" s="8" customFormat="1">
      <c r="A441" s="372"/>
      <c r="B441" s="304" t="s">
        <v>359</v>
      </c>
      <c r="C441" s="104" t="s">
        <v>0</v>
      </c>
      <c r="D441" s="352">
        <v>1</v>
      </c>
      <c r="E441" s="87" t="str">
        <f>DEC2HEX(((D441)*2^6),8)</f>
        <v>00000040</v>
      </c>
      <c r="F441" s="350" t="s">
        <v>800</v>
      </c>
      <c r="G441" s="517"/>
      <c r="H441" s="517"/>
      <c r="I441" s="521"/>
    </row>
    <row r="442" spans="1:10" s="8" customFormat="1" ht="13.8" thickBot="1">
      <c r="A442" s="372"/>
      <c r="B442" s="305" t="s">
        <v>360</v>
      </c>
      <c r="C442" s="106" t="s">
        <v>0</v>
      </c>
      <c r="D442" s="353">
        <v>10</v>
      </c>
      <c r="E442" s="293" t="str">
        <f>DEC2HEX(((D442)*2^0),8)</f>
        <v>0000000A</v>
      </c>
      <c r="F442" s="368" t="s">
        <v>800</v>
      </c>
      <c r="G442" s="518"/>
      <c r="H442" s="518"/>
      <c r="I442" s="522"/>
    </row>
    <row r="443" spans="1:10" ht="13.8" thickBot="1">
      <c r="A443" s="372"/>
      <c r="B443" s="77"/>
      <c r="C443" s="103"/>
      <c r="D443" s="78"/>
      <c r="E443" s="113"/>
      <c r="F443" s="225"/>
      <c r="G443" s="325"/>
      <c r="H443" s="226"/>
      <c r="I443" s="226"/>
      <c r="J443" s="18"/>
    </row>
    <row r="444" spans="1:10" s="8" customFormat="1">
      <c r="A444" s="372"/>
      <c r="B444" s="302" t="s">
        <v>374</v>
      </c>
      <c r="C444" s="167" t="s">
        <v>0</v>
      </c>
      <c r="D444" s="223">
        <v>0</v>
      </c>
      <c r="E444" s="294" t="str">
        <f>DEC2HEX(((D444)*2^21),8)</f>
        <v>00000000</v>
      </c>
      <c r="F444" s="370" t="s">
        <v>800</v>
      </c>
      <c r="G444" s="496" t="s">
        <v>787</v>
      </c>
      <c r="H444" s="499" t="str">
        <f>"0x"&amp;DEC2HEX((HEX2DEC(C36)+236), 8)</f>
        <v>0x3D4020EC</v>
      </c>
      <c r="I444" s="500" t="str">
        <f>"0x"&amp;DEC2HEX((HEX2DEC(E444)+HEX2DEC(E445)+HEX2DEC(E446)+HEX2DEC(E447)+HEX2DEC(E448)+HEX2DEC(E449)), 8)</f>
        <v>0x0016004A</v>
      </c>
    </row>
    <row r="445" spans="1:10" s="8" customFormat="1">
      <c r="A445" s="372"/>
      <c r="B445" s="304" t="s">
        <v>375</v>
      </c>
      <c r="C445" s="104" t="s">
        <v>0</v>
      </c>
      <c r="D445" s="221">
        <v>1</v>
      </c>
      <c r="E445" s="87" t="str">
        <f>DEC2HEX(((D445)*2^20),8)</f>
        <v>00100000</v>
      </c>
      <c r="F445" s="350" t="s">
        <v>800</v>
      </c>
      <c r="G445" s="497"/>
      <c r="H445" s="497"/>
      <c r="I445" s="501"/>
    </row>
    <row r="446" spans="1:10" s="8" customFormat="1">
      <c r="A446" s="372"/>
      <c r="B446" s="304" t="s">
        <v>376</v>
      </c>
      <c r="C446" s="104" t="s">
        <v>0</v>
      </c>
      <c r="D446" s="221">
        <v>0</v>
      </c>
      <c r="E446" s="87" t="str">
        <f>DEC2HEX(((D446)*2^19),8)</f>
        <v>00000000</v>
      </c>
      <c r="F446" s="350" t="s">
        <v>800</v>
      </c>
      <c r="G446" s="497"/>
      <c r="H446" s="497"/>
      <c r="I446" s="501"/>
    </row>
    <row r="447" spans="1:10" s="8" customFormat="1">
      <c r="A447" s="372"/>
      <c r="B447" s="304" t="s">
        <v>377</v>
      </c>
      <c r="C447" s="104" t="s">
        <v>0</v>
      </c>
      <c r="D447" s="221">
        <v>6</v>
      </c>
      <c r="E447" s="87" t="str">
        <f>DEC2HEX(((D447)*2^16),8)</f>
        <v>00060000</v>
      </c>
      <c r="F447" s="350" t="s">
        <v>800</v>
      </c>
      <c r="G447" s="497"/>
      <c r="H447" s="497"/>
      <c r="I447" s="501"/>
    </row>
    <row r="448" spans="1:10" s="8" customFormat="1">
      <c r="A448" s="372"/>
      <c r="B448" s="304" t="s">
        <v>378</v>
      </c>
      <c r="C448" s="104" t="s">
        <v>0</v>
      </c>
      <c r="D448" s="352">
        <v>1</v>
      </c>
      <c r="E448" s="87" t="str">
        <f>DEC2HEX(((D448)*2^6),8)</f>
        <v>00000040</v>
      </c>
      <c r="F448" s="350" t="s">
        <v>800</v>
      </c>
      <c r="G448" s="497"/>
      <c r="H448" s="497"/>
      <c r="I448" s="501"/>
    </row>
    <row r="449" spans="1:10" s="8" customFormat="1" ht="13.8" thickBot="1">
      <c r="A449" s="372"/>
      <c r="B449" s="305" t="s">
        <v>379</v>
      </c>
      <c r="C449" s="106" t="s">
        <v>0</v>
      </c>
      <c r="D449" s="353">
        <v>10</v>
      </c>
      <c r="E449" s="293" t="str">
        <f>DEC2HEX(((D449)*2^0),8)</f>
        <v>0000000A</v>
      </c>
      <c r="F449" s="368" t="s">
        <v>800</v>
      </c>
      <c r="G449" s="498"/>
      <c r="H449" s="498"/>
      <c r="I449" s="502"/>
    </row>
    <row r="450" spans="1:10" ht="13.8" thickBot="1">
      <c r="A450" s="372"/>
      <c r="B450" s="77"/>
      <c r="C450" s="103"/>
      <c r="D450" s="78"/>
      <c r="E450" s="113"/>
      <c r="F450" s="225"/>
      <c r="G450" s="325"/>
      <c r="H450" s="226"/>
      <c r="I450" s="226"/>
      <c r="J450" s="18"/>
    </row>
    <row r="451" spans="1:10" s="8" customFormat="1" ht="39.6">
      <c r="A451" s="372"/>
      <c r="B451" s="195" t="s">
        <v>272</v>
      </c>
      <c r="C451" s="167" t="s">
        <v>0</v>
      </c>
      <c r="D451" s="218">
        <f>D216</f>
        <v>0</v>
      </c>
      <c r="E451" s="294" t="str">
        <f>DEC2HEX(((D451)*2^23),8)</f>
        <v>00000000</v>
      </c>
      <c r="F451" s="370" t="s">
        <v>800</v>
      </c>
      <c r="G451" s="504" t="s">
        <v>788</v>
      </c>
      <c r="H451" s="465" t="str">
        <f>"0x"&amp;DEC2HEX((HEX2DEC(C36)+224), 8)</f>
        <v>0x3D4020E0</v>
      </c>
      <c r="I451" s="466" t="str">
        <f>"0x"&amp;DEC2HEX((HEX2DEC(E451)+HEX2DEC(E452)+HEX2DEC(E453)+HEX2DEC(E454)+HEX2DEC(E455)+HEX2DEC(E456)+HEX2DEC(E457)+HEX2DEC(E458)+HEX2DEC(E459)+HEX2DEC(E460)+HEX2DEC(E461)+HEX2DEC(E462)+HEX2DEC(E463)+HEX2DEC(E464) ), 8)</f>
        <v>0x00310000</v>
      </c>
    </row>
    <row r="452" spans="1:10" s="8" customFormat="1" ht="26.4">
      <c r="A452" s="372"/>
      <c r="B452" s="108" t="s">
        <v>273</v>
      </c>
      <c r="C452" s="104" t="s">
        <v>0</v>
      </c>
      <c r="D452" s="129">
        <f>D217</f>
        <v>0</v>
      </c>
      <c r="E452" s="88" t="str">
        <f>DEC2HEX(((D452)*2^22),8)</f>
        <v>00000000</v>
      </c>
      <c r="F452" s="401" t="s">
        <v>800</v>
      </c>
      <c r="G452" s="505"/>
      <c r="H452" s="459"/>
      <c r="I452" s="462"/>
    </row>
    <row r="453" spans="1:10" s="8" customFormat="1" ht="39.6">
      <c r="A453" s="372"/>
      <c r="B453" s="108" t="s">
        <v>274</v>
      </c>
      <c r="C453" s="104" t="s">
        <v>0</v>
      </c>
      <c r="D453" s="105">
        <v>6</v>
      </c>
      <c r="E453" s="88" t="str">
        <f>DEC2HEX(((D453)*2^19),8)</f>
        <v>00300000</v>
      </c>
      <c r="F453" s="401" t="s">
        <v>800</v>
      </c>
      <c r="G453" s="505"/>
      <c r="H453" s="459"/>
      <c r="I453" s="462"/>
    </row>
    <row r="454" spans="1:10" s="8" customFormat="1" ht="39.6">
      <c r="A454" s="372"/>
      <c r="B454" s="108" t="s">
        <v>275</v>
      </c>
      <c r="C454" s="104" t="s">
        <v>0</v>
      </c>
      <c r="D454" s="201">
        <v>0</v>
      </c>
      <c r="E454" s="88" t="str">
        <f>DEC2HEX(((D454)*2^18),8)</f>
        <v>00000000</v>
      </c>
      <c r="F454" s="401" t="s">
        <v>800</v>
      </c>
      <c r="G454" s="505"/>
      <c r="H454" s="459"/>
      <c r="I454" s="462"/>
    </row>
    <row r="455" spans="1:10" s="8" customFormat="1" ht="39.6">
      <c r="A455" s="372"/>
      <c r="B455" s="108" t="s">
        <v>276</v>
      </c>
      <c r="C455" s="104" t="s">
        <v>0</v>
      </c>
      <c r="D455" s="105">
        <v>0</v>
      </c>
      <c r="E455" s="88" t="str">
        <f>DEC2HEX(((D455)*2^17),8)</f>
        <v>00000000</v>
      </c>
      <c r="F455" s="401" t="s">
        <v>800</v>
      </c>
      <c r="G455" s="505"/>
      <c r="H455" s="459"/>
      <c r="I455" s="462"/>
    </row>
    <row r="456" spans="1:10" s="8" customFormat="1" ht="40.200000000000003" thickBot="1">
      <c r="A456" s="372"/>
      <c r="B456" s="85" t="s">
        <v>277</v>
      </c>
      <c r="C456" s="106" t="s">
        <v>0</v>
      </c>
      <c r="D456" s="193">
        <v>1</v>
      </c>
      <c r="E456" s="107" t="str">
        <f>DEC2HEX(((D456)*2^16),8)</f>
        <v>00010000</v>
      </c>
      <c r="F456" s="368" t="s">
        <v>800</v>
      </c>
      <c r="G456" s="505"/>
      <c r="H456" s="459"/>
      <c r="I456" s="462"/>
    </row>
    <row r="457" spans="1:10" s="8" customFormat="1" ht="39.6">
      <c r="A457" s="372"/>
      <c r="B457" s="197" t="s">
        <v>278</v>
      </c>
      <c r="C457" s="169" t="s">
        <v>0</v>
      </c>
      <c r="D457" s="200">
        <v>0</v>
      </c>
      <c r="E457" s="87" t="str">
        <f>DEC2HEX(((D457)*2^7),8)</f>
        <v>00000000</v>
      </c>
      <c r="F457" s="370" t="s">
        <v>800</v>
      </c>
      <c r="G457" s="505"/>
      <c r="H457" s="459"/>
      <c r="I457" s="462"/>
    </row>
    <row r="458" spans="1:10" s="8" customFormat="1" ht="39.6">
      <c r="A458" s="372"/>
      <c r="B458" s="198" t="s">
        <v>279</v>
      </c>
      <c r="C458" s="104" t="s">
        <v>0</v>
      </c>
      <c r="D458" s="201">
        <v>0</v>
      </c>
      <c r="E458" s="88" t="str">
        <f>DEC2HEX(((D458)*2^6),8)</f>
        <v>00000000</v>
      </c>
      <c r="F458" s="401" t="s">
        <v>800</v>
      </c>
      <c r="G458" s="505"/>
      <c r="H458" s="459"/>
      <c r="I458" s="462"/>
    </row>
    <row r="459" spans="1:10" s="8" customFormat="1" ht="26.4">
      <c r="A459" s="372"/>
      <c r="B459" s="198" t="s">
        <v>280</v>
      </c>
      <c r="C459" s="104" t="s">
        <v>0</v>
      </c>
      <c r="D459" s="105">
        <v>0</v>
      </c>
      <c r="E459" s="88" t="str">
        <f>DEC2HEX(((D459)*2^5),8)</f>
        <v>00000000</v>
      </c>
      <c r="F459" s="401" t="s">
        <v>800</v>
      </c>
      <c r="G459" s="505"/>
      <c r="H459" s="459"/>
      <c r="I459" s="462"/>
    </row>
    <row r="460" spans="1:10" s="8" customFormat="1" ht="26.4">
      <c r="A460" s="372"/>
      <c r="B460" s="198" t="s">
        <v>281</v>
      </c>
      <c r="C460" s="104" t="s">
        <v>0</v>
      </c>
      <c r="D460" s="201">
        <v>0</v>
      </c>
      <c r="E460" s="88" t="str">
        <f>DEC2HEX(((D460)*2^4),8)</f>
        <v>00000000</v>
      </c>
      <c r="F460" s="401" t="s">
        <v>800</v>
      </c>
      <c r="G460" s="505"/>
      <c r="H460" s="459"/>
      <c r="I460" s="462"/>
    </row>
    <row r="461" spans="1:10" s="8" customFormat="1" ht="39.6">
      <c r="A461" s="372"/>
      <c r="B461" s="198" t="s">
        <v>282</v>
      </c>
      <c r="C461" s="104" t="s">
        <v>0</v>
      </c>
      <c r="D461" s="201">
        <v>0</v>
      </c>
      <c r="E461" s="88" t="str">
        <f>DEC2HEX(((D461)*2^3),8)</f>
        <v>00000000</v>
      </c>
      <c r="F461" s="401" t="s">
        <v>800</v>
      </c>
      <c r="G461" s="505"/>
      <c r="H461" s="459"/>
      <c r="I461" s="462"/>
    </row>
    <row r="462" spans="1:10" s="8" customFormat="1" ht="26.4">
      <c r="A462" s="372"/>
      <c r="B462" s="198" t="s">
        <v>283</v>
      </c>
      <c r="C462" s="104" t="s">
        <v>0</v>
      </c>
      <c r="D462" s="201">
        <v>0</v>
      </c>
      <c r="E462" s="88" t="str">
        <f>DEC2HEX(((D462)*2^2),8)</f>
        <v>00000000</v>
      </c>
      <c r="F462" s="401" t="s">
        <v>800</v>
      </c>
      <c r="G462" s="505"/>
      <c r="H462" s="459"/>
      <c r="I462" s="462"/>
    </row>
    <row r="463" spans="1:10" s="8" customFormat="1" ht="39.6">
      <c r="A463" s="372"/>
      <c r="B463" s="198" t="s">
        <v>284</v>
      </c>
      <c r="C463" s="104" t="s">
        <v>0</v>
      </c>
      <c r="D463" s="201">
        <v>0</v>
      </c>
      <c r="E463" s="88" t="str">
        <f>DEC2HEX(((D463)*2^1),8)</f>
        <v>00000000</v>
      </c>
      <c r="F463" s="401" t="s">
        <v>800</v>
      </c>
      <c r="G463" s="505"/>
      <c r="H463" s="459"/>
      <c r="I463" s="462"/>
    </row>
    <row r="464" spans="1:10" s="8" customFormat="1" ht="40.200000000000003" thickBot="1">
      <c r="A464" s="372"/>
      <c r="B464" s="199" t="s">
        <v>285</v>
      </c>
      <c r="C464" s="106" t="s">
        <v>0</v>
      </c>
      <c r="D464" s="202">
        <v>0</v>
      </c>
      <c r="E464" s="107" t="str">
        <f>DEC2HEX(((D464)*2^0),8)</f>
        <v>00000000</v>
      </c>
      <c r="F464" s="368" t="s">
        <v>800</v>
      </c>
      <c r="G464" s="506"/>
      <c r="H464" s="460"/>
      <c r="I464" s="463"/>
    </row>
    <row r="465" spans="1:11" ht="13.8" thickBot="1">
      <c r="A465" s="372"/>
      <c r="B465" s="373"/>
      <c r="C465" s="374"/>
      <c r="D465" s="375"/>
      <c r="E465" s="376"/>
      <c r="F465" s="377"/>
      <c r="G465" s="378"/>
      <c r="H465" s="379"/>
      <c r="I465" s="379"/>
      <c r="J465" s="18"/>
    </row>
    <row r="466" spans="1:11" ht="14.4" thickBot="1">
      <c r="A466" s="381"/>
      <c r="B466" s="507" t="s">
        <v>824</v>
      </c>
      <c r="C466" s="508"/>
      <c r="D466" s="508"/>
      <c r="E466" s="508"/>
      <c r="F466" s="508"/>
      <c r="G466" s="508"/>
      <c r="H466" s="508"/>
      <c r="I466" s="509"/>
      <c r="J466" s="18"/>
    </row>
    <row r="467" spans="1:11" ht="14.4">
      <c r="A467" s="381"/>
      <c r="B467" s="58" t="s">
        <v>183</v>
      </c>
      <c r="C467" s="92">
        <f>MAX(18/C34, 6)</f>
        <v>6</v>
      </c>
      <c r="D467" s="56">
        <f>ROUNDUP((1+C476+D48+ROUNDUP((C467),0))/2, 0)</f>
        <v>10</v>
      </c>
      <c r="E467" s="348" t="str">
        <f>DEC2HEX(((D467)*2^24),8)</f>
        <v>0A000000</v>
      </c>
      <c r="F467" s="133" t="s">
        <v>800</v>
      </c>
      <c r="G467" s="458" t="s">
        <v>825</v>
      </c>
      <c r="H467" s="458" t="str">
        <f>"0x"&amp;DEC2HEX((HEX2DEC(C37)+256), 8)</f>
        <v>0x3D403100</v>
      </c>
      <c r="I467" s="461" t="str">
        <f>"0x"&amp;DEC2HEX((HEX2DEC(E467)+HEX2DEC(E468)+HEX2DEC(E469)+HEX2DEC(E470)), 8)</f>
        <v>0x0A010102</v>
      </c>
      <c r="J467" s="82"/>
      <c r="K467" s="25"/>
    </row>
    <row r="468" spans="1:11" ht="14.4">
      <c r="A468" s="381"/>
      <c r="B468" s="74" t="s">
        <v>184</v>
      </c>
      <c r="C468" s="232">
        <f>C114</f>
        <v>40</v>
      </c>
      <c r="D468" s="159">
        <f>ROUNDUP(((C468/C34)/2),0)</f>
        <v>1</v>
      </c>
      <c r="E468" s="68" t="str">
        <f>DEC2HEX(((D468)*2^16),8)</f>
        <v>00010000</v>
      </c>
      <c r="F468" s="237" t="s">
        <v>800</v>
      </c>
      <c r="G468" s="479"/>
      <c r="H468" s="479"/>
      <c r="I468" s="481"/>
      <c r="J468" s="18"/>
      <c r="K468" s="25"/>
    </row>
    <row r="469" spans="1:11" ht="14.4">
      <c r="A469" s="381"/>
      <c r="B469" s="59" t="s">
        <v>185</v>
      </c>
      <c r="C469" s="232">
        <f>C115</f>
        <v>35136</v>
      </c>
      <c r="D469" s="249">
        <f>IF(ROUNDDOWN(((C469/C34 - 1)/2/1024),0)&lt;1, 1, ROUNDDOWN(((C469/C34 - 1)/2/1024),0))</f>
        <v>1</v>
      </c>
      <c r="E469" s="349" t="str">
        <f>DEC2HEX(((D469)*2^8),8)</f>
        <v>00000100</v>
      </c>
      <c r="F469" s="132" t="s">
        <v>800</v>
      </c>
      <c r="G469" s="459"/>
      <c r="H469" s="459"/>
      <c r="I469" s="462"/>
      <c r="J469" s="18"/>
      <c r="K469" s="25"/>
    </row>
    <row r="470" spans="1:11" ht="15" thickBot="1">
      <c r="A470" s="381"/>
      <c r="B470" s="148" t="s">
        <v>186</v>
      </c>
      <c r="C470" s="164">
        <f>IF(G40 = "Option 2", MAX((42+1.875)/C34, 3), MAX(42/C34, 3))</f>
        <v>3</v>
      </c>
      <c r="D470" s="158">
        <f>ROUNDUP((C470)/2,0)</f>
        <v>2</v>
      </c>
      <c r="E470" s="154" t="str">
        <f>DEC2HEX(((D470)*2^0),8)</f>
        <v>00000002</v>
      </c>
      <c r="F470" s="157" t="s">
        <v>800</v>
      </c>
      <c r="G470" s="460"/>
      <c r="H470" s="460"/>
      <c r="I470" s="463"/>
      <c r="J470" s="18"/>
    </row>
    <row r="471" spans="1:11" ht="11.25" customHeight="1" thickBot="1">
      <c r="A471" s="381"/>
      <c r="B471" s="77"/>
      <c r="C471" s="119"/>
      <c r="D471" s="119"/>
      <c r="E471" s="113"/>
      <c r="F471" s="324"/>
      <c r="G471" s="81"/>
      <c r="H471" s="81"/>
      <c r="I471" s="81"/>
      <c r="J471" s="18"/>
    </row>
    <row r="472" spans="1:11" ht="14.4">
      <c r="A472" s="381"/>
      <c r="B472" s="58" t="s">
        <v>108</v>
      </c>
      <c r="C472" s="92">
        <f>MAX(7.5/C34, 5)</f>
        <v>5</v>
      </c>
      <c r="D472" s="117">
        <f>ROUNDUP((C472)/2, 0)</f>
        <v>3</v>
      </c>
      <c r="E472" s="348" t="str">
        <f>DEC2HEX(((D472)*2^16),8)</f>
        <v>00030000</v>
      </c>
      <c r="F472" s="137" t="s">
        <v>800</v>
      </c>
      <c r="G472" s="467" t="s">
        <v>934</v>
      </c>
      <c r="H472" s="467" t="str">
        <f>"0x"&amp;DEC2HEX((HEX2DEC(C37)+260), 8)</f>
        <v>0x3D403104</v>
      </c>
      <c r="I472" s="523" t="str">
        <f>"0x"&amp;DEC2HEX((HEX2DEC(E472)+HEX2DEC(E473)+HEX2DEC(E474)), 8)</f>
        <v>0x00030404</v>
      </c>
      <c r="J472" s="18"/>
    </row>
    <row r="473" spans="1:11" ht="14.4">
      <c r="A473" s="381"/>
      <c r="B473" s="59" t="s">
        <v>109</v>
      </c>
      <c r="C473" s="232">
        <f>MAX(7.5/C34, 8)</f>
        <v>8</v>
      </c>
      <c r="D473" s="159">
        <f>ROUNDUP((C473)/2,0)</f>
        <v>4</v>
      </c>
      <c r="E473" s="349" t="str">
        <f>DEC2HEX(((D473)*2^8),8)</f>
        <v>00000400</v>
      </c>
      <c r="F473" s="350" t="s">
        <v>800</v>
      </c>
      <c r="G473" s="468"/>
      <c r="H473" s="468"/>
      <c r="I473" s="524"/>
      <c r="J473" s="98"/>
    </row>
    <row r="474" spans="1:11" ht="15" thickBot="1">
      <c r="A474" s="381"/>
      <c r="B474" s="60" t="s">
        <v>298</v>
      </c>
      <c r="C474" s="164">
        <f>IF(G40 = "Option 2", MAX((21+1.875)/C34, 4), MAX(21/C34, 4))</f>
        <v>4</v>
      </c>
      <c r="D474" s="164">
        <f>ROUNDUP(((C474+C470)/2),0)</f>
        <v>4</v>
      </c>
      <c r="E474" s="351" t="str">
        <f>DEC2HEX(((D474)*2^0),8)</f>
        <v>00000004</v>
      </c>
      <c r="F474" s="138" t="s">
        <v>800</v>
      </c>
      <c r="G474" s="469"/>
      <c r="H474" s="469"/>
      <c r="I474" s="525"/>
      <c r="J474" s="18"/>
    </row>
    <row r="475" spans="1:11" ht="13.8" thickBot="1">
      <c r="A475" s="381"/>
      <c r="B475" s="77"/>
      <c r="C475" s="103"/>
      <c r="D475" s="78"/>
      <c r="E475" s="113"/>
      <c r="F475" s="225"/>
      <c r="G475" s="325"/>
      <c r="H475" s="226"/>
      <c r="I475" s="226"/>
      <c r="J475" s="18"/>
    </row>
    <row r="476" spans="1:11" ht="14.4">
      <c r="A476" s="381"/>
      <c r="B476" s="58" t="s">
        <v>106</v>
      </c>
      <c r="C476" s="367">
        <v>4</v>
      </c>
      <c r="D476" s="117">
        <f>ROUNDUP((C476/2), 0)</f>
        <v>2</v>
      </c>
      <c r="E476" s="348" t="str">
        <f>DEC2HEX(((D476)*2^24),8)</f>
        <v>02000000</v>
      </c>
      <c r="F476" s="137" t="s">
        <v>800</v>
      </c>
      <c r="G476" s="458" t="s">
        <v>935</v>
      </c>
      <c r="H476" s="458" t="str">
        <f>"0x"&amp;DEC2HEX((HEX2DEC(C37)+264), 8)</f>
        <v>0x3D403108</v>
      </c>
      <c r="I476" s="493" t="str">
        <f>"0x"&amp;DEC2HEX((HEX2DEC(E476)+HEX2DEC(E477)+HEX2DEC(E478)+HEX2DEC(E479)), 8)</f>
        <v>0x0203060B</v>
      </c>
      <c r="J476" s="82"/>
    </row>
    <row r="477" spans="1:11" ht="14.4">
      <c r="A477" s="381"/>
      <c r="B477" s="74" t="s">
        <v>107</v>
      </c>
      <c r="C477" s="360">
        <v>6</v>
      </c>
      <c r="D477" s="159">
        <f>ROUNDUP((C477/2), 0)</f>
        <v>3</v>
      </c>
      <c r="E477" s="68" t="str">
        <f>DEC2HEX(((D477)*2^16),8)</f>
        <v>00030000</v>
      </c>
      <c r="F477" s="350" t="s">
        <v>800</v>
      </c>
      <c r="G477" s="479"/>
      <c r="H477" s="479"/>
      <c r="I477" s="503"/>
      <c r="J477" s="82"/>
    </row>
    <row r="478" spans="1:11" ht="14.4">
      <c r="A478" s="381"/>
      <c r="B478" s="59" t="s">
        <v>105</v>
      </c>
      <c r="C478" s="125">
        <f>C126</f>
        <v>3.6</v>
      </c>
      <c r="D478" s="83">
        <f>ROUNDUP((C477+D48+ROUNDUP(C478/C34, 0) + (0.5+D204) - (IF(C33&lt;1333, 4, 6)) -ROUNDUP((1.5/C34),0) ) /2,0)</f>
        <v>6</v>
      </c>
      <c r="E478" s="153" t="str">
        <f>DEC2HEX(((D478)*2^8),8)</f>
        <v>00000600</v>
      </c>
      <c r="F478" s="350" t="s">
        <v>800</v>
      </c>
      <c r="G478" s="459"/>
      <c r="H478" s="459"/>
      <c r="I478" s="494"/>
      <c r="J478" s="224"/>
    </row>
    <row r="479" spans="1:11" ht="15" thickBot="1">
      <c r="A479" s="381"/>
      <c r="B479" s="99" t="s">
        <v>104</v>
      </c>
      <c r="C479" s="164">
        <f>MAX(10/C34, 8)</f>
        <v>8</v>
      </c>
      <c r="D479" s="164">
        <f>ROUNDUP((C476+D48+ C479  + 1)/2, 0)</f>
        <v>11</v>
      </c>
      <c r="E479" s="354" t="str">
        <f>DEC2HEX(((D479)*2^0),8)</f>
        <v>0000000B</v>
      </c>
      <c r="F479" s="138" t="s">
        <v>800</v>
      </c>
      <c r="G479" s="460"/>
      <c r="H479" s="460"/>
      <c r="I479" s="495"/>
      <c r="J479" s="224"/>
      <c r="K479" s="25"/>
    </row>
    <row r="480" spans="1:11" ht="13.8" thickBot="1">
      <c r="A480" s="381"/>
      <c r="B480" s="77"/>
      <c r="C480" s="103"/>
      <c r="D480" s="78"/>
      <c r="E480" s="113"/>
      <c r="F480" s="225"/>
      <c r="G480" s="325"/>
      <c r="H480" s="226"/>
      <c r="I480" s="226"/>
      <c r="J480" s="18"/>
    </row>
    <row r="481" spans="1:10" ht="14.4">
      <c r="A481" s="381"/>
      <c r="B481" s="58" t="s">
        <v>110</v>
      </c>
      <c r="C481" s="92">
        <f>MAX(14/C34, 10)</f>
        <v>10</v>
      </c>
      <c r="D481" s="92">
        <f>ROUNDUP((C481)/2, 0)</f>
        <v>5</v>
      </c>
      <c r="E481" s="348" t="str">
        <f>DEC2HEX(((D481)*2^20),8)</f>
        <v>00500000</v>
      </c>
      <c r="F481" s="137" t="s">
        <v>800</v>
      </c>
      <c r="G481" s="458" t="s">
        <v>936</v>
      </c>
      <c r="H481" s="458" t="str">
        <f>"0x"&amp;DEC2HEX((HEX2DEC(C37)+268), 8)</f>
        <v>0x3D40310C</v>
      </c>
      <c r="I481" s="461" t="str">
        <f>"0x"&amp;DEC2HEX((HEX2DEC(E481)+HEX2DEC(E482)+HEX2DEC(E483)), 8)</f>
        <v>0x00505000</v>
      </c>
      <c r="J481" s="18"/>
    </row>
    <row r="482" spans="1:10" ht="14.4">
      <c r="A482" s="381"/>
      <c r="B482" s="128" t="s">
        <v>111</v>
      </c>
      <c r="C482" s="232">
        <f>MAX(14/C34, 10)</f>
        <v>10</v>
      </c>
      <c r="D482" s="118">
        <f>ROUNDUP((C482)/2, 0)</f>
        <v>5</v>
      </c>
      <c r="E482" s="349" t="str">
        <f>DEC2HEX(((D482)*2^12),8)</f>
        <v>00005000</v>
      </c>
      <c r="F482" s="350" t="s">
        <v>800</v>
      </c>
      <c r="G482" s="459"/>
      <c r="H482" s="459"/>
      <c r="I482" s="462"/>
      <c r="J482" s="18"/>
    </row>
    <row r="483" spans="1:10" ht="15" thickBot="1">
      <c r="A483" s="381"/>
      <c r="B483" s="148" t="s">
        <v>112</v>
      </c>
      <c r="C483" s="63">
        <v>0</v>
      </c>
      <c r="D483" s="115">
        <f>(C483/2)</f>
        <v>0</v>
      </c>
      <c r="E483" s="351" t="str">
        <f>DEC2HEX(((D483)*2^0),8)</f>
        <v>00000000</v>
      </c>
      <c r="F483" s="368" t="s">
        <v>800</v>
      </c>
      <c r="G483" s="460"/>
      <c r="H483" s="460"/>
      <c r="I483" s="463"/>
      <c r="J483" s="217"/>
    </row>
    <row r="484" spans="1:10" ht="13.8" thickBot="1">
      <c r="A484" s="381"/>
      <c r="B484" s="77"/>
      <c r="C484" s="103"/>
      <c r="D484" s="78"/>
      <c r="E484" s="113"/>
      <c r="F484" s="225"/>
      <c r="G484" s="325"/>
      <c r="H484" s="226"/>
      <c r="I484" s="226"/>
      <c r="J484" s="18"/>
    </row>
    <row r="485" spans="1:10" ht="14.4">
      <c r="A485" s="381"/>
      <c r="B485" s="58" t="s">
        <v>123</v>
      </c>
      <c r="C485" s="92">
        <f>IF((G40 = "Option 2"), MAX((18+1.875)/C34, 4), MAX(18/C34, 4))</f>
        <v>4</v>
      </c>
      <c r="D485" s="117">
        <f>ROUNDUP(((C485)/2),0)</f>
        <v>2</v>
      </c>
      <c r="E485" s="348" t="str">
        <f>DEC2HEX(((D485)*2^24),8)</f>
        <v>02000000</v>
      </c>
      <c r="F485" s="137" t="s">
        <v>800</v>
      </c>
      <c r="G485" s="458" t="s">
        <v>937</v>
      </c>
      <c r="H485" s="458" t="str">
        <f>"0x"&amp;DEC2HEX((HEX2DEC(C37)+272), 8)</f>
        <v>0x3D403110</v>
      </c>
      <c r="I485" s="493" t="str">
        <f>"0x"&amp;DEC2HEX((HEX2DEC(E485)+HEX2DEC(E486)+HEX2DEC(E487)+HEX2DEC(E488)), 8)</f>
        <v>0x02040202</v>
      </c>
      <c r="J485" s="18"/>
    </row>
    <row r="486" spans="1:10" ht="14.4">
      <c r="A486" s="381"/>
      <c r="B486" s="59" t="s">
        <v>124</v>
      </c>
      <c r="C486" s="61">
        <v>8</v>
      </c>
      <c r="D486" s="159">
        <f>ROUNDUP(C486/2, 0)</f>
        <v>4</v>
      </c>
      <c r="E486" s="349" t="str">
        <f>DEC2HEX(((D486)*2^16),8)</f>
        <v>00040000</v>
      </c>
      <c r="F486" s="350" t="s">
        <v>800</v>
      </c>
      <c r="G486" s="459"/>
      <c r="H486" s="459"/>
      <c r="I486" s="494"/>
      <c r="J486" s="18"/>
    </row>
    <row r="487" spans="1:10" ht="14.4">
      <c r="A487" s="381"/>
      <c r="B487" s="75" t="s">
        <v>125</v>
      </c>
      <c r="C487" s="232">
        <f>IF(G40 = "Option 2", MAX((10+1.875)/C34, 4), MAX(10/C34, 4))</f>
        <v>4</v>
      </c>
      <c r="D487" s="249">
        <f>ROUNDUP(((C487)/2),0)</f>
        <v>2</v>
      </c>
      <c r="E487" s="349" t="str">
        <f>DEC2HEX(((D487)*2^8),8)</f>
        <v>00000200</v>
      </c>
      <c r="F487" s="350" t="s">
        <v>800</v>
      </c>
      <c r="G487" s="459"/>
      <c r="H487" s="459"/>
      <c r="I487" s="494"/>
      <c r="J487" s="18"/>
    </row>
    <row r="488" spans="1:10" ht="15" thickBot="1">
      <c r="A488" s="381"/>
      <c r="B488" s="60" t="s">
        <v>126</v>
      </c>
      <c r="C488" s="164">
        <f>IF((G40 = "Option 2"), MAX((18+1.875)/C34, 4), MAX(18/C34, 4))</f>
        <v>4</v>
      </c>
      <c r="D488" s="115">
        <f>ROUNDUP((C488)/2, 0)</f>
        <v>2</v>
      </c>
      <c r="E488" s="154" t="str">
        <f>DEC2HEX(((D488)*2^0),8)</f>
        <v>00000002</v>
      </c>
      <c r="F488" s="138" t="s">
        <v>800</v>
      </c>
      <c r="G488" s="460"/>
      <c r="H488" s="460"/>
      <c r="I488" s="495"/>
      <c r="J488" s="224"/>
    </row>
    <row r="489" spans="1:10" ht="13.5" customHeight="1" thickBot="1">
      <c r="A489" s="381"/>
      <c r="B489" s="69"/>
      <c r="C489" s="70"/>
      <c r="D489" s="71"/>
      <c r="E489" s="72"/>
      <c r="F489" s="73"/>
      <c r="G489" s="36"/>
      <c r="H489" s="36"/>
      <c r="I489" s="55"/>
      <c r="J489" s="18"/>
    </row>
    <row r="490" spans="1:10" ht="14.4">
      <c r="A490" s="381"/>
      <c r="B490" s="58" t="s">
        <v>127</v>
      </c>
      <c r="C490" s="92">
        <f>MAX(1.75/C34, 3)</f>
        <v>3</v>
      </c>
      <c r="D490" s="117">
        <f>ROUNDUP(((C490/2)),0)</f>
        <v>2</v>
      </c>
      <c r="E490" s="151" t="str">
        <f>DEC2HEX(((D490)*2^24),8)</f>
        <v>02000000</v>
      </c>
      <c r="F490" s="137" t="s">
        <v>800</v>
      </c>
      <c r="G490" s="458" t="s">
        <v>938</v>
      </c>
      <c r="H490" s="458" t="str">
        <f>"0x"&amp;DEC2HEX((HEX2DEC(C37)+276), 8)</f>
        <v>0x3D403114</v>
      </c>
      <c r="I490" s="461" t="str">
        <f>"0x"&amp;DEC2HEX((HEX2DEC(E490)+HEX2DEC(E491)+HEX2DEC(E492)+HEX2DEC(E493)), 8)</f>
        <v>0x02030202</v>
      </c>
      <c r="J490" s="222"/>
    </row>
    <row r="491" spans="1:10" ht="14.4">
      <c r="A491" s="381"/>
      <c r="B491" s="59" t="s">
        <v>128</v>
      </c>
      <c r="C491" s="232">
        <f>MAX(5/C34, 5)</f>
        <v>5</v>
      </c>
      <c r="D491" s="159">
        <f>ROUNDUP(((C491)/2),0)</f>
        <v>3</v>
      </c>
      <c r="E491" s="153" t="str">
        <f>DEC2HEX(((D491)*2^16),8)</f>
        <v>00030000</v>
      </c>
      <c r="F491" s="350" t="s">
        <v>800</v>
      </c>
      <c r="G491" s="459"/>
      <c r="H491" s="459"/>
      <c r="I491" s="462"/>
      <c r="J491" s="222"/>
    </row>
    <row r="492" spans="1:10" ht="14.4">
      <c r="A492" s="381"/>
      <c r="B492" s="75" t="s">
        <v>320</v>
      </c>
      <c r="C492" s="232">
        <f>MAX(15/C34, 4)</f>
        <v>4</v>
      </c>
      <c r="D492" s="248">
        <f>ROUNDUP(((C492)/2),0)</f>
        <v>2</v>
      </c>
      <c r="E492" s="246" t="str">
        <f>DEC2HEX(((D492)*2^8),8)</f>
        <v>00000200</v>
      </c>
      <c r="F492" s="350" t="s">
        <v>800</v>
      </c>
      <c r="G492" s="459"/>
      <c r="H492" s="459"/>
      <c r="I492" s="462"/>
      <c r="J492" s="18"/>
    </row>
    <row r="493" spans="1:10" ht="15" thickBot="1">
      <c r="A493" s="381"/>
      <c r="B493" s="60" t="s">
        <v>321</v>
      </c>
      <c r="C493" s="164">
        <f>MAX(15/C34, 4)</f>
        <v>4</v>
      </c>
      <c r="D493" s="120">
        <f>ROUNDUP(((C493)/2),0)</f>
        <v>2</v>
      </c>
      <c r="E493" s="351" t="str">
        <f>DEC2HEX(((D493)*2^0),8)</f>
        <v>00000002</v>
      </c>
      <c r="F493" s="138" t="s">
        <v>800</v>
      </c>
      <c r="G493" s="460"/>
      <c r="H493" s="460"/>
      <c r="I493" s="463"/>
      <c r="J493" s="18"/>
    </row>
    <row r="494" spans="1:10" ht="13.8" thickBot="1">
      <c r="A494" s="381"/>
      <c r="B494" s="77"/>
      <c r="C494" s="103"/>
      <c r="D494" s="78"/>
      <c r="E494" s="113"/>
      <c r="F494" s="225"/>
      <c r="G494" s="325"/>
      <c r="H494" s="226"/>
      <c r="I494" s="226"/>
      <c r="J494" s="18"/>
    </row>
    <row r="495" spans="1:10">
      <c r="A495" s="381"/>
      <c r="B495" s="58" t="s">
        <v>131</v>
      </c>
      <c r="C495" s="101">
        <v>2</v>
      </c>
      <c r="D495" s="57">
        <f>(C495/2)</f>
        <v>1</v>
      </c>
      <c r="E495" s="348" t="str">
        <f>DEC2HEX(((D495)*2^24),8)</f>
        <v>01000000</v>
      </c>
      <c r="F495" s="137" t="s">
        <v>800</v>
      </c>
      <c r="G495" s="464" t="s">
        <v>939</v>
      </c>
      <c r="H495" s="465" t="str">
        <f>"0x"&amp;DEC2HEX((HEX2DEC(C37)+280), 8)</f>
        <v>0x3D403118</v>
      </c>
      <c r="I495" s="466" t="str">
        <f>"0x"&amp;DEC2HEX((HEX2DEC(E495)+HEX2DEC(E496)+HEX2DEC(E497)), 8)</f>
        <v>0x01010004</v>
      </c>
      <c r="J495" s="18"/>
    </row>
    <row r="496" spans="1:10">
      <c r="A496" s="381"/>
      <c r="B496" s="84" t="s">
        <v>130</v>
      </c>
      <c r="C496" s="100">
        <v>2</v>
      </c>
      <c r="D496" s="126">
        <f>(C496/2)</f>
        <v>1</v>
      </c>
      <c r="E496" s="347" t="str">
        <f>DEC2HEX(((D496)*2^16),8)</f>
        <v>00010000</v>
      </c>
      <c r="F496" s="350" t="s">
        <v>800</v>
      </c>
      <c r="G496" s="483"/>
      <c r="H496" s="459"/>
      <c r="I496" s="462"/>
      <c r="J496" s="18"/>
    </row>
    <row r="497" spans="1:10" ht="15" thickBot="1">
      <c r="A497" s="381"/>
      <c r="B497" s="60" t="s">
        <v>129</v>
      </c>
      <c r="C497" s="102" t="s">
        <v>0</v>
      </c>
      <c r="D497" s="115">
        <f>ROUNDUP(((C472)+2)/2,0)</f>
        <v>4</v>
      </c>
      <c r="E497" s="351" t="str">
        <f>DEC2HEX(((D497)*2^0),8)</f>
        <v>00000004</v>
      </c>
      <c r="F497" s="368" t="s">
        <v>800</v>
      </c>
      <c r="G497" s="460"/>
      <c r="H497" s="460"/>
      <c r="I497" s="463"/>
      <c r="J497" s="18"/>
    </row>
    <row r="498" spans="1:10" ht="13.8" thickBot="1">
      <c r="A498" s="381"/>
      <c r="B498" s="77"/>
      <c r="C498" s="103"/>
      <c r="D498" s="78"/>
      <c r="E498" s="113"/>
      <c r="F498" s="225"/>
      <c r="G498" s="325"/>
      <c r="H498" s="226"/>
      <c r="I498" s="226"/>
      <c r="J498" s="18"/>
    </row>
    <row r="499" spans="1:10" ht="14.4">
      <c r="A499" s="381"/>
      <c r="B499" s="58" t="s">
        <v>132</v>
      </c>
      <c r="C499" s="369">
        <f>MAX(5/C34, 5)</f>
        <v>5</v>
      </c>
      <c r="D499" s="92">
        <f>ROUNDUP((C499)/2,0)</f>
        <v>3</v>
      </c>
      <c r="E499" s="348" t="str">
        <f>DEC2HEX(((D499)*2^8),8)</f>
        <v>00000300</v>
      </c>
      <c r="F499" s="370" t="s">
        <v>800</v>
      </c>
      <c r="G499" s="464" t="s">
        <v>940</v>
      </c>
      <c r="H499" s="465" t="str">
        <f>"0x"&amp;DEC2HEX((HEX2DEC(C37)+284), 8)</f>
        <v>0x3D40311C</v>
      </c>
      <c r="I499" s="466" t="str">
        <f>"0x"&amp;DEC2HEX((HEX2DEC(E499)+HEX2DEC(E500)), 8)</f>
        <v>0x00000301</v>
      </c>
      <c r="J499" s="222"/>
    </row>
    <row r="500" spans="1:10" ht="15" thickBot="1">
      <c r="A500" s="381"/>
      <c r="B500" s="60" t="s">
        <v>133</v>
      </c>
      <c r="C500" s="364">
        <v>2</v>
      </c>
      <c r="D500" s="164">
        <f>ROUNDUP(C500/2, 0)</f>
        <v>1</v>
      </c>
      <c r="E500" s="351" t="str">
        <f>DEC2HEX(((D500)*2^0),8)</f>
        <v>00000001</v>
      </c>
      <c r="F500" s="368" t="s">
        <v>800</v>
      </c>
      <c r="G500" s="460"/>
      <c r="H500" s="460"/>
      <c r="I500" s="463"/>
      <c r="J500" s="18"/>
    </row>
    <row r="501" spans="1:10" ht="15" thickBot="1">
      <c r="A501" s="381"/>
      <c r="B501" s="76"/>
      <c r="C501" s="410"/>
      <c r="D501" s="119"/>
      <c r="E501" s="36"/>
      <c r="F501" s="409"/>
      <c r="G501" s="81"/>
      <c r="H501" s="81"/>
      <c r="I501" s="81"/>
      <c r="J501" s="18"/>
    </row>
    <row r="502" spans="1:10" ht="14.4">
      <c r="A502" s="381"/>
      <c r="B502" s="58" t="s">
        <v>237</v>
      </c>
      <c r="C502" s="92">
        <f>MAX(1.75/C34, 3)</f>
        <v>3</v>
      </c>
      <c r="D502" s="92">
        <f>ROUNDUP( (C502/2), 0)</f>
        <v>2</v>
      </c>
      <c r="E502" s="403" t="str">
        <f>DEC2HEX(((D502)*2^16),8)</f>
        <v>00020000</v>
      </c>
      <c r="F502" s="137" t="s">
        <v>800</v>
      </c>
      <c r="G502" s="467" t="s">
        <v>968</v>
      </c>
      <c r="H502" s="467" t="str">
        <f>"0x"&amp;DEC2HEX((HEX2DEC(C37)+304), 8)</f>
        <v>0x3D403130</v>
      </c>
      <c r="I502" s="470" t="str">
        <f>"0x"&amp;DEC2HEX((HEX2DEC(E502)+HEX2DEC(E503)+HEX2DEC(E504)), 8)</f>
        <v>0x00020300</v>
      </c>
      <c r="J502" s="220"/>
    </row>
    <row r="503" spans="1:10" ht="14.4">
      <c r="A503" s="381"/>
      <c r="B503" s="59" t="s">
        <v>352</v>
      </c>
      <c r="C503" s="232">
        <f>MAX(7.5/C34,5)</f>
        <v>5</v>
      </c>
      <c r="D503" s="232">
        <f>ROUNDUP( (C503/2), 0)</f>
        <v>3</v>
      </c>
      <c r="E503" s="404" t="str">
        <f>DEC2HEX(((D503)*2^8),8)</f>
        <v>00000300</v>
      </c>
      <c r="F503" s="406" t="s">
        <v>800</v>
      </c>
      <c r="G503" s="468"/>
      <c r="H503" s="468"/>
      <c r="I503" s="471"/>
      <c r="J503" s="18"/>
    </row>
    <row r="504" spans="1:10" ht="15" thickBot="1">
      <c r="A504" s="381"/>
      <c r="B504" s="60" t="s">
        <v>238</v>
      </c>
      <c r="C504" s="203" t="s">
        <v>0</v>
      </c>
      <c r="D504" s="204">
        <v>0</v>
      </c>
      <c r="E504" s="405" t="str">
        <f>DEC2HEX(((D504)*2^0),8)</f>
        <v>00000000</v>
      </c>
      <c r="F504" s="368" t="s">
        <v>800</v>
      </c>
      <c r="G504" s="469"/>
      <c r="H504" s="469"/>
      <c r="I504" s="472"/>
      <c r="J504" s="18"/>
    </row>
    <row r="505" spans="1:10" ht="15" thickBot="1">
      <c r="A505" s="381"/>
      <c r="B505" s="76"/>
      <c r="C505" s="205"/>
      <c r="D505" s="171"/>
      <c r="E505" s="36"/>
      <c r="F505" s="139"/>
      <c r="G505" s="36"/>
      <c r="H505" s="36"/>
      <c r="I505" s="55"/>
      <c r="J505" s="18"/>
    </row>
    <row r="506" spans="1:10" ht="14.4">
      <c r="A506" s="381"/>
      <c r="B506" s="58" t="s">
        <v>240</v>
      </c>
      <c r="C506" s="299">
        <f>IF(C33&lt;1066,20,IF(C33&lt;1333,22,24))</f>
        <v>20</v>
      </c>
      <c r="D506" s="92">
        <f>ROUNDUP( (C506/2), 0)</f>
        <v>10</v>
      </c>
      <c r="E506" s="403" t="str">
        <f>DEC2HEX(((D506)*2^24),8)</f>
        <v>0A000000</v>
      </c>
      <c r="F506" s="137" t="s">
        <v>800</v>
      </c>
      <c r="G506" s="467" t="s">
        <v>969</v>
      </c>
      <c r="H506" s="467" t="str">
        <f>"0x"&amp;DEC2HEX((HEX2DEC(C37)+308), 8)</f>
        <v>0x3D403134</v>
      </c>
      <c r="I506" s="470" t="str">
        <f>"0x"&amp;DEC2HEX((HEX2DEC(E506)+HEX2DEC(E507)+HEX2DEC(E508)), 8)</f>
        <v>0x0A100002</v>
      </c>
      <c r="J506" s="18"/>
    </row>
    <row r="507" spans="1:10" ht="14.4">
      <c r="A507" s="381"/>
      <c r="B507" s="59" t="s">
        <v>241</v>
      </c>
      <c r="C507" s="365">
        <v>32</v>
      </c>
      <c r="D507" s="232">
        <f>ROUNDUP( (C507/2), 0)</f>
        <v>16</v>
      </c>
      <c r="E507" s="404" t="str">
        <f>DEC2HEX(((D507)*2^16),8)</f>
        <v>00100000</v>
      </c>
      <c r="F507" s="406" t="s">
        <v>800</v>
      </c>
      <c r="G507" s="468"/>
      <c r="H507" s="468"/>
      <c r="I507" s="471"/>
      <c r="J507" s="18"/>
    </row>
    <row r="508" spans="1:10" ht="15" thickBot="1">
      <c r="A508" s="381"/>
      <c r="B508" s="60" t="s">
        <v>242</v>
      </c>
      <c r="C508" s="366">
        <v>4</v>
      </c>
      <c r="D508" s="164">
        <f>ROUNDUP( (C508/2), 0)</f>
        <v>2</v>
      </c>
      <c r="E508" s="405" t="str">
        <f>DEC2HEX(((D508)*2^0),8)</f>
        <v>00000002</v>
      </c>
      <c r="F508" s="368" t="s">
        <v>800</v>
      </c>
      <c r="G508" s="469"/>
      <c r="H508" s="469"/>
      <c r="I508" s="472"/>
      <c r="J508" s="18"/>
    </row>
    <row r="509" spans="1:10" ht="15" thickBot="1">
      <c r="A509" s="381"/>
      <c r="B509" s="76"/>
      <c r="C509" s="410"/>
      <c r="D509" s="408"/>
      <c r="E509" s="36"/>
      <c r="F509" s="409"/>
      <c r="G509" s="81"/>
      <c r="H509" s="81"/>
      <c r="I509" s="81"/>
      <c r="J509" s="18"/>
    </row>
    <row r="510" spans="1:10" ht="15" thickBot="1">
      <c r="A510" s="381"/>
      <c r="B510" s="250" t="s">
        <v>205</v>
      </c>
      <c r="C510" s="251">
        <f>MAX((C97+7.5)/C34, 2)</f>
        <v>14.375</v>
      </c>
      <c r="D510" s="252">
        <f>ROUNDUP((C510)/2,0)</f>
        <v>8</v>
      </c>
      <c r="E510" s="253" t="str">
        <f>DEC2HEX(((D510)*2^0),8)</f>
        <v>00000008</v>
      </c>
      <c r="F510" s="371" t="s">
        <v>800</v>
      </c>
      <c r="G510" s="90" t="s">
        <v>941</v>
      </c>
      <c r="H510" s="79" t="str">
        <f>"0x"&amp;DEC2HEX((HEX2DEC(C37)+312), 8)</f>
        <v>0x3D403138</v>
      </c>
      <c r="I510" s="80" t="str">
        <f>"0x"&amp;DEC2HEX((HEX2DEC(E510)), 8)</f>
        <v>0x00000008</v>
      </c>
      <c r="J510" s="222"/>
    </row>
    <row r="511" spans="1:10" ht="15" thickBot="1">
      <c r="A511" s="381"/>
      <c r="B511" s="77"/>
      <c r="C511" s="323"/>
      <c r="D511" s="119"/>
      <c r="E511" s="113"/>
      <c r="F511" s="324"/>
      <c r="G511" s="325"/>
      <c r="H511" s="226"/>
      <c r="I511" s="226"/>
      <c r="J511" s="326"/>
    </row>
    <row r="512" spans="1:10" ht="14.4">
      <c r="A512" s="381"/>
      <c r="B512" s="127" t="s">
        <v>398</v>
      </c>
      <c r="C512" s="236">
        <v>200</v>
      </c>
      <c r="D512" s="117">
        <f>ROUNDUP(((C512/C34)/2),0)</f>
        <v>5</v>
      </c>
      <c r="E512" s="348" t="str">
        <f>DEC2HEX(((D512)*2^16),8)</f>
        <v>00050000</v>
      </c>
      <c r="F512" s="370" t="s">
        <v>800</v>
      </c>
      <c r="G512" s="473" t="s">
        <v>942</v>
      </c>
      <c r="H512" s="475" t="str">
        <f>"0x"&amp;DEC2HEX((HEX2DEC(C37)+324), 8)</f>
        <v>0x3D403144</v>
      </c>
      <c r="I512" s="477" t="str">
        <f>"0x"&amp;DEC2HEX((HEX2DEC(E512)+HEX2DEC(E513)), 8)</f>
        <v>0x00050003</v>
      </c>
      <c r="J512" s="326"/>
    </row>
    <row r="513" spans="1:22" ht="15" thickBot="1">
      <c r="A513" s="381"/>
      <c r="B513" s="60" t="s">
        <v>399</v>
      </c>
      <c r="C513" s="328">
        <v>100</v>
      </c>
      <c r="D513" s="120">
        <f>ROUNDUP(((C513/C34)/2),0)</f>
        <v>3</v>
      </c>
      <c r="E513" s="351" t="str">
        <f>DEC2HEX(((D513)*2^0),8)</f>
        <v>00000003</v>
      </c>
      <c r="F513" s="368" t="s">
        <v>800</v>
      </c>
      <c r="G513" s="474"/>
      <c r="H513" s="476"/>
      <c r="I513" s="478"/>
      <c r="J513" s="222"/>
    </row>
    <row r="514" spans="1:22" ht="15" thickBot="1">
      <c r="A514" s="381"/>
      <c r="B514" s="76"/>
      <c r="C514" s="407"/>
      <c r="D514" s="119"/>
      <c r="E514" s="36"/>
      <c r="F514" s="409"/>
      <c r="G514" s="325"/>
      <c r="H514" s="226"/>
      <c r="I514" s="226"/>
      <c r="J514" s="222"/>
    </row>
    <row r="515" spans="1:22" ht="14.4">
      <c r="A515" s="381"/>
      <c r="B515" s="58" t="s">
        <v>772</v>
      </c>
      <c r="C515" s="65">
        <v>3.75</v>
      </c>
      <c r="D515" s="92">
        <f>ROUNDUP(C515/C34/2, 0) - 1</f>
        <v>0</v>
      </c>
      <c r="E515" s="355" t="str">
        <f>DEC2HEX(((D515)*2^8),8)</f>
        <v>00000000</v>
      </c>
      <c r="F515" s="137" t="s">
        <v>800</v>
      </c>
      <c r="G515" s="464" t="s">
        <v>965</v>
      </c>
      <c r="H515" s="465" t="str">
        <f>"0x"&amp;DEC2HEX((HEX2DEC(C37)+32), 8)</f>
        <v>0x3D403020</v>
      </c>
      <c r="I515" s="466" t="str">
        <f>"0x"&amp;DEC2HEX((HEX2DEC(E515)+HEX2DEC(E516)+HEX2DEC(E517)+HEX2DEC(E518)), 8)</f>
        <v>0x00000001</v>
      </c>
      <c r="J515" s="82"/>
    </row>
    <row r="516" spans="1:22" ht="14.4">
      <c r="A516" s="381"/>
      <c r="B516" s="59" t="s">
        <v>775</v>
      </c>
      <c r="C516" s="94" t="s">
        <v>0</v>
      </c>
      <c r="D516" s="232">
        <f>D177</f>
        <v>0</v>
      </c>
      <c r="E516" s="356" t="str">
        <f>DEC2HEX(((D516)*2^4),8)</f>
        <v>00000000</v>
      </c>
      <c r="F516" s="451" t="s">
        <v>800</v>
      </c>
      <c r="G516" s="459"/>
      <c r="H516" s="459"/>
      <c r="I516" s="462"/>
      <c r="J516" s="82"/>
    </row>
    <row r="517" spans="1:22" ht="14.4">
      <c r="A517" s="381"/>
      <c r="B517" s="59" t="s">
        <v>777</v>
      </c>
      <c r="C517" s="61">
        <v>1.875</v>
      </c>
      <c r="D517" s="232">
        <f>ROUNDUP(C517/C34/2, 0) - 1</f>
        <v>0</v>
      </c>
      <c r="E517" s="356" t="str">
        <f>DEC2HEX(((D517)*2^1),8)</f>
        <v>00000000</v>
      </c>
      <c r="F517" s="451" t="s">
        <v>800</v>
      </c>
      <c r="G517" s="459"/>
      <c r="H517" s="459"/>
      <c r="I517" s="462"/>
      <c r="J517" s="82"/>
    </row>
    <row r="518" spans="1:22" ht="15" thickBot="1">
      <c r="A518" s="381"/>
      <c r="B518" s="60" t="s">
        <v>779</v>
      </c>
      <c r="C518" s="97" t="s">
        <v>0</v>
      </c>
      <c r="D518" s="164">
        <f>D179</f>
        <v>1</v>
      </c>
      <c r="E518" s="357" t="str">
        <f>DEC2HEX(((D518)*2^0),8)</f>
        <v>00000001</v>
      </c>
      <c r="F518" s="138" t="s">
        <v>800</v>
      </c>
      <c r="G518" s="460"/>
      <c r="H518" s="460"/>
      <c r="I518" s="463"/>
      <c r="J518" s="82"/>
    </row>
    <row r="519" spans="1:22" ht="13.8" thickBot="1">
      <c r="A519" s="381"/>
      <c r="B519" s="77"/>
      <c r="C519" s="103"/>
      <c r="D519" s="78"/>
      <c r="E519" s="113"/>
      <c r="F519" s="225"/>
      <c r="G519" s="325"/>
      <c r="H519" s="226"/>
      <c r="I519" s="226"/>
      <c r="J519" s="18"/>
    </row>
    <row r="520" spans="1:22" ht="15" thickBot="1">
      <c r="A520" s="381"/>
      <c r="B520" s="250" t="s">
        <v>781</v>
      </c>
      <c r="C520" s="259">
        <v>32</v>
      </c>
      <c r="D520" s="422">
        <f>ROUNDUP(C520*1000000/C34/2/100, 0 )</f>
        <v>8000</v>
      </c>
      <c r="E520" s="358" t="str">
        <f>DEC2HEX(((D520)*2^0),8)</f>
        <v>00001F40</v>
      </c>
      <c r="F520" s="371" t="s">
        <v>800</v>
      </c>
      <c r="G520" s="90" t="s">
        <v>943</v>
      </c>
      <c r="H520" s="79" t="str">
        <f>"0x"&amp;DEC2HEX((HEX2DEC(C37)+36), 8)</f>
        <v>0x3D403024</v>
      </c>
      <c r="I520" s="80" t="str">
        <f>"0x"&amp;DEC2HEX(HEX2DEC(E520), 8)</f>
        <v>0x00001F40</v>
      </c>
      <c r="J520" s="82"/>
    </row>
    <row r="521" spans="1:22" ht="13.8" thickBot="1">
      <c r="A521" s="381"/>
      <c r="B521" s="77"/>
      <c r="C521" s="103"/>
      <c r="D521" s="78"/>
      <c r="E521" s="113"/>
      <c r="F521" s="225"/>
      <c r="G521" s="325"/>
      <c r="H521" s="226"/>
      <c r="I521" s="226"/>
      <c r="J521" s="18"/>
    </row>
    <row r="522" spans="1:22" ht="12.75" customHeight="1">
      <c r="A522" s="381"/>
      <c r="B522" s="58" t="s">
        <v>290</v>
      </c>
      <c r="C522" s="93" t="s">
        <v>0</v>
      </c>
      <c r="D522" s="57">
        <v>2</v>
      </c>
      <c r="E522" s="348" t="str">
        <f>DEC2HEX(((D522)*2^20),8)</f>
        <v>00200000</v>
      </c>
      <c r="F522" s="137" t="s">
        <v>800</v>
      </c>
      <c r="G522" s="458" t="s">
        <v>944</v>
      </c>
      <c r="H522" s="458" t="str">
        <f>"0x"&amp;DEC2HEX((HEX2DEC(C37)+HEX2DEC(50)), 8)</f>
        <v>0x3D403050</v>
      </c>
      <c r="I522" s="461" t="str">
        <f>"0x"&amp;DEC2HEX((HEX2DEC(E522)+HEX2DEC(E523)+HEX2DEC(E524)+HEX2DEC(E525)), 8)</f>
        <v>0x0020D040</v>
      </c>
      <c r="J522" s="66"/>
      <c r="V522"/>
    </row>
    <row r="523" spans="1:22">
      <c r="A523" s="381"/>
      <c r="B523" s="59" t="s">
        <v>292</v>
      </c>
      <c r="C523" s="94" t="s">
        <v>0</v>
      </c>
      <c r="D523" s="126">
        <v>13</v>
      </c>
      <c r="E523" s="349" t="str">
        <f>DEC2HEX(((D523)*2^12),8)</f>
        <v>0000D000</v>
      </c>
      <c r="F523" s="350" t="s">
        <v>800</v>
      </c>
      <c r="G523" s="479"/>
      <c r="H523" s="479"/>
      <c r="I523" s="481"/>
      <c r="J523" s="66"/>
      <c r="V523"/>
    </row>
    <row r="524" spans="1:22">
      <c r="A524" s="381"/>
      <c r="B524" s="59" t="s">
        <v>294</v>
      </c>
      <c r="C524" s="94" t="s">
        <v>0</v>
      </c>
      <c r="D524" s="126">
        <v>4</v>
      </c>
      <c r="E524" s="349" t="str">
        <f>DEC2HEX(((D524)*2^4),8)</f>
        <v>00000040</v>
      </c>
      <c r="F524" s="350" t="s">
        <v>800</v>
      </c>
      <c r="G524" s="479"/>
      <c r="H524" s="479"/>
      <c r="I524" s="481"/>
      <c r="J524" s="66"/>
      <c r="V524"/>
    </row>
    <row r="525" spans="1:22" ht="13.8" thickBot="1">
      <c r="A525" s="381"/>
      <c r="B525" s="60" t="s">
        <v>296</v>
      </c>
      <c r="C525" s="97" t="s">
        <v>0</v>
      </c>
      <c r="D525" s="64">
        <v>0</v>
      </c>
      <c r="E525" s="351" t="str">
        <f>DEC2HEX(((D525)*2^2),8)</f>
        <v>00000000</v>
      </c>
      <c r="F525" s="138" t="s">
        <v>800</v>
      </c>
      <c r="G525" s="480"/>
      <c r="H525" s="480"/>
      <c r="I525" s="482"/>
      <c r="J525" s="66"/>
      <c r="V525"/>
    </row>
    <row r="526" spans="1:22" ht="13.8" thickBot="1">
      <c r="A526" s="381"/>
      <c r="B526" s="76"/>
      <c r="C526" s="103"/>
      <c r="D526" s="78"/>
      <c r="E526" s="36"/>
      <c r="F526" s="411"/>
      <c r="G526" s="36"/>
      <c r="H526" s="36"/>
      <c r="I526" s="55"/>
      <c r="J526" s="66"/>
      <c r="V526"/>
    </row>
    <row r="527" spans="1:22" ht="14.4">
      <c r="A527" s="381"/>
      <c r="B527" s="58" t="s">
        <v>138</v>
      </c>
      <c r="C527" s="65" t="s">
        <v>0</v>
      </c>
      <c r="D527" s="92">
        <f>D165</f>
        <v>1</v>
      </c>
      <c r="E527" s="423" t="str">
        <f>DEC2HEX(((D527)*2^31),8)</f>
        <v>80000000</v>
      </c>
      <c r="F527" s="370" t="s">
        <v>800</v>
      </c>
      <c r="G527" s="458" t="s">
        <v>972</v>
      </c>
      <c r="H527" s="458" t="str">
        <f>"0x"&amp;DEC2HEX((HEX2DEC(C37)+384), 8)</f>
        <v>0x3D403180</v>
      </c>
      <c r="I527" s="461" t="str">
        <f>"0x"&amp;DEC2HEX((HEX2DEC(E527)+HEX2DEC(E528)+HEX2DEC(E529)+HEX2DEC(E531)+HEX2DEC(E532)), 8)</f>
        <v>0xC0190004</v>
      </c>
      <c r="J527" s="18"/>
    </row>
    <row r="528" spans="1:22" ht="14.4">
      <c r="A528" s="381"/>
      <c r="B528" s="59" t="s">
        <v>139</v>
      </c>
      <c r="C528" s="61" t="s">
        <v>0</v>
      </c>
      <c r="D528" s="232">
        <f>D166</f>
        <v>1</v>
      </c>
      <c r="E528" s="424" t="str">
        <f>DEC2HEX(((D528)*2^30),8)</f>
        <v>40000000</v>
      </c>
      <c r="F528" s="426" t="s">
        <v>800</v>
      </c>
      <c r="G528" s="479"/>
      <c r="H528" s="479"/>
      <c r="I528" s="481"/>
      <c r="J528" s="18"/>
    </row>
    <row r="529" spans="1:10" ht="14.4">
      <c r="A529" s="381"/>
      <c r="B529" s="59" t="s">
        <v>140</v>
      </c>
      <c r="C529" s="61" t="s">
        <v>0</v>
      </c>
      <c r="D529" s="232">
        <f>D167</f>
        <v>0</v>
      </c>
      <c r="E529" s="424" t="str">
        <f>DEC2HEX(((D529)*2^29),8)</f>
        <v>00000000</v>
      </c>
      <c r="F529" s="426" t="s">
        <v>800</v>
      </c>
      <c r="G529" s="479"/>
      <c r="H529" s="479"/>
      <c r="I529" s="481"/>
      <c r="J529" s="18"/>
    </row>
    <row r="530" spans="1:10" ht="14.4">
      <c r="A530" s="381"/>
      <c r="B530" s="75" t="s">
        <v>244</v>
      </c>
      <c r="C530" s="94" t="s">
        <v>0</v>
      </c>
      <c r="D530" s="207">
        <v>0</v>
      </c>
      <c r="E530" s="424" t="str">
        <f>DEC2HEX(((D530)*2^28),8)</f>
        <v>00000000</v>
      </c>
      <c r="F530" s="426" t="s">
        <v>800</v>
      </c>
      <c r="G530" s="479"/>
      <c r="H530" s="479"/>
      <c r="I530" s="481"/>
      <c r="J530" s="18"/>
    </row>
    <row r="531" spans="1:10" ht="14.4">
      <c r="A531" s="381"/>
      <c r="B531" s="75" t="s">
        <v>141</v>
      </c>
      <c r="C531" s="61">
        <v>1000</v>
      </c>
      <c r="D531" s="159">
        <f>ROUNDUP(((C531/C34)/2),0)</f>
        <v>25</v>
      </c>
      <c r="E531" s="424" t="str">
        <f>DEC2HEX(((D531)*2^16),8)</f>
        <v>00190000</v>
      </c>
      <c r="F531" s="426" t="s">
        <v>800</v>
      </c>
      <c r="G531" s="479"/>
      <c r="H531" s="479"/>
      <c r="I531" s="481"/>
      <c r="J531" s="18"/>
    </row>
    <row r="532" spans="1:10" ht="15" thickBot="1">
      <c r="A532" s="381"/>
      <c r="B532" s="60" t="s">
        <v>142</v>
      </c>
      <c r="C532" s="164">
        <f>MAX(30/C34,8)</f>
        <v>8</v>
      </c>
      <c r="D532" s="120">
        <f>ROUNDUP(((C532)/2),0)</f>
        <v>4</v>
      </c>
      <c r="E532" s="425" t="str">
        <f>DEC2HEX(((D532)*2^0),8)</f>
        <v>00000004</v>
      </c>
      <c r="F532" s="368" t="s">
        <v>800</v>
      </c>
      <c r="G532" s="480"/>
      <c r="H532" s="480"/>
      <c r="I532" s="482"/>
      <c r="J532" s="18"/>
    </row>
    <row r="533" spans="1:10" ht="13.8" thickBot="1">
      <c r="A533" s="381"/>
      <c r="B533" s="77"/>
      <c r="C533" s="103"/>
      <c r="D533" s="78"/>
      <c r="E533" s="113"/>
      <c r="F533" s="225"/>
      <c r="G533" s="325"/>
      <c r="H533" s="226"/>
      <c r="I533" s="226"/>
      <c r="J533" s="18"/>
    </row>
    <row r="534" spans="1:10">
      <c r="A534" s="381"/>
      <c r="B534" s="58" t="s">
        <v>145</v>
      </c>
      <c r="C534" s="65"/>
      <c r="D534" s="209">
        <v>3</v>
      </c>
      <c r="E534" s="348" t="str">
        <f>DEC2HEX(((D534)*2^24),8)</f>
        <v>03000000</v>
      </c>
      <c r="F534" s="370" t="s">
        <v>800</v>
      </c>
      <c r="G534" s="458" t="s">
        <v>945</v>
      </c>
      <c r="H534" s="458" t="str">
        <f>"0x"&amp;DEC2HEX((HEX2DEC(C37)+400), 8)</f>
        <v>0x3D403190</v>
      </c>
      <c r="I534" s="493" t="str">
        <f>"0x"&amp;DEC2HEX((HEX2DEC(E534)+HEX2DEC(E535)+HEX2DEC(E536)+HEX2DEC(E537)+HEX2DEC(E538)+HEX2DEC(E539)), 8)</f>
        <v>0x03818200</v>
      </c>
      <c r="J534" s="18"/>
    </row>
    <row r="535" spans="1:10">
      <c r="A535" s="381"/>
      <c r="B535" s="59" t="s">
        <v>146</v>
      </c>
      <c r="C535" s="61"/>
      <c r="D535" s="126">
        <v>1</v>
      </c>
      <c r="E535" s="349" t="str">
        <f>DEC2HEX(((D535)*2^23),8)</f>
        <v>00800000</v>
      </c>
      <c r="F535" s="350" t="s">
        <v>800</v>
      </c>
      <c r="G535" s="459"/>
      <c r="H535" s="459"/>
      <c r="I535" s="494"/>
      <c r="J535" s="18"/>
    </row>
    <row r="536" spans="1:10" ht="15.6">
      <c r="A536" s="381"/>
      <c r="B536" s="59" t="s">
        <v>147</v>
      </c>
      <c r="C536" s="61"/>
      <c r="D536" s="232">
        <f>(C477 - 5)</f>
        <v>1</v>
      </c>
      <c r="E536" s="349" t="str">
        <f>DEC2HEX(((D536)*2^16),8)</f>
        <v>00010000</v>
      </c>
      <c r="F536" s="350" t="s">
        <v>800</v>
      </c>
      <c r="G536" s="459"/>
      <c r="H536" s="459"/>
      <c r="I536" s="494"/>
      <c r="J536" s="208"/>
    </row>
    <row r="537" spans="1:10">
      <c r="A537" s="381"/>
      <c r="B537" s="59" t="s">
        <v>148</v>
      </c>
      <c r="C537" s="61"/>
      <c r="D537" s="126">
        <v>1</v>
      </c>
      <c r="E537" s="349" t="str">
        <f>DEC2HEX(((D537)*2^15),8)</f>
        <v>00008000</v>
      </c>
      <c r="F537" s="350" t="s">
        <v>800</v>
      </c>
      <c r="G537" s="459"/>
      <c r="H537" s="459"/>
      <c r="I537" s="494"/>
      <c r="J537" s="18"/>
    </row>
    <row r="538" spans="1:10">
      <c r="A538" s="381"/>
      <c r="B538" s="75" t="s">
        <v>149</v>
      </c>
      <c r="C538" s="61"/>
      <c r="D538" s="126">
        <v>2</v>
      </c>
      <c r="E538" s="349" t="str">
        <f>DEC2HEX(((D538)*2^8),8)</f>
        <v>00000200</v>
      </c>
      <c r="F538" s="350" t="s">
        <v>800</v>
      </c>
      <c r="G538" s="459"/>
      <c r="H538" s="459"/>
      <c r="I538" s="494"/>
      <c r="J538" s="18"/>
    </row>
    <row r="539" spans="1:10" ht="16.2" thickBot="1">
      <c r="A539" s="381"/>
      <c r="B539" s="148" t="s">
        <v>150</v>
      </c>
      <c r="C539" s="63"/>
      <c r="D539" s="164">
        <f>C476+1-5</f>
        <v>0</v>
      </c>
      <c r="E539" s="351" t="str">
        <f>DEC2HEX(((D539)*2^0),8)</f>
        <v>00000000</v>
      </c>
      <c r="F539" s="368" t="s">
        <v>800</v>
      </c>
      <c r="G539" s="460"/>
      <c r="H539" s="460"/>
      <c r="I539" s="495"/>
      <c r="J539" s="208"/>
    </row>
    <row r="540" spans="1:10" ht="16.2" thickBot="1">
      <c r="A540" s="381"/>
      <c r="B540" s="77"/>
      <c r="C540" s="77"/>
      <c r="D540" s="119"/>
      <c r="E540" s="36"/>
      <c r="F540" s="409"/>
      <c r="G540" s="81"/>
      <c r="H540" s="81"/>
      <c r="I540" s="397"/>
      <c r="J540" s="208"/>
    </row>
    <row r="541" spans="1:10">
      <c r="A541" s="381"/>
      <c r="B541" s="58" t="s">
        <v>246</v>
      </c>
      <c r="C541" s="65" t="s">
        <v>0</v>
      </c>
      <c r="D541" s="57">
        <v>0</v>
      </c>
      <c r="E541" s="403" t="str">
        <f>DEC2HEX(((D541)*2^28),8)</f>
        <v>00000000</v>
      </c>
      <c r="F541" s="370" t="s">
        <v>800</v>
      </c>
      <c r="G541" s="458" t="s">
        <v>977</v>
      </c>
      <c r="H541" s="458" t="str">
        <f>"0x"&amp;DEC2HEX((HEX2DEC(C37)+404), 8)</f>
        <v>0x3D403194</v>
      </c>
      <c r="I541" s="461" t="str">
        <f>"0x"&amp;DEC2HEX((HEX2DEC(E541)+HEX2DEC(E542)+HEX2DEC(E543)+HEX2DEC(E544)+HEX2DEC(E545)), 8)</f>
        <v>0x00080303</v>
      </c>
      <c r="J541" s="18"/>
    </row>
    <row r="542" spans="1:10">
      <c r="A542" s="381"/>
      <c r="B542" s="59" t="s">
        <v>248</v>
      </c>
      <c r="C542" s="61" t="s">
        <v>0</v>
      </c>
      <c r="D542" s="126">
        <v>0</v>
      </c>
      <c r="E542" s="404" t="str">
        <f>DEC2HEX(((D542)*2^24),8)</f>
        <v>00000000</v>
      </c>
      <c r="F542" s="406" t="s">
        <v>800</v>
      </c>
      <c r="G542" s="459"/>
      <c r="H542" s="459"/>
      <c r="I542" s="462"/>
      <c r="J542" s="18"/>
    </row>
    <row r="543" spans="1:10" ht="14.4">
      <c r="A543" s="381"/>
      <c r="B543" s="59" t="s">
        <v>151</v>
      </c>
      <c r="C543" s="61" t="s">
        <v>0</v>
      </c>
      <c r="D543" s="125">
        <f>ROUNDUP((6 + D48 + D249)/2, 0)</f>
        <v>8</v>
      </c>
      <c r="E543" s="404" t="str">
        <f>DEC2HEX(((D543)*2^16),8)</f>
        <v>00080000</v>
      </c>
      <c r="F543" s="406" t="s">
        <v>800</v>
      </c>
      <c r="G543" s="459"/>
      <c r="H543" s="459"/>
      <c r="I543" s="462"/>
      <c r="J543" s="18"/>
    </row>
    <row r="544" spans="1:10">
      <c r="A544" s="381"/>
      <c r="B544" s="59" t="s">
        <v>152</v>
      </c>
      <c r="C544" s="61" t="s">
        <v>0</v>
      </c>
      <c r="D544" s="126">
        <v>3</v>
      </c>
      <c r="E544" s="404" t="str">
        <f>DEC2HEX(((D544)*2^8),8)</f>
        <v>00000300</v>
      </c>
      <c r="F544" s="406" t="s">
        <v>800</v>
      </c>
      <c r="G544" s="459"/>
      <c r="H544" s="459"/>
      <c r="I544" s="462"/>
      <c r="J544" s="18"/>
    </row>
    <row r="545" spans="1:11" ht="13.8" thickBot="1">
      <c r="A545" s="381"/>
      <c r="B545" s="60" t="s">
        <v>153</v>
      </c>
      <c r="C545" s="63" t="s">
        <v>0</v>
      </c>
      <c r="D545" s="64">
        <v>3</v>
      </c>
      <c r="E545" s="405" t="str">
        <f>DEC2HEX(((D545)*2^0),8)</f>
        <v>00000003</v>
      </c>
      <c r="F545" s="368" t="s">
        <v>800</v>
      </c>
      <c r="G545" s="460"/>
      <c r="H545" s="460"/>
      <c r="I545" s="463"/>
      <c r="J545" s="18"/>
    </row>
    <row r="546" spans="1:11" ht="16.2" thickBot="1">
      <c r="A546" s="381"/>
      <c r="B546" s="77"/>
      <c r="C546" s="77"/>
      <c r="D546" s="119"/>
      <c r="E546" s="36"/>
      <c r="F546" s="409"/>
      <c r="G546" s="81"/>
      <c r="H546" s="81"/>
      <c r="I546" s="397"/>
      <c r="J546" s="208"/>
    </row>
    <row r="547" spans="1:11" ht="14.4">
      <c r="A547" s="381"/>
      <c r="B547" s="58" t="s">
        <v>251</v>
      </c>
      <c r="C547" s="93" t="s">
        <v>0</v>
      </c>
      <c r="D547" s="92">
        <f>(C477-5)</f>
        <v>1</v>
      </c>
      <c r="E547" s="403" t="str">
        <f>DEC2HEX(((D547)*2^8),8)</f>
        <v>00000100</v>
      </c>
      <c r="F547" s="370" t="s">
        <v>800</v>
      </c>
      <c r="G547" s="465" t="s">
        <v>946</v>
      </c>
      <c r="H547" s="465" t="str">
        <f>"0x"&amp;DEC2HEX((HEX2DEC(C37)+436), 8)</f>
        <v>0x3D4031B4</v>
      </c>
      <c r="I547" s="461" t="str">
        <f>"0x"&amp;DEC2HEX((HEX2DEC(E547)+HEX2DEC(E548)), 8)</f>
        <v>0x00000100</v>
      </c>
      <c r="J547" s="18"/>
    </row>
    <row r="548" spans="1:11" ht="15" thickBot="1">
      <c r="A548" s="381"/>
      <c r="B548" s="60" t="s">
        <v>252</v>
      </c>
      <c r="C548" s="97" t="s">
        <v>0</v>
      </c>
      <c r="D548" s="164">
        <f>(C476+1-5)</f>
        <v>0</v>
      </c>
      <c r="E548" s="405" t="str">
        <f>DEC2HEX(((D548)*2^0),8)</f>
        <v>00000000</v>
      </c>
      <c r="F548" s="368" t="s">
        <v>800</v>
      </c>
      <c r="G548" s="460"/>
      <c r="H548" s="460"/>
      <c r="I548" s="482"/>
      <c r="J548" s="18"/>
    </row>
    <row r="549" spans="1:11" ht="13.8" thickBot="1">
      <c r="A549" s="381"/>
      <c r="B549" s="77"/>
      <c r="C549" s="103"/>
      <c r="D549" s="78"/>
      <c r="E549" s="113"/>
      <c r="F549" s="225"/>
      <c r="G549" s="325"/>
      <c r="H549" s="226"/>
      <c r="I549" s="226"/>
      <c r="J549" s="18"/>
    </row>
    <row r="550" spans="1:11" ht="14.4">
      <c r="A550" s="381"/>
      <c r="B550" s="127" t="s">
        <v>136</v>
      </c>
      <c r="C550" s="92">
        <f>C96</f>
        <v>3904</v>
      </c>
      <c r="D550" s="117">
        <f>MAX(ROUNDDOWN(((C550/C34)/64), 0), 3)</f>
        <v>3</v>
      </c>
      <c r="E550" s="449" t="str">
        <f>DEC2HEX(((D550)*2^16),8)</f>
        <v>00030000</v>
      </c>
      <c r="F550" s="370" t="s">
        <v>800</v>
      </c>
      <c r="G550" s="458" t="s">
        <v>947</v>
      </c>
      <c r="H550" s="458" t="str">
        <f>"0x"&amp;DEC2HEX((HEX2DEC(C37)+HEX2DEC(64)), 8)</f>
        <v>0x3D403064</v>
      </c>
      <c r="I550" s="461" t="str">
        <f>"0x"&amp;DEC2HEX((HEX2DEC(E550)+HEX2DEC(E551)), 8)</f>
        <v>0x00030007</v>
      </c>
      <c r="J550" s="217"/>
      <c r="K550" s="66"/>
    </row>
    <row r="551" spans="1:11" ht="15" thickBot="1">
      <c r="A551" s="381"/>
      <c r="B551" s="148" t="s">
        <v>137</v>
      </c>
      <c r="C551" s="164">
        <f>C97</f>
        <v>280</v>
      </c>
      <c r="D551" s="115">
        <f>ROUNDUP((C551/C34/2),0)</f>
        <v>7</v>
      </c>
      <c r="E551" s="450" t="str">
        <f>DEC2HEX(((D551)*2^0),8)</f>
        <v>00000007</v>
      </c>
      <c r="F551" s="368" t="s">
        <v>800</v>
      </c>
      <c r="G551" s="460"/>
      <c r="H551" s="460"/>
      <c r="I551" s="463"/>
      <c r="J551" s="18"/>
      <c r="K551" s="66"/>
    </row>
    <row r="552" spans="1:11" ht="13.8" thickBot="1">
      <c r="A552" s="381"/>
      <c r="B552" s="77"/>
      <c r="C552" s="103"/>
      <c r="D552" s="78"/>
      <c r="E552" s="113"/>
      <c r="F552" s="225"/>
      <c r="G552" s="325"/>
      <c r="H552" s="226"/>
      <c r="I552" s="226"/>
      <c r="J552" s="18"/>
    </row>
    <row r="553" spans="1:11" s="8" customFormat="1" ht="39.6">
      <c r="A553" s="381"/>
      <c r="B553" s="182" t="s">
        <v>263</v>
      </c>
      <c r="C553" s="255" t="s">
        <v>0</v>
      </c>
      <c r="D553" s="256">
        <v>1</v>
      </c>
      <c r="E553" s="183" t="str">
        <f>DEC2HEX(((D553)*2^23),8)</f>
        <v>00800000</v>
      </c>
      <c r="F553" s="370" t="s">
        <v>800</v>
      </c>
      <c r="G553" s="510" t="s">
        <v>948</v>
      </c>
      <c r="H553" s="484" t="str">
        <f>"0x"&amp;DEC2HEX((HEX2DEC(C37)+220), 8)</f>
        <v>0x3D4030DC</v>
      </c>
      <c r="I553" s="513" t="str">
        <f>"0x"&amp;DEC2HEX((HEX2DEC(E553)+HEX2DEC(E554)+HEX2DEC(E555)+HEX2DEC(E556)+HEX2DEC(E557)+HEX2DEC(E558)+HEX2DEC(E559)+HEX2DEC(E560)+HEX2DEC(E561)),8)</f>
        <v>0x00840000</v>
      </c>
    </row>
    <row r="554" spans="1:11" s="8" customFormat="1" ht="39.6">
      <c r="A554" s="381"/>
      <c r="B554" s="184" t="s">
        <v>264</v>
      </c>
      <c r="C554" s="177" t="s">
        <v>0</v>
      </c>
      <c r="D554" s="129">
        <f>D560</f>
        <v>0</v>
      </c>
      <c r="E554" s="110" t="str">
        <f>DEC2HEX(((D554)*2^20),8)</f>
        <v>00000000</v>
      </c>
      <c r="F554" s="350" t="s">
        <v>800</v>
      </c>
      <c r="G554" s="511"/>
      <c r="H554" s="485"/>
      <c r="I554" s="514"/>
    </row>
    <row r="555" spans="1:11" s="8" customFormat="1" ht="39.6">
      <c r="A555" s="381"/>
      <c r="B555" s="176" t="s">
        <v>265</v>
      </c>
      <c r="C555" s="177" t="s">
        <v>0</v>
      </c>
      <c r="D555" s="243">
        <v>0</v>
      </c>
      <c r="E555" s="110" t="str">
        <f>DEC2HEX(((D555)*2^19),8)</f>
        <v>00000000</v>
      </c>
      <c r="F555" s="350" t="s">
        <v>800</v>
      </c>
      <c r="G555" s="511"/>
      <c r="H555" s="485"/>
      <c r="I555" s="514"/>
    </row>
    <row r="556" spans="1:11" s="8" customFormat="1" ht="39.6">
      <c r="A556" s="381"/>
      <c r="B556" s="176" t="s">
        <v>266</v>
      </c>
      <c r="C556" s="177" t="s">
        <v>0</v>
      </c>
      <c r="D556" s="243">
        <v>1</v>
      </c>
      <c r="E556" s="110" t="str">
        <f>DEC2HEX(((D556)*2^18),8)</f>
        <v>00040000</v>
      </c>
      <c r="F556" s="350" t="s">
        <v>800</v>
      </c>
      <c r="G556" s="511"/>
      <c r="H556" s="485"/>
      <c r="I556" s="514"/>
    </row>
    <row r="557" spans="1:11" s="8" customFormat="1" ht="27" thickBot="1">
      <c r="A557" s="381"/>
      <c r="B557" s="180" t="s">
        <v>267</v>
      </c>
      <c r="C557" s="181" t="s">
        <v>0</v>
      </c>
      <c r="D557" s="354">
        <v>0</v>
      </c>
      <c r="E557" s="173" t="str">
        <f>DEC2HEX(((D557)*2^16),8)</f>
        <v>00000000</v>
      </c>
      <c r="F557" s="368" t="s">
        <v>800</v>
      </c>
      <c r="G557" s="511"/>
      <c r="H557" s="485"/>
      <c r="I557" s="514"/>
    </row>
    <row r="558" spans="1:11" s="8" customFormat="1" ht="26.4">
      <c r="A558" s="381"/>
      <c r="B558" s="186" t="s">
        <v>268</v>
      </c>
      <c r="C558" s="187" t="s">
        <v>0</v>
      </c>
      <c r="D558" s="174">
        <v>0</v>
      </c>
      <c r="E558" s="172" t="str">
        <f>DEC2HEX(((D558)*2^7),8)</f>
        <v>00000000</v>
      </c>
      <c r="F558" s="370" t="s">
        <v>800</v>
      </c>
      <c r="G558" s="511"/>
      <c r="H558" s="485"/>
      <c r="I558" s="514"/>
    </row>
    <row r="559" spans="1:11" s="8" customFormat="1" ht="26.4">
      <c r="A559" s="381"/>
      <c r="B559" s="186" t="s">
        <v>269</v>
      </c>
      <c r="C559" s="177" t="s">
        <v>0</v>
      </c>
      <c r="D559" s="175">
        <v>0</v>
      </c>
      <c r="E559" s="172" t="str">
        <f>DEC2HEX(((D559)*2^6),8)</f>
        <v>00000000</v>
      </c>
      <c r="F559" s="350" t="s">
        <v>800</v>
      </c>
      <c r="G559" s="511"/>
      <c r="H559" s="485"/>
      <c r="I559" s="514"/>
    </row>
    <row r="560" spans="1:11" s="8" customFormat="1" ht="26.4">
      <c r="A560" s="381"/>
      <c r="B560" s="186" t="s">
        <v>270</v>
      </c>
      <c r="C560" s="177" t="s">
        <v>0</v>
      </c>
      <c r="D560" s="129">
        <f>(C476-4)/2</f>
        <v>0</v>
      </c>
      <c r="E560" s="172" t="str">
        <f>DEC2HEX(((D560)*2^3),8)</f>
        <v>00000000</v>
      </c>
      <c r="F560" s="350" t="s">
        <v>800</v>
      </c>
      <c r="G560" s="511"/>
      <c r="H560" s="485"/>
      <c r="I560" s="514"/>
    </row>
    <row r="561" spans="1:10" s="8" customFormat="1" ht="27" thickBot="1">
      <c r="A561" s="381"/>
      <c r="B561" s="189" t="s">
        <v>271</v>
      </c>
      <c r="C561" s="181" t="s">
        <v>0</v>
      </c>
      <c r="D561" s="130">
        <f>D560</f>
        <v>0</v>
      </c>
      <c r="E561" s="190" t="str">
        <f>DEC2HEX(((D561)*2^0),8)</f>
        <v>00000000</v>
      </c>
      <c r="F561" s="368" t="s">
        <v>800</v>
      </c>
      <c r="G561" s="512"/>
      <c r="H561" s="486"/>
      <c r="I561" s="515"/>
    </row>
    <row r="562" spans="1:10" ht="13.8" thickBot="1">
      <c r="A562" s="381"/>
      <c r="B562" s="77"/>
      <c r="C562" s="103"/>
      <c r="D562" s="78"/>
      <c r="E562" s="113"/>
      <c r="F562" s="225"/>
      <c r="G562" s="325"/>
      <c r="H562" s="226"/>
      <c r="I562" s="226"/>
      <c r="J562" s="18"/>
    </row>
    <row r="563" spans="1:10" s="8" customFormat="1">
      <c r="A563" s="381"/>
      <c r="B563" s="302" t="s">
        <v>357</v>
      </c>
      <c r="C563" s="167" t="s">
        <v>0</v>
      </c>
      <c r="D563" s="223">
        <v>6</v>
      </c>
      <c r="E563" s="294" t="str">
        <f>DEC2HEX(((D563)*2^20),8)</f>
        <v>00600000</v>
      </c>
      <c r="F563" s="370" t="s">
        <v>800</v>
      </c>
      <c r="G563" s="516" t="s">
        <v>949</v>
      </c>
      <c r="H563" s="519" t="str">
        <f>"0x"&amp;DEC2HEX((HEX2DEC(C37)+232), 8)</f>
        <v>0x3D4030E8</v>
      </c>
      <c r="I563" s="520" t="str">
        <f>"0x"&amp;DEC2HEX((HEX2DEC(E563)+HEX2DEC(E564)+HEX2DEC(E565)+HEX2DEC(E566)), 8)</f>
        <v>0x0066004A</v>
      </c>
    </row>
    <row r="564" spans="1:10" s="8" customFormat="1">
      <c r="A564" s="381"/>
      <c r="B564" s="304" t="s">
        <v>358</v>
      </c>
      <c r="C564" s="104" t="s">
        <v>0</v>
      </c>
      <c r="D564" s="221">
        <v>6</v>
      </c>
      <c r="E564" s="87" t="str">
        <f>DEC2HEX(((D564)*2^16),8)</f>
        <v>00060000</v>
      </c>
      <c r="F564" s="350" t="s">
        <v>800</v>
      </c>
      <c r="G564" s="517"/>
      <c r="H564" s="517"/>
      <c r="I564" s="521"/>
    </row>
    <row r="565" spans="1:10" s="8" customFormat="1">
      <c r="A565" s="381"/>
      <c r="B565" s="304" t="s">
        <v>359</v>
      </c>
      <c r="C565" s="104" t="s">
        <v>0</v>
      </c>
      <c r="D565" s="352">
        <v>1</v>
      </c>
      <c r="E565" s="87" t="str">
        <f>DEC2HEX(((D565)*2^6),8)</f>
        <v>00000040</v>
      </c>
      <c r="F565" s="350" t="s">
        <v>800</v>
      </c>
      <c r="G565" s="517"/>
      <c r="H565" s="517"/>
      <c r="I565" s="521"/>
    </row>
    <row r="566" spans="1:10" s="8" customFormat="1" ht="13.8" thickBot="1">
      <c r="A566" s="381"/>
      <c r="B566" s="305" t="s">
        <v>360</v>
      </c>
      <c r="C566" s="106" t="s">
        <v>0</v>
      </c>
      <c r="D566" s="353">
        <v>10</v>
      </c>
      <c r="E566" s="293" t="str">
        <f>DEC2HEX(((D566)*2^0),8)</f>
        <v>0000000A</v>
      </c>
      <c r="F566" s="368" t="s">
        <v>800</v>
      </c>
      <c r="G566" s="518"/>
      <c r="H566" s="518"/>
      <c r="I566" s="522"/>
    </row>
    <row r="567" spans="1:10" ht="13.8" thickBot="1">
      <c r="A567" s="381"/>
      <c r="B567" s="77"/>
      <c r="C567" s="103"/>
      <c r="D567" s="78"/>
      <c r="E567" s="113"/>
      <c r="F567" s="225"/>
      <c r="G567" s="325"/>
      <c r="H567" s="226"/>
      <c r="I567" s="226"/>
      <c r="J567" s="18"/>
    </row>
    <row r="568" spans="1:10" s="8" customFormat="1">
      <c r="A568" s="381"/>
      <c r="B568" s="302" t="s">
        <v>374</v>
      </c>
      <c r="C568" s="167" t="s">
        <v>0</v>
      </c>
      <c r="D568" s="223">
        <v>0</v>
      </c>
      <c r="E568" s="294" t="str">
        <f>DEC2HEX(((D568)*2^21),8)</f>
        <v>00000000</v>
      </c>
      <c r="F568" s="370" t="s">
        <v>800</v>
      </c>
      <c r="G568" s="496" t="s">
        <v>950</v>
      </c>
      <c r="H568" s="499" t="str">
        <f>"0x"&amp;DEC2HEX((HEX2DEC(C37)+236), 8)</f>
        <v>0x3D4030EC</v>
      </c>
      <c r="I568" s="500" t="str">
        <f>"0x"&amp;DEC2HEX((HEX2DEC(E568)+HEX2DEC(E569)+HEX2DEC(E570)+HEX2DEC(E571)+HEX2DEC(E572)+HEX2DEC(E573)), 8)</f>
        <v>0x0016004A</v>
      </c>
    </row>
    <row r="569" spans="1:10" s="8" customFormat="1">
      <c r="A569" s="381"/>
      <c r="B569" s="304" t="s">
        <v>375</v>
      </c>
      <c r="C569" s="104" t="s">
        <v>0</v>
      </c>
      <c r="D569" s="221">
        <v>1</v>
      </c>
      <c r="E569" s="87" t="str">
        <f>DEC2HEX(((D569)*2^20),8)</f>
        <v>00100000</v>
      </c>
      <c r="F569" s="350" t="s">
        <v>800</v>
      </c>
      <c r="G569" s="497"/>
      <c r="H569" s="497"/>
      <c r="I569" s="501"/>
    </row>
    <row r="570" spans="1:10" s="8" customFormat="1">
      <c r="A570" s="381"/>
      <c r="B570" s="304" t="s">
        <v>376</v>
      </c>
      <c r="C570" s="104" t="s">
        <v>0</v>
      </c>
      <c r="D570" s="221">
        <v>0</v>
      </c>
      <c r="E570" s="87" t="str">
        <f>DEC2HEX(((D570)*2^19),8)</f>
        <v>00000000</v>
      </c>
      <c r="F570" s="350" t="s">
        <v>800</v>
      </c>
      <c r="G570" s="497"/>
      <c r="H570" s="497"/>
      <c r="I570" s="501"/>
    </row>
    <row r="571" spans="1:10" s="8" customFormat="1">
      <c r="A571" s="381"/>
      <c r="B571" s="304" t="s">
        <v>377</v>
      </c>
      <c r="C571" s="104" t="s">
        <v>0</v>
      </c>
      <c r="D571" s="221">
        <v>6</v>
      </c>
      <c r="E571" s="87" t="str">
        <f>DEC2HEX(((D571)*2^16),8)</f>
        <v>00060000</v>
      </c>
      <c r="F571" s="350" t="s">
        <v>800</v>
      </c>
      <c r="G571" s="497"/>
      <c r="H571" s="497"/>
      <c r="I571" s="501"/>
    </row>
    <row r="572" spans="1:10" s="8" customFormat="1">
      <c r="A572" s="381"/>
      <c r="B572" s="304" t="s">
        <v>378</v>
      </c>
      <c r="C572" s="104" t="s">
        <v>0</v>
      </c>
      <c r="D572" s="352">
        <v>1</v>
      </c>
      <c r="E572" s="87" t="str">
        <f>DEC2HEX(((D572)*2^6),8)</f>
        <v>00000040</v>
      </c>
      <c r="F572" s="350" t="s">
        <v>800</v>
      </c>
      <c r="G572" s="497"/>
      <c r="H572" s="497"/>
      <c r="I572" s="501"/>
    </row>
    <row r="573" spans="1:10" s="8" customFormat="1" ht="13.8" thickBot="1">
      <c r="A573" s="381"/>
      <c r="B573" s="305" t="s">
        <v>379</v>
      </c>
      <c r="C573" s="106" t="s">
        <v>0</v>
      </c>
      <c r="D573" s="353">
        <v>10</v>
      </c>
      <c r="E573" s="293" t="str">
        <f>DEC2HEX(((D573)*2^0),8)</f>
        <v>0000000A</v>
      </c>
      <c r="F573" s="368" t="s">
        <v>800</v>
      </c>
      <c r="G573" s="498"/>
      <c r="H573" s="498"/>
      <c r="I573" s="502"/>
    </row>
    <row r="574" spans="1:10" ht="13.8" thickBot="1">
      <c r="A574" s="381"/>
      <c r="B574" s="77"/>
      <c r="C574" s="103"/>
      <c r="D574" s="78"/>
      <c r="E574" s="113"/>
      <c r="F574" s="225"/>
      <c r="G574" s="325"/>
      <c r="H574" s="226"/>
      <c r="I574" s="226"/>
      <c r="J574" s="18"/>
    </row>
    <row r="575" spans="1:10" s="8" customFormat="1" ht="39.6">
      <c r="A575" s="381"/>
      <c r="B575" s="195" t="s">
        <v>272</v>
      </c>
      <c r="C575" s="167" t="s">
        <v>0</v>
      </c>
      <c r="D575" s="218">
        <f>D216</f>
        <v>0</v>
      </c>
      <c r="E575" s="294" t="str">
        <f>DEC2HEX(((D575)*2^23),8)</f>
        <v>00000000</v>
      </c>
      <c r="F575" s="370" t="s">
        <v>800</v>
      </c>
      <c r="G575" s="504" t="s">
        <v>951</v>
      </c>
      <c r="H575" s="465" t="str">
        <f>"0x"&amp;DEC2HEX((HEX2DEC(C37)+224), 8)</f>
        <v>0x3D4030E0</v>
      </c>
      <c r="I575" s="466" t="str">
        <f>"0x"&amp;DEC2HEX((HEX2DEC(E575)+HEX2DEC(E576)+HEX2DEC(E577)+HEX2DEC(E578)+HEX2DEC(E579)+HEX2DEC(E580)+HEX2DEC(E581)+HEX2DEC(E582)+HEX2DEC(E583)+HEX2DEC(E584)+HEX2DEC(E585)+HEX2DEC(E586)+HEX2DEC(E587)+HEX2DEC(E588) ), 8)</f>
        <v>0x00310000</v>
      </c>
    </row>
    <row r="576" spans="1:10" s="8" customFormat="1" ht="26.4">
      <c r="A576" s="381"/>
      <c r="B576" s="108" t="s">
        <v>273</v>
      </c>
      <c r="C576" s="104" t="s">
        <v>0</v>
      </c>
      <c r="D576" s="129">
        <f>D217</f>
        <v>0</v>
      </c>
      <c r="E576" s="88" t="str">
        <f>DEC2HEX(((D576)*2^22),8)</f>
        <v>00000000</v>
      </c>
      <c r="F576" s="401" t="s">
        <v>800</v>
      </c>
      <c r="G576" s="505"/>
      <c r="H576" s="459"/>
      <c r="I576" s="462"/>
    </row>
    <row r="577" spans="1:10" s="8" customFormat="1" ht="39.6">
      <c r="A577" s="381"/>
      <c r="B577" s="108" t="s">
        <v>274</v>
      </c>
      <c r="C577" s="104" t="s">
        <v>0</v>
      </c>
      <c r="D577" s="105">
        <v>6</v>
      </c>
      <c r="E577" s="88" t="str">
        <f>DEC2HEX(((D577)*2^19),8)</f>
        <v>00300000</v>
      </c>
      <c r="F577" s="401" t="s">
        <v>800</v>
      </c>
      <c r="G577" s="505"/>
      <c r="H577" s="459"/>
      <c r="I577" s="462"/>
    </row>
    <row r="578" spans="1:10" s="8" customFormat="1" ht="39.6">
      <c r="A578" s="381"/>
      <c r="B578" s="108" t="s">
        <v>275</v>
      </c>
      <c r="C578" s="104" t="s">
        <v>0</v>
      </c>
      <c r="D578" s="201">
        <v>0</v>
      </c>
      <c r="E578" s="88" t="str">
        <f>DEC2HEX(((D578)*2^18),8)</f>
        <v>00000000</v>
      </c>
      <c r="F578" s="401" t="s">
        <v>800</v>
      </c>
      <c r="G578" s="505"/>
      <c r="H578" s="459"/>
      <c r="I578" s="462"/>
    </row>
    <row r="579" spans="1:10" s="8" customFormat="1" ht="39.6">
      <c r="A579" s="381"/>
      <c r="B579" s="108" t="s">
        <v>276</v>
      </c>
      <c r="C579" s="104" t="s">
        <v>0</v>
      </c>
      <c r="D579" s="105">
        <v>0</v>
      </c>
      <c r="E579" s="88" t="str">
        <f>DEC2HEX(((D579)*2^17),8)</f>
        <v>00000000</v>
      </c>
      <c r="F579" s="401" t="s">
        <v>800</v>
      </c>
      <c r="G579" s="505"/>
      <c r="H579" s="459"/>
      <c r="I579" s="462"/>
    </row>
    <row r="580" spans="1:10" s="8" customFormat="1" ht="40.200000000000003" thickBot="1">
      <c r="A580" s="381"/>
      <c r="B580" s="85" t="s">
        <v>277</v>
      </c>
      <c r="C580" s="106" t="s">
        <v>0</v>
      </c>
      <c r="D580" s="193">
        <v>1</v>
      </c>
      <c r="E580" s="107" t="str">
        <f>DEC2HEX(((D580)*2^16),8)</f>
        <v>00010000</v>
      </c>
      <c r="F580" s="368" t="s">
        <v>800</v>
      </c>
      <c r="G580" s="505"/>
      <c r="H580" s="459"/>
      <c r="I580" s="462"/>
    </row>
    <row r="581" spans="1:10" s="8" customFormat="1" ht="39.6">
      <c r="A581" s="381"/>
      <c r="B581" s="197" t="s">
        <v>278</v>
      </c>
      <c r="C581" s="169" t="s">
        <v>0</v>
      </c>
      <c r="D581" s="200">
        <v>0</v>
      </c>
      <c r="E581" s="87" t="str">
        <f>DEC2HEX(((D581)*2^7),8)</f>
        <v>00000000</v>
      </c>
      <c r="F581" s="370" t="s">
        <v>800</v>
      </c>
      <c r="G581" s="505"/>
      <c r="H581" s="459"/>
      <c r="I581" s="462"/>
    </row>
    <row r="582" spans="1:10" s="8" customFormat="1" ht="39.6">
      <c r="A582" s="381"/>
      <c r="B582" s="198" t="s">
        <v>279</v>
      </c>
      <c r="C582" s="104" t="s">
        <v>0</v>
      </c>
      <c r="D582" s="201">
        <v>0</v>
      </c>
      <c r="E582" s="88" t="str">
        <f>DEC2HEX(((D582)*2^6),8)</f>
        <v>00000000</v>
      </c>
      <c r="F582" s="401" t="s">
        <v>800</v>
      </c>
      <c r="G582" s="505"/>
      <c r="H582" s="459"/>
      <c r="I582" s="462"/>
    </row>
    <row r="583" spans="1:10" s="8" customFormat="1" ht="26.4">
      <c r="A583" s="381"/>
      <c r="B583" s="198" t="s">
        <v>280</v>
      </c>
      <c r="C583" s="104" t="s">
        <v>0</v>
      </c>
      <c r="D583" s="105">
        <v>0</v>
      </c>
      <c r="E583" s="88" t="str">
        <f>DEC2HEX(((D583)*2^5),8)</f>
        <v>00000000</v>
      </c>
      <c r="F583" s="401" t="s">
        <v>800</v>
      </c>
      <c r="G583" s="505"/>
      <c r="H583" s="459"/>
      <c r="I583" s="462"/>
    </row>
    <row r="584" spans="1:10" s="8" customFormat="1" ht="26.4">
      <c r="A584" s="381"/>
      <c r="B584" s="198" t="s">
        <v>281</v>
      </c>
      <c r="C584" s="104" t="s">
        <v>0</v>
      </c>
      <c r="D584" s="201">
        <v>0</v>
      </c>
      <c r="E584" s="88" t="str">
        <f>DEC2HEX(((D584)*2^4),8)</f>
        <v>00000000</v>
      </c>
      <c r="F584" s="401" t="s">
        <v>800</v>
      </c>
      <c r="G584" s="505"/>
      <c r="H584" s="459"/>
      <c r="I584" s="462"/>
    </row>
    <row r="585" spans="1:10" s="8" customFormat="1" ht="39.6">
      <c r="A585" s="381"/>
      <c r="B585" s="198" t="s">
        <v>282</v>
      </c>
      <c r="C585" s="104" t="s">
        <v>0</v>
      </c>
      <c r="D585" s="201">
        <v>0</v>
      </c>
      <c r="E585" s="88" t="str">
        <f>DEC2HEX(((D585)*2^3),8)</f>
        <v>00000000</v>
      </c>
      <c r="F585" s="401" t="s">
        <v>800</v>
      </c>
      <c r="G585" s="505"/>
      <c r="H585" s="459"/>
      <c r="I585" s="462"/>
    </row>
    <row r="586" spans="1:10" s="8" customFormat="1" ht="26.4">
      <c r="A586" s="381"/>
      <c r="B586" s="198" t="s">
        <v>283</v>
      </c>
      <c r="C586" s="104" t="s">
        <v>0</v>
      </c>
      <c r="D586" s="201">
        <v>0</v>
      </c>
      <c r="E586" s="88" t="str">
        <f>DEC2HEX(((D586)*2^2),8)</f>
        <v>00000000</v>
      </c>
      <c r="F586" s="401" t="s">
        <v>800</v>
      </c>
      <c r="G586" s="505"/>
      <c r="H586" s="459"/>
      <c r="I586" s="462"/>
    </row>
    <row r="587" spans="1:10" s="8" customFormat="1" ht="39.6">
      <c r="A587" s="381"/>
      <c r="B587" s="198" t="s">
        <v>284</v>
      </c>
      <c r="C587" s="104" t="s">
        <v>0</v>
      </c>
      <c r="D587" s="201">
        <v>0</v>
      </c>
      <c r="E587" s="88" t="str">
        <f>DEC2HEX(((D587)*2^1),8)</f>
        <v>00000000</v>
      </c>
      <c r="F587" s="401" t="s">
        <v>800</v>
      </c>
      <c r="G587" s="505"/>
      <c r="H587" s="459"/>
      <c r="I587" s="462"/>
    </row>
    <row r="588" spans="1:10" s="8" customFormat="1" ht="40.200000000000003" thickBot="1">
      <c r="A588" s="381"/>
      <c r="B588" s="199" t="s">
        <v>285</v>
      </c>
      <c r="C588" s="106" t="s">
        <v>0</v>
      </c>
      <c r="D588" s="202">
        <v>0</v>
      </c>
      <c r="E588" s="107" t="str">
        <f>DEC2HEX(((D588)*2^0),8)</f>
        <v>00000000</v>
      </c>
      <c r="F588" s="368" t="s">
        <v>800</v>
      </c>
      <c r="G588" s="506"/>
      <c r="H588" s="460"/>
      <c r="I588" s="463"/>
    </row>
    <row r="589" spans="1:10">
      <c r="A589" s="381"/>
      <c r="B589" s="382"/>
      <c r="C589" s="383"/>
      <c r="D589" s="384"/>
      <c r="E589" s="385"/>
      <c r="F589" s="386"/>
      <c r="G589" s="387"/>
      <c r="H589" s="388"/>
      <c r="I589" s="388"/>
      <c r="J589" s="18"/>
    </row>
    <row r="590" spans="1:10" ht="13.8" thickBot="1"/>
    <row r="591" spans="1:10" ht="14.4" thickBot="1">
      <c r="B591" s="619" t="s">
        <v>522</v>
      </c>
      <c r="C591" s="620"/>
      <c r="D591" s="620"/>
      <c r="E591" s="620"/>
      <c r="F591" s="620"/>
      <c r="G591" s="620"/>
      <c r="H591" s="620"/>
      <c r="I591" s="621"/>
    </row>
    <row r="593" spans="2:9" ht="14.4">
      <c r="B593" s="335" t="s">
        <v>523</v>
      </c>
      <c r="C593" s="219" t="str">
        <f>"0x"&amp;DEC2HEX((HEX2DEC(E204)+HEX2DEC(E205)+HEX2DEC(E206)+HEX2DEC(E207)+HEX2DEC(E208))/65536,2)</f>
        <v>0xD4</v>
      </c>
      <c r="D593" s="526" t="s">
        <v>527</v>
      </c>
      <c r="E593" s="526"/>
      <c r="F593" s="526"/>
      <c r="G593" s="526"/>
      <c r="H593" s="526"/>
      <c r="I593" s="526"/>
    </row>
    <row r="594" spans="2:9" ht="14.4">
      <c r="B594" s="335" t="s">
        <v>524</v>
      </c>
      <c r="C594" s="219" t="str">
        <f>"0x"&amp;DEC2HEX((HEX2DEC(E209)+HEX2DEC(E210)+HEX2DEC(E211)+HEX2DEC(E212)),2)</f>
        <v>0x2D</v>
      </c>
      <c r="D594" s="526" t="s">
        <v>527</v>
      </c>
      <c r="E594" s="526"/>
      <c r="F594" s="526"/>
      <c r="G594" s="526"/>
      <c r="H594" s="526"/>
      <c r="I594" s="526"/>
    </row>
    <row r="595" spans="2:9" ht="14.4">
      <c r="B595" s="335" t="s">
        <v>525</v>
      </c>
      <c r="C595" s="219" t="str">
        <f>"0x"&amp;DEC2HEX((HEX2DEC(E216)+HEX2DEC(E217)+HEX2DEC(E218)+HEX2DEC(E219)+HEX2DEC(E220)+HEX2DEC(E221))/65536, 2)</f>
        <v>0x31</v>
      </c>
      <c r="D595" s="526" t="s">
        <v>528</v>
      </c>
      <c r="E595" s="526"/>
      <c r="F595" s="526"/>
      <c r="G595" s="526"/>
      <c r="H595" s="526"/>
      <c r="I595" s="526"/>
    </row>
    <row r="596" spans="2:9" ht="14.4">
      <c r="B596" s="335" t="s">
        <v>526</v>
      </c>
      <c r="C596" s="339" t="s">
        <v>506</v>
      </c>
      <c r="D596" s="526" t="s">
        <v>547</v>
      </c>
      <c r="E596" s="527"/>
      <c r="F596" s="527"/>
      <c r="G596" s="527"/>
      <c r="H596" s="527"/>
      <c r="I596" s="527"/>
    </row>
    <row r="597" spans="2:9" ht="14.4">
      <c r="B597" s="335" t="s">
        <v>498</v>
      </c>
      <c r="C597" s="219" t="str">
        <f>"0x"&amp;DEC2HEX((HEX2DEC(E231)+HEX2DEC(E232))/65536, 2)</f>
        <v>0x66</v>
      </c>
      <c r="D597" s="526" t="s">
        <v>529</v>
      </c>
      <c r="E597" s="526"/>
      <c r="F597" s="526"/>
      <c r="G597" s="526"/>
      <c r="H597" s="526"/>
      <c r="I597" s="526"/>
    </row>
    <row r="598" spans="2:9" ht="14.4">
      <c r="B598" s="335" t="s">
        <v>499</v>
      </c>
      <c r="C598" s="219" t="str">
        <f>"0x"&amp;DEC2HEX((HEX2DEC(E233)+HEX2DEC(E234)), 2)</f>
        <v>0x4A</v>
      </c>
      <c r="D598" s="526" t="s">
        <v>529</v>
      </c>
      <c r="E598" s="526"/>
      <c r="F598" s="526"/>
      <c r="G598" s="526"/>
      <c r="H598" s="526"/>
      <c r="I598" s="526"/>
    </row>
    <row r="599" spans="2:9" ht="14.4">
      <c r="B599" s="335" t="s">
        <v>500</v>
      </c>
      <c r="C599" s="219" t="str">
        <f>"0x"&amp;DEC2HEX((HEX2DEC(E222)+HEX2DEC(E223)+HEX2DEC(E224)+HEX2DEC(E225)+HEX2DEC(E226)+HEX2DEC(E227)+HEX2DEC(E228)+HEX2DEC(E229) ), 2)</f>
        <v>0x08</v>
      </c>
      <c r="D599" s="526" t="s">
        <v>528</v>
      </c>
      <c r="E599" s="526"/>
      <c r="F599" s="526"/>
      <c r="G599" s="526"/>
      <c r="H599" s="526"/>
      <c r="I599" s="526"/>
    </row>
    <row r="600" spans="2:9" ht="14.4">
      <c r="B600" s="335" t="s">
        <v>501</v>
      </c>
      <c r="C600" s="219" t="str">
        <f>"0x"&amp;DEC2HEX((HEX2DEC(E240)+HEX2DEC(E241)), 2)</f>
        <v>0x4A</v>
      </c>
      <c r="D600" s="526" t="s">
        <v>530</v>
      </c>
      <c r="E600" s="526"/>
      <c r="F600" s="526"/>
      <c r="G600" s="526"/>
      <c r="H600" s="526"/>
      <c r="I600" s="526"/>
    </row>
    <row r="601" spans="2:9" ht="14.4">
      <c r="B601" s="335" t="s">
        <v>502</v>
      </c>
      <c r="C601" s="339" t="s">
        <v>506</v>
      </c>
      <c r="D601" s="526" t="s">
        <v>547</v>
      </c>
      <c r="E601" s="527"/>
      <c r="F601" s="527"/>
      <c r="G601" s="527"/>
      <c r="H601" s="527"/>
      <c r="I601" s="527"/>
    </row>
    <row r="602" spans="2:9" ht="14.4">
      <c r="B602" s="335" t="s">
        <v>503</v>
      </c>
      <c r="C602" s="339" t="s">
        <v>506</v>
      </c>
      <c r="D602" s="526" t="s">
        <v>547</v>
      </c>
      <c r="E602" s="527"/>
      <c r="F602" s="527"/>
      <c r="G602" s="527"/>
      <c r="H602" s="527"/>
      <c r="I602" s="527"/>
    </row>
    <row r="603" spans="2:9" ht="14.4">
      <c r="B603" s="335" t="s">
        <v>504</v>
      </c>
      <c r="C603" s="219" t="str">
        <f>"0x"&amp;DEC2HEX((HEX2DEC(E236)+HEX2DEC(E237)+HEX2DEC(E238)+HEX2DEC(E239))/65536, 2)</f>
        <v>0x16</v>
      </c>
      <c r="D603" s="526" t="s">
        <v>530</v>
      </c>
      <c r="E603" s="526"/>
      <c r="F603" s="526"/>
      <c r="G603" s="526"/>
      <c r="H603" s="526"/>
      <c r="I603" s="526"/>
    </row>
    <row r="604" spans="2:9" ht="14.4">
      <c r="B604" s="335" t="s">
        <v>505</v>
      </c>
      <c r="C604" s="339" t="s">
        <v>506</v>
      </c>
      <c r="D604" s="526" t="s">
        <v>547</v>
      </c>
      <c r="E604" s="527"/>
      <c r="F604" s="527"/>
      <c r="G604" s="527"/>
      <c r="H604" s="527"/>
      <c r="I604" s="527"/>
    </row>
    <row r="605" spans="2:9" ht="14.4">
      <c r="B605" s="397"/>
      <c r="C605" s="400"/>
      <c r="D605" s="398"/>
      <c r="E605" s="399"/>
      <c r="F605" s="399"/>
      <c r="G605" s="399"/>
      <c r="H605" s="399"/>
      <c r="I605" s="399"/>
    </row>
    <row r="606" spans="2:9" ht="14.4">
      <c r="B606" s="335" t="s">
        <v>925</v>
      </c>
      <c r="C606" s="219" t="str">
        <f>"0x"&amp;DEC2HEX((HEX2DEC(E429)+HEX2DEC(E430)+HEX2DEC(E431)+HEX2DEC(E432)+HEX2DEC(E433))/65536,2)</f>
        <v>0x94</v>
      </c>
      <c r="D606" s="526" t="s">
        <v>929</v>
      </c>
      <c r="E606" s="526"/>
      <c r="F606" s="526"/>
      <c r="G606" s="526"/>
      <c r="H606" s="526"/>
      <c r="I606" s="526"/>
    </row>
    <row r="607" spans="2:9" ht="14.4">
      <c r="B607" s="335" t="s">
        <v>926</v>
      </c>
      <c r="C607" s="219" t="str">
        <f>"0x"&amp;DEC2HEX((HEX2DEC(E434)+HEX2DEC(E435)+HEX2DEC(E436)+HEX2DEC(E437)),2)</f>
        <v>0x09</v>
      </c>
      <c r="D607" s="526" t="s">
        <v>930</v>
      </c>
      <c r="E607" s="526"/>
      <c r="F607" s="526"/>
      <c r="G607" s="526"/>
      <c r="H607" s="526"/>
      <c r="I607" s="526"/>
    </row>
    <row r="608" spans="2:9" ht="14.4">
      <c r="B608" s="397"/>
      <c r="C608" s="121"/>
      <c r="D608" s="398"/>
      <c r="E608" s="398"/>
      <c r="F608" s="398"/>
      <c r="G608" s="398"/>
      <c r="H608" s="398"/>
      <c r="I608" s="398"/>
    </row>
    <row r="609" spans="2:9" ht="14.4">
      <c r="B609" s="335" t="s">
        <v>927</v>
      </c>
      <c r="C609" s="219" t="str">
        <f>"0x"&amp;DEC2HEX((HEX2DEC(E553)+HEX2DEC(E554)+HEX2DEC(E555)+HEX2DEC(E556)+HEX2DEC(E557))/65536,2)</f>
        <v>0x84</v>
      </c>
      <c r="D609" s="526" t="s">
        <v>931</v>
      </c>
      <c r="E609" s="526"/>
      <c r="F609" s="526"/>
      <c r="G609" s="526"/>
      <c r="H609" s="526"/>
      <c r="I609" s="526"/>
    </row>
    <row r="610" spans="2:9" ht="14.4">
      <c r="B610" s="335" t="s">
        <v>928</v>
      </c>
      <c r="C610" s="219" t="str">
        <f>"0x"&amp;DEC2HEX((HEX2DEC(E558)+HEX2DEC(E559)+HEX2DEC(E560)+HEX2DEC(E561)),2)</f>
        <v>0x00</v>
      </c>
      <c r="D610" s="526" t="s">
        <v>931</v>
      </c>
      <c r="E610" s="526"/>
      <c r="F610" s="526"/>
      <c r="G610" s="526"/>
      <c r="H610" s="526"/>
      <c r="I610" s="526"/>
    </row>
    <row r="611" spans="2:9" ht="14.4">
      <c r="B611" s="397"/>
      <c r="C611" s="400"/>
      <c r="D611" s="398"/>
      <c r="E611" s="399"/>
      <c r="F611" s="399"/>
      <c r="G611" s="399"/>
      <c r="H611" s="399"/>
      <c r="I611" s="399"/>
    </row>
    <row r="612" spans="2:9">
      <c r="B612" s="335" t="s">
        <v>507</v>
      </c>
      <c r="C612" s="340">
        <v>40</v>
      </c>
      <c r="D612" s="526" t="s">
        <v>535</v>
      </c>
      <c r="E612" s="527"/>
      <c r="F612" s="527"/>
      <c r="G612" s="527"/>
      <c r="H612" s="527"/>
      <c r="I612" s="527"/>
    </row>
    <row r="613" spans="2:9" ht="26.25" customHeight="1">
      <c r="B613" s="335" t="s">
        <v>508</v>
      </c>
      <c r="C613" s="340">
        <v>40</v>
      </c>
      <c r="D613" s="528" t="s">
        <v>533</v>
      </c>
      <c r="E613" s="529"/>
      <c r="F613" s="529"/>
      <c r="G613" s="529"/>
      <c r="H613" s="529"/>
      <c r="I613" s="529"/>
    </row>
    <row r="614" spans="2:9">
      <c r="B614" s="335" t="s">
        <v>509</v>
      </c>
      <c r="C614" s="340">
        <v>34</v>
      </c>
      <c r="D614" s="526" t="s">
        <v>534</v>
      </c>
      <c r="E614" s="527"/>
      <c r="F614" s="527"/>
      <c r="G614" s="527"/>
      <c r="H614" s="527"/>
      <c r="I614" s="527"/>
    </row>
    <row r="615" spans="2:9">
      <c r="C615" s="337"/>
    </row>
    <row r="616" spans="2:9" ht="27" customHeight="1">
      <c r="B616" s="335" t="s">
        <v>536</v>
      </c>
      <c r="C616" s="341" t="s">
        <v>506</v>
      </c>
      <c r="D616" s="528" t="s">
        <v>537</v>
      </c>
      <c r="E616" s="529"/>
      <c r="F616" s="529"/>
      <c r="G616" s="529"/>
      <c r="H616" s="529"/>
      <c r="I616" s="529"/>
    </row>
    <row r="617" spans="2:9" ht="27" customHeight="1">
      <c r="B617" s="335" t="s">
        <v>531</v>
      </c>
      <c r="C617" s="390" t="str">
        <f>IF(D278=1, "0x01", "0x00")</f>
        <v>0x00</v>
      </c>
      <c r="D617" s="528" t="s">
        <v>532</v>
      </c>
      <c r="E617" s="529"/>
      <c r="F617" s="529"/>
      <c r="G617" s="529"/>
      <c r="H617" s="529"/>
      <c r="I617" s="529"/>
    </row>
    <row r="618" spans="2:9" ht="27" customHeight="1">
      <c r="B618" s="335" t="s">
        <v>538</v>
      </c>
      <c r="C618" s="341" t="s">
        <v>506</v>
      </c>
      <c r="D618" s="528" t="s">
        <v>539</v>
      </c>
      <c r="E618" s="529"/>
      <c r="F618" s="529"/>
      <c r="G618" s="529"/>
      <c r="H618" s="529"/>
      <c r="I618" s="529"/>
    </row>
    <row r="619" spans="2:9" ht="28.5" customHeight="1">
      <c r="B619" s="335" t="s">
        <v>513</v>
      </c>
      <c r="C619" s="243" t="s">
        <v>842</v>
      </c>
      <c r="D619" s="528" t="s">
        <v>1060</v>
      </c>
      <c r="E619" s="529"/>
      <c r="F619" s="529"/>
      <c r="G619" s="529"/>
      <c r="H619" s="529"/>
      <c r="I619" s="529"/>
    </row>
    <row r="620" spans="2:9">
      <c r="B620" s="338"/>
      <c r="C620" s="337"/>
    </row>
    <row r="621" spans="2:9">
      <c r="B621" s="335" t="s">
        <v>514</v>
      </c>
      <c r="C621" s="335" t="s">
        <v>520</v>
      </c>
      <c r="D621" s="526" t="s">
        <v>543</v>
      </c>
      <c r="E621" s="527"/>
      <c r="F621" s="527"/>
      <c r="G621" s="527"/>
      <c r="H621" s="527"/>
      <c r="I621" s="527"/>
    </row>
    <row r="622" spans="2:9">
      <c r="B622" s="335" t="s">
        <v>515</v>
      </c>
      <c r="C622" s="335" t="s">
        <v>520</v>
      </c>
      <c r="D622" s="526" t="s">
        <v>544</v>
      </c>
      <c r="E622" s="527"/>
      <c r="F622" s="527"/>
      <c r="G622" s="527"/>
      <c r="H622" s="527"/>
      <c r="I622" s="527"/>
    </row>
    <row r="623" spans="2:9">
      <c r="B623" s="335" t="s">
        <v>516</v>
      </c>
      <c r="C623" s="335" t="s">
        <v>520</v>
      </c>
      <c r="D623" s="526" t="s">
        <v>545</v>
      </c>
      <c r="E623" s="527"/>
      <c r="F623" s="527"/>
      <c r="G623" s="527"/>
      <c r="H623" s="527"/>
      <c r="I623" s="527"/>
    </row>
    <row r="624" spans="2:9">
      <c r="B624" s="335" t="s">
        <v>517</v>
      </c>
      <c r="C624" s="335" t="s">
        <v>520</v>
      </c>
      <c r="D624" s="526" t="s">
        <v>546</v>
      </c>
      <c r="E624" s="527"/>
      <c r="F624" s="527"/>
      <c r="G624" s="527"/>
      <c r="H624" s="527"/>
      <c r="I624" s="527"/>
    </row>
    <row r="626" spans="2:9">
      <c r="B626" s="335" t="s">
        <v>518</v>
      </c>
      <c r="C626" s="335" t="s">
        <v>521</v>
      </c>
      <c r="D626" s="526" t="s">
        <v>541</v>
      </c>
      <c r="E626" s="527"/>
      <c r="F626" s="527"/>
      <c r="G626" s="527"/>
      <c r="H626" s="527"/>
      <c r="I626" s="527"/>
    </row>
    <row r="627" spans="2:9" ht="27.75" customHeight="1">
      <c r="B627" s="335" t="s">
        <v>540</v>
      </c>
      <c r="C627" s="335" t="s">
        <v>506</v>
      </c>
      <c r="D627" s="528" t="s">
        <v>542</v>
      </c>
      <c r="E627" s="529"/>
      <c r="F627" s="529"/>
      <c r="G627" s="529"/>
      <c r="H627" s="529"/>
      <c r="I627" s="529"/>
    </row>
    <row r="629" spans="2:9">
      <c r="B629" s="335" t="s">
        <v>827</v>
      </c>
      <c r="C629" s="340" t="s">
        <v>845</v>
      </c>
      <c r="D629" s="528" t="s">
        <v>834</v>
      </c>
      <c r="E629" s="529"/>
      <c r="F629" s="529"/>
      <c r="G629" s="529"/>
      <c r="H629" s="529"/>
      <c r="I629" s="529"/>
    </row>
    <row r="631" spans="2:9" ht="14.4">
      <c r="B631" s="335" t="s">
        <v>836</v>
      </c>
      <c r="C631" s="390" t="str">
        <f>IF(C22=2, "0x3", "0x1")</f>
        <v>0x1</v>
      </c>
      <c r="D631" s="528" t="s">
        <v>837</v>
      </c>
      <c r="E631" s="529"/>
      <c r="F631" s="529"/>
      <c r="G631" s="529"/>
      <c r="H631" s="529"/>
      <c r="I631" s="529"/>
    </row>
    <row r="633" spans="2:9" ht="14.4">
      <c r="B633" s="335" t="s">
        <v>839</v>
      </c>
      <c r="C633" s="390">
        <f>C28</f>
        <v>32</v>
      </c>
      <c r="D633" s="528" t="s">
        <v>841</v>
      </c>
      <c r="E633" s="529"/>
      <c r="F633" s="529"/>
      <c r="G633" s="529"/>
      <c r="H633" s="529"/>
      <c r="I633" s="529"/>
    </row>
  </sheetData>
  <mergeCells count="377">
    <mergeCell ref="D610:I610"/>
    <mergeCell ref="G317:G318"/>
    <mergeCell ref="H317:H318"/>
    <mergeCell ref="I317:I318"/>
    <mergeCell ref="I320:I322"/>
    <mergeCell ref="H320:H322"/>
    <mergeCell ref="G320:G322"/>
    <mergeCell ref="D606:I606"/>
    <mergeCell ref="D607:I607"/>
    <mergeCell ref="D609:I609"/>
    <mergeCell ref="D596:I596"/>
    <mergeCell ref="D601:I601"/>
    <mergeCell ref="D602:I602"/>
    <mergeCell ref="G343:G346"/>
    <mergeCell ref="H343:H346"/>
    <mergeCell ref="I343:I346"/>
    <mergeCell ref="B341:I341"/>
    <mergeCell ref="G352:G355"/>
    <mergeCell ref="H352:H355"/>
    <mergeCell ref="I352:I355"/>
    <mergeCell ref="G348:G350"/>
    <mergeCell ref="H348:H350"/>
    <mergeCell ref="I348:I350"/>
    <mergeCell ref="G388:G389"/>
    <mergeCell ref="G302:G304"/>
    <mergeCell ref="H302:H304"/>
    <mergeCell ref="I302:I304"/>
    <mergeCell ref="I306:I309"/>
    <mergeCell ref="H306:H309"/>
    <mergeCell ref="G306:G309"/>
    <mergeCell ref="G311:G315"/>
    <mergeCell ref="H311:H315"/>
    <mergeCell ref="I311:I315"/>
    <mergeCell ref="G284:G289"/>
    <mergeCell ref="H284:H289"/>
    <mergeCell ref="I284:I289"/>
    <mergeCell ref="G296:G297"/>
    <mergeCell ref="H296:H297"/>
    <mergeCell ref="I296:I297"/>
    <mergeCell ref="G299:G300"/>
    <mergeCell ref="H299:H300"/>
    <mergeCell ref="I299:I300"/>
    <mergeCell ref="G293:G294"/>
    <mergeCell ref="H293:H294"/>
    <mergeCell ref="I293:I294"/>
    <mergeCell ref="D633:I633"/>
    <mergeCell ref="D629:I629"/>
    <mergeCell ref="D631:I631"/>
    <mergeCell ref="J104:K104"/>
    <mergeCell ref="K263:K265"/>
    <mergeCell ref="G262:G265"/>
    <mergeCell ref="B591:I591"/>
    <mergeCell ref="D595:I595"/>
    <mergeCell ref="J263:J265"/>
    <mergeCell ref="B201:D201"/>
    <mergeCell ref="G259:G260"/>
    <mergeCell ref="H259:H260"/>
    <mergeCell ref="I259:I260"/>
    <mergeCell ref="H273:H274"/>
    <mergeCell ref="I273:I274"/>
    <mergeCell ref="G267:G271"/>
    <mergeCell ref="G273:G274"/>
    <mergeCell ref="H267:H271"/>
    <mergeCell ref="I267:I271"/>
    <mergeCell ref="G246:G251"/>
    <mergeCell ref="H246:H251"/>
    <mergeCell ref="I246:I251"/>
    <mergeCell ref="G253:G257"/>
    <mergeCell ref="H253:H257"/>
    <mergeCell ref="I278:I280"/>
    <mergeCell ref="G278:G280"/>
    <mergeCell ref="H278:H280"/>
    <mergeCell ref="H262:H265"/>
    <mergeCell ref="I262:I265"/>
    <mergeCell ref="I138:I141"/>
    <mergeCell ref="B143:I143"/>
    <mergeCell ref="G138:G141"/>
    <mergeCell ref="H138:H141"/>
    <mergeCell ref="I156:I158"/>
    <mergeCell ref="I165:I170"/>
    <mergeCell ref="H165:H170"/>
    <mergeCell ref="G165:G170"/>
    <mergeCell ref="H236:H241"/>
    <mergeCell ref="I236:I241"/>
    <mergeCell ref="H162:H163"/>
    <mergeCell ref="I162:I163"/>
    <mergeCell ref="G236:G241"/>
    <mergeCell ref="H133:H136"/>
    <mergeCell ref="I133:I136"/>
    <mergeCell ref="G109:G111"/>
    <mergeCell ref="C4:F4"/>
    <mergeCell ref="G4:J4"/>
    <mergeCell ref="B99:I99"/>
    <mergeCell ref="I113:I116"/>
    <mergeCell ref="B61:I61"/>
    <mergeCell ref="I96:I97"/>
    <mergeCell ref="I124:I127"/>
    <mergeCell ref="H78:H81"/>
    <mergeCell ref="I78:I81"/>
    <mergeCell ref="H83:H87"/>
    <mergeCell ref="G45:G57"/>
    <mergeCell ref="H45:H57"/>
    <mergeCell ref="I45:I57"/>
    <mergeCell ref="G113:G116"/>
    <mergeCell ref="H129:H131"/>
    <mergeCell ref="I129:I131"/>
    <mergeCell ref="H118:H120"/>
    <mergeCell ref="G75:G76"/>
    <mergeCell ref="B108:I108"/>
    <mergeCell ref="G104:G105"/>
    <mergeCell ref="J102:K102"/>
    <mergeCell ref="J184:J187"/>
    <mergeCell ref="B243:I243"/>
    <mergeCell ref="I144:I146"/>
    <mergeCell ref="G152:G154"/>
    <mergeCell ref="H152:H154"/>
    <mergeCell ref="I152:I154"/>
    <mergeCell ref="G144:G146"/>
    <mergeCell ref="G149:G150"/>
    <mergeCell ref="H149:H150"/>
    <mergeCell ref="B183:I183"/>
    <mergeCell ref="B172:I172"/>
    <mergeCell ref="G184:G187"/>
    <mergeCell ref="H184:H187"/>
    <mergeCell ref="I173:I174"/>
    <mergeCell ref="H173:H174"/>
    <mergeCell ref="G173:G174"/>
    <mergeCell ref="B199:I199"/>
    <mergeCell ref="I184:I187"/>
    <mergeCell ref="G156:G158"/>
    <mergeCell ref="H156:H158"/>
    <mergeCell ref="G231:G234"/>
    <mergeCell ref="H231:H234"/>
    <mergeCell ref="I231:I234"/>
    <mergeCell ref="G162:G163"/>
    <mergeCell ref="I104:I105"/>
    <mergeCell ref="H124:H127"/>
    <mergeCell ref="H96:H97"/>
    <mergeCell ref="G91:G94"/>
    <mergeCell ref="I91:I94"/>
    <mergeCell ref="H91:H94"/>
    <mergeCell ref="G78:G81"/>
    <mergeCell ref="G100:G102"/>
    <mergeCell ref="H104:H105"/>
    <mergeCell ref="H113:H116"/>
    <mergeCell ref="I83:I87"/>
    <mergeCell ref="I109:I111"/>
    <mergeCell ref="G124:G127"/>
    <mergeCell ref="B5:J5"/>
    <mergeCell ref="C29:D29"/>
    <mergeCell ref="C20:D20"/>
    <mergeCell ref="B39:D39"/>
    <mergeCell ref="F16:F26"/>
    <mergeCell ref="C21:D21"/>
    <mergeCell ref="F7:F8"/>
    <mergeCell ref="F13:F14"/>
    <mergeCell ref="F9:F10"/>
    <mergeCell ref="G7:G8"/>
    <mergeCell ref="G9:G10"/>
    <mergeCell ref="G13:G14"/>
    <mergeCell ref="B7:E14"/>
    <mergeCell ref="C19:D19"/>
    <mergeCell ref="C17:D17"/>
    <mergeCell ref="C18:D18"/>
    <mergeCell ref="C24:D24"/>
    <mergeCell ref="C30:D30"/>
    <mergeCell ref="C25:D25"/>
    <mergeCell ref="C27:D27"/>
    <mergeCell ref="C22:D22"/>
    <mergeCell ref="C35:D35"/>
    <mergeCell ref="J16:K26"/>
    <mergeCell ref="J27:K27"/>
    <mergeCell ref="I62:I63"/>
    <mergeCell ref="G62:G63"/>
    <mergeCell ref="H62:H63"/>
    <mergeCell ref="G65:G67"/>
    <mergeCell ref="I65:I67"/>
    <mergeCell ref="B41:D41"/>
    <mergeCell ref="C23:D23"/>
    <mergeCell ref="C37:D37"/>
    <mergeCell ref="C38:D38"/>
    <mergeCell ref="B40:D40"/>
    <mergeCell ref="H65:H67"/>
    <mergeCell ref="C28:D28"/>
    <mergeCell ref="C26:D26"/>
    <mergeCell ref="C31:D31"/>
    <mergeCell ref="C34:D34"/>
    <mergeCell ref="C33:D33"/>
    <mergeCell ref="C32:D32"/>
    <mergeCell ref="C36:D36"/>
    <mergeCell ref="G16:G26"/>
    <mergeCell ref="H16:H26"/>
    <mergeCell ref="I16:I26"/>
    <mergeCell ref="F30:F31"/>
    <mergeCell ref="G30:K39"/>
    <mergeCell ref="G40:K40"/>
    <mergeCell ref="G69:G72"/>
    <mergeCell ref="H69:H72"/>
    <mergeCell ref="I69:I72"/>
    <mergeCell ref="J91:J94"/>
    <mergeCell ref="G204:G212"/>
    <mergeCell ref="H204:H212"/>
    <mergeCell ref="I204:I212"/>
    <mergeCell ref="G216:G229"/>
    <mergeCell ref="H216:H229"/>
    <mergeCell ref="I216:I229"/>
    <mergeCell ref="I149:I150"/>
    <mergeCell ref="B148:I148"/>
    <mergeCell ref="I118:I120"/>
    <mergeCell ref="G133:G136"/>
    <mergeCell ref="H144:H146"/>
    <mergeCell ref="G118:G120"/>
    <mergeCell ref="H100:H102"/>
    <mergeCell ref="I100:I102"/>
    <mergeCell ref="H109:H111"/>
    <mergeCell ref="I75:I76"/>
    <mergeCell ref="H75:H76"/>
    <mergeCell ref="G129:G131"/>
    <mergeCell ref="G96:G97"/>
    <mergeCell ref="G83:G87"/>
    <mergeCell ref="D626:I626"/>
    <mergeCell ref="D627:I627"/>
    <mergeCell ref="G189:G197"/>
    <mergeCell ref="H189:H197"/>
    <mergeCell ref="I189:I197"/>
    <mergeCell ref="D604:I604"/>
    <mergeCell ref="D612:I612"/>
    <mergeCell ref="D613:I613"/>
    <mergeCell ref="D614:I614"/>
    <mergeCell ref="D619:I619"/>
    <mergeCell ref="D621:I621"/>
    <mergeCell ref="D623:I623"/>
    <mergeCell ref="D622:I622"/>
    <mergeCell ref="D624:I624"/>
    <mergeCell ref="D617:I617"/>
    <mergeCell ref="D616:I616"/>
    <mergeCell ref="D618:I618"/>
    <mergeCell ref="D594:I594"/>
    <mergeCell ref="D593:I593"/>
    <mergeCell ref="D600:I600"/>
    <mergeCell ref="D599:I599"/>
    <mergeCell ref="D598:I598"/>
    <mergeCell ref="D597:I597"/>
    <mergeCell ref="D603:I603"/>
    <mergeCell ref="H388:H389"/>
    <mergeCell ref="I388:I389"/>
    <mergeCell ref="G176:G179"/>
    <mergeCell ref="H176:H179"/>
    <mergeCell ref="I176:I179"/>
    <mergeCell ref="G398:G401"/>
    <mergeCell ref="H398:H401"/>
    <mergeCell ref="I398:I401"/>
    <mergeCell ref="G366:G369"/>
    <mergeCell ref="H366:H369"/>
    <mergeCell ref="I366:I369"/>
    <mergeCell ref="G371:G373"/>
    <mergeCell ref="H371:H373"/>
    <mergeCell ref="I371:I373"/>
    <mergeCell ref="G375:G376"/>
    <mergeCell ref="H375:H376"/>
    <mergeCell ref="I375:I376"/>
    <mergeCell ref="G357:G359"/>
    <mergeCell ref="H357:H359"/>
    <mergeCell ref="I357:I359"/>
    <mergeCell ref="G361:G364"/>
    <mergeCell ref="H361:H364"/>
    <mergeCell ref="I361:I364"/>
    <mergeCell ref="I253:I257"/>
    <mergeCell ref="G410:G415"/>
    <mergeCell ref="H410:H415"/>
    <mergeCell ref="I410:I415"/>
    <mergeCell ref="G423:G424"/>
    <mergeCell ref="H423:H424"/>
    <mergeCell ref="I423:I424"/>
    <mergeCell ref="G426:G427"/>
    <mergeCell ref="H426:H427"/>
    <mergeCell ref="I426:I427"/>
    <mergeCell ref="I467:I470"/>
    <mergeCell ref="G472:G474"/>
    <mergeCell ref="H472:H474"/>
    <mergeCell ref="I472:I474"/>
    <mergeCell ref="G429:G437"/>
    <mergeCell ref="H429:H437"/>
    <mergeCell ref="I429:I437"/>
    <mergeCell ref="G439:G442"/>
    <mergeCell ref="H439:H442"/>
    <mergeCell ref="I439:I442"/>
    <mergeCell ref="G444:G449"/>
    <mergeCell ref="H444:H449"/>
    <mergeCell ref="I444:I449"/>
    <mergeCell ref="G575:G588"/>
    <mergeCell ref="H575:H588"/>
    <mergeCell ref="I575:I588"/>
    <mergeCell ref="G547:G548"/>
    <mergeCell ref="H547:H548"/>
    <mergeCell ref="I547:I548"/>
    <mergeCell ref="G550:G551"/>
    <mergeCell ref="H550:H551"/>
    <mergeCell ref="I550:I551"/>
    <mergeCell ref="G553:G561"/>
    <mergeCell ref="H553:H561"/>
    <mergeCell ref="I553:I561"/>
    <mergeCell ref="G563:G566"/>
    <mergeCell ref="H563:H566"/>
    <mergeCell ref="I563:I566"/>
    <mergeCell ref="G403:G408"/>
    <mergeCell ref="H403:H408"/>
    <mergeCell ref="I403:I408"/>
    <mergeCell ref="G490:G493"/>
    <mergeCell ref="H490:H493"/>
    <mergeCell ref="I490:I493"/>
    <mergeCell ref="G568:G573"/>
    <mergeCell ref="H568:H573"/>
    <mergeCell ref="I568:I573"/>
    <mergeCell ref="G476:G479"/>
    <mergeCell ref="H476:H479"/>
    <mergeCell ref="I476:I479"/>
    <mergeCell ref="G481:G483"/>
    <mergeCell ref="H481:H483"/>
    <mergeCell ref="I481:I483"/>
    <mergeCell ref="G485:G488"/>
    <mergeCell ref="H485:H488"/>
    <mergeCell ref="I485:I488"/>
    <mergeCell ref="G451:G464"/>
    <mergeCell ref="H451:H464"/>
    <mergeCell ref="I451:I464"/>
    <mergeCell ref="B466:I466"/>
    <mergeCell ref="G467:G470"/>
    <mergeCell ref="H467:H470"/>
    <mergeCell ref="G326:G331"/>
    <mergeCell ref="H326:H331"/>
    <mergeCell ref="I326:I331"/>
    <mergeCell ref="G333:G338"/>
    <mergeCell ref="H333:H338"/>
    <mergeCell ref="I333:I338"/>
    <mergeCell ref="G534:G539"/>
    <mergeCell ref="H534:H539"/>
    <mergeCell ref="I534:I539"/>
    <mergeCell ref="G527:G532"/>
    <mergeCell ref="H527:H532"/>
    <mergeCell ref="I527:I532"/>
    <mergeCell ref="G378:G380"/>
    <mergeCell ref="H378:H380"/>
    <mergeCell ref="I378:I380"/>
    <mergeCell ref="G382:G384"/>
    <mergeCell ref="H382:H384"/>
    <mergeCell ref="I382:I384"/>
    <mergeCell ref="G502:G504"/>
    <mergeCell ref="H502:H504"/>
    <mergeCell ref="I502:I504"/>
    <mergeCell ref="G417:G421"/>
    <mergeCell ref="H417:H421"/>
    <mergeCell ref="I417:I421"/>
    <mergeCell ref="G541:G545"/>
    <mergeCell ref="H541:H545"/>
    <mergeCell ref="I541:I545"/>
    <mergeCell ref="G391:G394"/>
    <mergeCell ref="H391:H394"/>
    <mergeCell ref="I391:I394"/>
    <mergeCell ref="G515:G518"/>
    <mergeCell ref="H515:H518"/>
    <mergeCell ref="I515:I518"/>
    <mergeCell ref="G506:G508"/>
    <mergeCell ref="H506:H508"/>
    <mergeCell ref="I506:I508"/>
    <mergeCell ref="G512:G513"/>
    <mergeCell ref="H512:H513"/>
    <mergeCell ref="I512:I513"/>
    <mergeCell ref="G522:G525"/>
    <mergeCell ref="H522:H525"/>
    <mergeCell ref="I522:I525"/>
    <mergeCell ref="G495:G497"/>
    <mergeCell ref="H495:H497"/>
    <mergeCell ref="I495:I497"/>
    <mergeCell ref="G499:G500"/>
    <mergeCell ref="H499:H500"/>
    <mergeCell ref="I499:I500"/>
  </mergeCells>
  <phoneticPr fontId="1" type="noConversion"/>
  <dataValidations xWindow="430" yWindow="654" count="12">
    <dataValidation allowBlank="1" showInputMessage="1" showErrorMessage="1" promptTitle="DDR type selection" sqref="C17:D17" xr:uid="{00000000-0002-0000-0200-000000000000}"/>
    <dataValidation allowBlank="1" showErrorMessage="1" promptTitle="ROW-BANK Interleaving option" prompt="Select whether or not you want to enable or disable this feature. " sqref="F27" xr:uid="{00000000-0002-0000-0200-000001000000}"/>
    <dataValidation type="list" allowBlank="1" showInputMessage="1" showErrorMessage="1" promptTitle="Bus width select" prompt="Select the desired bus width, 32-bit or 16-bit" sqref="C28:D28" xr:uid="{00000000-0002-0000-0200-000002000000}">
      <formula1>BusWidth</formula1>
    </dataValidation>
    <dataValidation type="list" allowBlank="1" showInputMessage="1" showErrorMessage="1" promptTitle="Number of frequency setpoints" sqref="G27" xr:uid="{00000000-0002-0000-0200-000003000000}">
      <formula1>$AF$4:$AF$6</formula1>
    </dataValidation>
    <dataValidation type="list" allowBlank="1" showInputMessage="1" showErrorMessage="1" promptTitle="Enable/disable 2D training" sqref="H27" xr:uid="{00000000-0002-0000-0200-000004000000}">
      <formula1>RowBankInterleavingOption</formula1>
    </dataValidation>
    <dataValidation type="list" allowBlank="1" showInputMessage="1" showErrorMessage="1" sqref="I27" xr:uid="{00000000-0002-0000-0200-000005000000}">
      <formula1>RowBankInterleavingOption</formula1>
    </dataValidation>
    <dataValidation type="list" allowBlank="1" showInputMessage="1" showErrorMessage="1" sqref="C22:D22" xr:uid="{00000000-0002-0000-0200-000006000000}">
      <formula1>$AF$4:$AF$5</formula1>
    </dataValidation>
    <dataValidation allowBlank="1" showInputMessage="1" showErrorMessage="1" promptTitle="DDR Frequency selection" sqref="C29:D29" xr:uid="{00000000-0002-0000-0200-000007000000}"/>
    <dataValidation type="list" allowBlank="1" showInputMessage="1" showErrorMessage="1" sqref="C31:D31" xr:uid="{00000000-0002-0000-0200-000008000000}">
      <formula1>$AE$6:$AE$7</formula1>
    </dataValidation>
    <dataValidation type="list" allowBlank="1" showInputMessage="1" showErrorMessage="1" sqref="F32" xr:uid="{00000000-0002-0000-0200-000009000000}">
      <formula1>"1, 2, 3, 4"</formula1>
    </dataValidation>
    <dataValidation type="list" allowBlank="1" showInputMessage="1" showErrorMessage="1" sqref="J27:K27" xr:uid="{00000000-0002-0000-0200-00000A000000}">
      <formula1>"DISABLED, ENABLED"</formula1>
    </dataValidation>
    <dataValidation type="list" allowBlank="1" showInputMessage="1" showErrorMessage="1" sqref="G40:K40" xr:uid="{00000000-0002-0000-0200-00000B000000}">
      <formula1>"Automatic, Option 1, Option 2"</formula1>
    </dataValidation>
  </dataValidations>
  <pageMargins left="0.75" right="0.75" top="1" bottom="1" header="0.5" footer="0.5"/>
  <pageSetup scale="81" orientation="landscape" r:id="rId1"/>
  <headerFooter alignWithMargins="0"/>
  <ignoredErrors>
    <ignoredError sqref="D362 D486 E327" formula="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I47"/>
  <sheetViews>
    <sheetView topLeftCell="A7" workbookViewId="0">
      <selection activeCell="T24" sqref="T24"/>
    </sheetView>
  </sheetViews>
  <sheetFormatPr defaultRowHeight="13.2"/>
  <cols>
    <col min="2" max="2" width="46" customWidth="1"/>
    <col min="3" max="34" width="4.6640625" customWidth="1"/>
  </cols>
  <sheetData>
    <row r="1" spans="1:35">
      <c r="A1" s="6"/>
      <c r="B1" t="s">
        <v>333</v>
      </c>
      <c r="C1" s="264"/>
      <c r="D1" s="264"/>
      <c r="E1" s="264"/>
      <c r="F1" s="264"/>
      <c r="G1" s="264"/>
      <c r="H1" s="264"/>
      <c r="I1" s="264"/>
      <c r="J1" s="264"/>
      <c r="K1" s="264"/>
      <c r="L1" s="264"/>
      <c r="M1" s="264"/>
      <c r="N1" s="264"/>
      <c r="O1" s="264"/>
      <c r="P1" s="264"/>
      <c r="Q1" s="264"/>
      <c r="R1" s="264"/>
      <c r="S1" s="264"/>
      <c r="T1" s="264"/>
      <c r="U1" s="264"/>
      <c r="V1" s="264"/>
      <c r="W1" s="264"/>
      <c r="X1" s="264"/>
      <c r="Y1" s="264"/>
      <c r="Z1" s="264"/>
      <c r="AA1" s="264"/>
      <c r="AB1" s="264"/>
      <c r="AC1" s="264"/>
      <c r="AD1" s="264"/>
      <c r="AE1" s="264"/>
      <c r="AF1" s="264"/>
      <c r="AG1" s="264"/>
      <c r="AH1" s="264"/>
      <c r="AI1" s="264"/>
    </row>
    <row r="2" spans="1:35">
      <c r="B2" t="s">
        <v>1048</v>
      </c>
      <c r="C2" s="264"/>
      <c r="D2" s="264"/>
      <c r="E2" s="264"/>
      <c r="F2" s="264"/>
      <c r="G2" s="264"/>
      <c r="H2" s="264"/>
      <c r="I2" s="264"/>
      <c r="J2" s="264"/>
      <c r="K2" s="264"/>
      <c r="L2" s="264"/>
      <c r="M2" s="264"/>
      <c r="N2" s="264"/>
      <c r="O2" s="264"/>
      <c r="P2" s="264"/>
      <c r="Q2" s="264"/>
      <c r="R2" s="264"/>
      <c r="S2" s="264"/>
      <c r="T2" s="264"/>
      <c r="U2" s="264"/>
      <c r="V2" s="264"/>
      <c r="W2" s="264"/>
      <c r="X2" s="264"/>
      <c r="Y2" s="264"/>
      <c r="Z2" s="264"/>
      <c r="AA2" s="264"/>
      <c r="AB2" s="264"/>
      <c r="AC2" s="264"/>
      <c r="AD2" s="264"/>
      <c r="AE2" s="264"/>
      <c r="AF2" s="264"/>
      <c r="AG2" s="264"/>
      <c r="AH2" s="264"/>
      <c r="AI2" s="264"/>
    </row>
    <row r="3" spans="1:35">
      <c r="B3" s="3"/>
      <c r="C3" s="264"/>
      <c r="D3" s="264"/>
      <c r="E3" s="264"/>
      <c r="F3" s="264"/>
      <c r="G3" s="264"/>
      <c r="H3" s="264"/>
      <c r="I3" s="264"/>
      <c r="J3" s="264"/>
      <c r="K3" s="264"/>
      <c r="L3" s="264"/>
      <c r="M3" s="264"/>
      <c r="N3" s="264"/>
      <c r="O3" s="264"/>
      <c r="P3" s="264"/>
      <c r="Q3" s="264"/>
      <c r="R3" s="264"/>
      <c r="S3" s="264"/>
      <c r="T3" s="264"/>
      <c r="U3" s="264"/>
      <c r="V3" s="264"/>
      <c r="W3" s="264"/>
      <c r="X3" s="264"/>
      <c r="Y3" s="264"/>
      <c r="Z3" s="264"/>
      <c r="AA3" s="264"/>
      <c r="AB3" s="264"/>
      <c r="AC3" s="264"/>
      <c r="AD3" s="264"/>
      <c r="AE3" s="264"/>
      <c r="AF3" s="264"/>
      <c r="AG3" s="264"/>
      <c r="AH3" s="264"/>
      <c r="AI3" s="264"/>
    </row>
    <row r="4" spans="1:35">
      <c r="C4" s="264"/>
    </row>
    <row r="5" spans="1:35">
      <c r="C5" s="264"/>
      <c r="D5" s="264"/>
      <c r="E5" s="264"/>
      <c r="F5" s="264"/>
      <c r="G5" s="264"/>
      <c r="H5" s="264"/>
      <c r="I5" s="264"/>
      <c r="J5" s="264"/>
      <c r="K5" s="264"/>
      <c r="L5" s="264"/>
      <c r="M5" s="264"/>
      <c r="N5" s="264"/>
      <c r="O5" s="264"/>
      <c r="P5" s="264"/>
      <c r="Q5" s="264"/>
      <c r="R5" s="264"/>
      <c r="S5" s="264"/>
      <c r="T5" s="264"/>
      <c r="U5" s="264"/>
      <c r="V5" s="264"/>
      <c r="W5" s="264"/>
      <c r="X5" s="264"/>
      <c r="Y5" s="264"/>
      <c r="Z5" s="264"/>
      <c r="AA5" s="264"/>
      <c r="AB5" s="264"/>
      <c r="AC5" s="264"/>
      <c r="AD5" s="264"/>
      <c r="AE5" s="264"/>
      <c r="AF5" s="264"/>
      <c r="AG5" s="264"/>
      <c r="AH5" s="264"/>
      <c r="AI5" s="264"/>
    </row>
    <row r="6" spans="1:35" ht="15" thickBot="1">
      <c r="C6" s="626" t="s">
        <v>334</v>
      </c>
      <c r="D6" s="626"/>
      <c r="E6" s="626"/>
      <c r="F6" s="626"/>
      <c r="G6" s="626"/>
      <c r="H6" s="626"/>
      <c r="I6" s="626"/>
      <c r="J6" s="626"/>
      <c r="K6" s="626"/>
      <c r="L6" s="626"/>
      <c r="M6" s="626"/>
      <c r="N6" s="626"/>
      <c r="O6" s="626"/>
      <c r="P6" s="626"/>
      <c r="Q6" s="626"/>
      <c r="R6" s="626"/>
      <c r="S6" s="626"/>
      <c r="T6" s="626"/>
      <c r="U6" s="626"/>
      <c r="V6" s="626"/>
      <c r="W6" s="626"/>
      <c r="X6" s="626"/>
      <c r="Y6" s="626"/>
      <c r="Z6" s="626"/>
      <c r="AA6" s="626"/>
      <c r="AB6" s="626"/>
      <c r="AC6" s="626"/>
      <c r="AD6" s="626"/>
      <c r="AE6" s="626"/>
      <c r="AF6" s="626"/>
      <c r="AG6" s="626"/>
      <c r="AH6" s="626"/>
      <c r="AI6" s="264"/>
    </row>
    <row r="7" spans="1:35" ht="13.8" thickBot="1">
      <c r="B7" t="s">
        <v>460</v>
      </c>
      <c r="C7" s="627" t="s">
        <v>335</v>
      </c>
      <c r="D7" s="628"/>
      <c r="E7" s="628"/>
      <c r="F7" s="628"/>
      <c r="G7" s="628"/>
      <c r="H7" s="628"/>
      <c r="I7" s="628"/>
      <c r="J7" s="628"/>
      <c r="K7" s="628"/>
      <c r="L7" s="628"/>
      <c r="M7" s="628"/>
      <c r="N7" s="628"/>
      <c r="O7" s="628"/>
      <c r="P7" s="628"/>
      <c r="Q7" s="628"/>
      <c r="R7" s="628"/>
      <c r="S7" s="629" t="s">
        <v>336</v>
      </c>
      <c r="T7" s="630"/>
      <c r="U7" s="630"/>
      <c r="V7" s="630"/>
      <c r="W7" s="630"/>
      <c r="X7" s="630"/>
      <c r="Y7" s="630"/>
      <c r="Z7" s="630"/>
      <c r="AA7" s="630"/>
      <c r="AB7" s="630"/>
      <c r="AC7" s="630"/>
      <c r="AD7" s="630"/>
      <c r="AE7" s="630"/>
      <c r="AF7" s="630"/>
      <c r="AG7" s="630"/>
      <c r="AH7" s="631"/>
      <c r="AI7" s="264"/>
    </row>
    <row r="8" spans="1:35">
      <c r="B8" t="s">
        <v>337</v>
      </c>
      <c r="C8" s="265">
        <v>15</v>
      </c>
      <c r="D8" s="266">
        <v>14</v>
      </c>
      <c r="E8" s="266">
        <v>13</v>
      </c>
      <c r="F8" s="266">
        <v>12</v>
      </c>
      <c r="G8" s="266">
        <v>11</v>
      </c>
      <c r="H8" s="266">
        <v>10</v>
      </c>
      <c r="I8" s="266">
        <v>9</v>
      </c>
      <c r="J8" s="267">
        <v>8</v>
      </c>
      <c r="K8" s="265">
        <v>7</v>
      </c>
      <c r="L8" s="266">
        <v>6</v>
      </c>
      <c r="M8" s="266">
        <v>5</v>
      </c>
      <c r="N8" s="266">
        <v>4</v>
      </c>
      <c r="O8" s="266">
        <v>3</v>
      </c>
      <c r="P8" s="266">
        <v>2</v>
      </c>
      <c r="Q8" s="266">
        <v>1</v>
      </c>
      <c r="R8" s="267">
        <v>0</v>
      </c>
      <c r="S8" s="265">
        <v>15</v>
      </c>
      <c r="T8" s="266">
        <v>14</v>
      </c>
      <c r="U8" s="266">
        <v>13</v>
      </c>
      <c r="V8" s="266">
        <v>12</v>
      </c>
      <c r="W8" s="266">
        <v>11</v>
      </c>
      <c r="X8" s="266">
        <v>10</v>
      </c>
      <c r="Y8" s="266">
        <v>9</v>
      </c>
      <c r="Z8" s="267">
        <v>8</v>
      </c>
      <c r="AA8" s="265">
        <v>7</v>
      </c>
      <c r="AB8" s="266">
        <v>6</v>
      </c>
      <c r="AC8" s="266">
        <v>5</v>
      </c>
      <c r="AD8" s="266">
        <v>4</v>
      </c>
      <c r="AE8" s="266">
        <v>3</v>
      </c>
      <c r="AF8" s="266">
        <v>2</v>
      </c>
      <c r="AG8" s="266">
        <v>1</v>
      </c>
      <c r="AH8" s="267">
        <v>0</v>
      </c>
      <c r="AI8" s="264"/>
    </row>
    <row r="9" spans="1:35" ht="14.4">
      <c r="B9" s="271" t="s">
        <v>461</v>
      </c>
      <c r="C9" s="272">
        <v>31</v>
      </c>
      <c r="D9" s="273">
        <v>30</v>
      </c>
      <c r="E9" s="273">
        <v>29</v>
      </c>
      <c r="F9" s="273">
        <v>28</v>
      </c>
      <c r="G9" s="273">
        <v>27</v>
      </c>
      <c r="H9" s="273">
        <v>26</v>
      </c>
      <c r="I9" s="273">
        <v>25</v>
      </c>
      <c r="J9" s="274">
        <v>24</v>
      </c>
      <c r="K9" s="272">
        <v>23</v>
      </c>
      <c r="L9" s="273">
        <v>22</v>
      </c>
      <c r="M9" s="273">
        <v>21</v>
      </c>
      <c r="N9" s="273">
        <v>20</v>
      </c>
      <c r="O9" s="273">
        <v>19</v>
      </c>
      <c r="P9" s="273">
        <v>18</v>
      </c>
      <c r="Q9" s="273">
        <v>17</v>
      </c>
      <c r="R9" s="274">
        <v>16</v>
      </c>
      <c r="S9" s="272">
        <v>15</v>
      </c>
      <c r="T9" s="273">
        <v>14</v>
      </c>
      <c r="U9" s="273">
        <v>13</v>
      </c>
      <c r="V9" s="273">
        <v>12</v>
      </c>
      <c r="W9" s="273">
        <v>11</v>
      </c>
      <c r="X9" s="273">
        <v>10</v>
      </c>
      <c r="Y9" s="273">
        <v>9</v>
      </c>
      <c r="Z9" s="274">
        <v>8</v>
      </c>
      <c r="AA9" s="272">
        <v>7</v>
      </c>
      <c r="AB9" s="273">
        <v>6</v>
      </c>
      <c r="AC9" s="273">
        <v>5</v>
      </c>
      <c r="AD9" s="273">
        <v>4</v>
      </c>
      <c r="AE9" s="273">
        <v>3</v>
      </c>
      <c r="AF9" s="273">
        <v>2</v>
      </c>
      <c r="AG9" s="273">
        <v>1</v>
      </c>
      <c r="AH9" s="274">
        <v>0</v>
      </c>
      <c r="AI9" s="264"/>
    </row>
    <row r="10" spans="1:35" ht="13.8" thickBot="1">
      <c r="B10" t="s">
        <v>462</v>
      </c>
      <c r="C10" s="632">
        <f>IF(J9&lt;8, 0, IF(J9&lt;16, 1, IF(J9&lt;24, 2, 3)))</f>
        <v>3</v>
      </c>
      <c r="D10" s="633"/>
      <c r="E10" s="633"/>
      <c r="F10" s="633"/>
      <c r="G10" s="633"/>
      <c r="H10" s="633"/>
      <c r="I10" s="633"/>
      <c r="J10" s="634"/>
      <c r="K10" s="632">
        <f>IF(R9&lt;8, 0, IF(R9&lt;16, 1, IF(R9&lt;24, 2, 3)))</f>
        <v>2</v>
      </c>
      <c r="L10" s="633"/>
      <c r="M10" s="633"/>
      <c r="N10" s="633"/>
      <c r="O10" s="633"/>
      <c r="P10" s="633"/>
      <c r="Q10" s="633"/>
      <c r="R10" s="634"/>
      <c r="S10" s="632">
        <f>IF(Z9&lt;8, 0, IF(Z9&lt;16, 1, IF(Z9&lt;24, 2, 3)))</f>
        <v>1</v>
      </c>
      <c r="T10" s="633"/>
      <c r="U10" s="633"/>
      <c r="V10" s="633"/>
      <c r="W10" s="633"/>
      <c r="X10" s="633"/>
      <c r="Y10" s="633"/>
      <c r="Z10" s="634"/>
      <c r="AA10" s="632">
        <f>IF(AH9&lt;8, 0, IF(AH9&lt;16, 1, IF(AH9&lt;24, 2, 3)))</f>
        <v>0</v>
      </c>
      <c r="AB10" s="633"/>
      <c r="AC10" s="633"/>
      <c r="AD10" s="633"/>
      <c r="AE10" s="633"/>
      <c r="AF10" s="633"/>
      <c r="AG10" s="633"/>
      <c r="AH10" s="634"/>
      <c r="AI10" s="264"/>
    </row>
    <row r="11" spans="1:35" ht="13.8" thickBot="1">
      <c r="B11" t="s">
        <v>463</v>
      </c>
      <c r="C11" s="275">
        <f>C9-C10*8</f>
        <v>7</v>
      </c>
      <c r="D11" s="275">
        <f>D9-C10*8</f>
        <v>6</v>
      </c>
      <c r="E11" s="275">
        <f>E9-C10*8</f>
        <v>5</v>
      </c>
      <c r="F11" s="275">
        <f>F9-C10*8</f>
        <v>4</v>
      </c>
      <c r="G11" s="275">
        <f>G9-C10*8</f>
        <v>3</v>
      </c>
      <c r="H11" s="275">
        <f>H9-C10*8</f>
        <v>2</v>
      </c>
      <c r="I11" s="275">
        <f>I9-C10*8</f>
        <v>1</v>
      </c>
      <c r="J11" s="275">
        <f>J9-C10*8</f>
        <v>0</v>
      </c>
      <c r="K11" s="275">
        <f>K9-K10*8</f>
        <v>7</v>
      </c>
      <c r="L11" s="275">
        <f>L9-K10*8</f>
        <v>6</v>
      </c>
      <c r="M11" s="275">
        <f>M9-K10*8</f>
        <v>5</v>
      </c>
      <c r="N11" s="275">
        <f>N9-K10*8</f>
        <v>4</v>
      </c>
      <c r="O11" s="275">
        <f>O9-K10*8</f>
        <v>3</v>
      </c>
      <c r="P11" s="275">
        <f>P9-K10*8</f>
        <v>2</v>
      </c>
      <c r="Q11" s="275">
        <f>Q9-K10*8</f>
        <v>1</v>
      </c>
      <c r="R11" s="275">
        <f>R9-K10*8</f>
        <v>0</v>
      </c>
      <c r="S11" s="275">
        <f>S9-S10*8</f>
        <v>7</v>
      </c>
      <c r="T11" s="275">
        <f>T9-S10*8</f>
        <v>6</v>
      </c>
      <c r="U11" s="275">
        <f>U9-S10*8</f>
        <v>5</v>
      </c>
      <c r="V11" s="275">
        <f>V9-S10*8</f>
        <v>4</v>
      </c>
      <c r="W11" s="275">
        <f>W9-S10*8</f>
        <v>3</v>
      </c>
      <c r="X11" s="275">
        <f>X9-S10*8</f>
        <v>2</v>
      </c>
      <c r="Y11" s="275">
        <f>Y9-S10*8</f>
        <v>1</v>
      </c>
      <c r="Z11" s="275">
        <f>Z9-S10*8</f>
        <v>0</v>
      </c>
      <c r="AA11" s="275">
        <f t="shared" ref="AA11" si="0">AA9-AA10*8</f>
        <v>7</v>
      </c>
      <c r="AB11" s="275">
        <f>AB9-AA10*8</f>
        <v>6</v>
      </c>
      <c r="AC11" s="275">
        <f>AC9-AA10*8</f>
        <v>5</v>
      </c>
      <c r="AD11" s="275">
        <f>AD9-AA10*8</f>
        <v>4</v>
      </c>
      <c r="AE11" s="275">
        <f>AE9-AA10*8</f>
        <v>3</v>
      </c>
      <c r="AF11" s="275">
        <f>AF9-AA10*8</f>
        <v>2</v>
      </c>
      <c r="AG11" s="275">
        <f>AG9-AA10*8</f>
        <v>1</v>
      </c>
      <c r="AH11" s="434">
        <f>AH9-AA10*8</f>
        <v>0</v>
      </c>
      <c r="AI11" s="264"/>
    </row>
    <row r="12" spans="1:35" ht="13.8" thickBot="1">
      <c r="C12" s="635" t="str">
        <f>IF(AND(OR((SUM(C9:AH9)=496),(SUM(C9:AH9)=240)),(SUM(C11:AH11)=112)),"DQ Bits Entered Correctly","Error In DQ Bit Entry")</f>
        <v>DQ Bits Entered Correctly</v>
      </c>
      <c r="D12" s="636"/>
      <c r="E12" s="636"/>
      <c r="F12" s="636"/>
      <c r="G12" s="636"/>
      <c r="H12" s="636"/>
      <c r="I12" s="636"/>
      <c r="J12" s="636"/>
      <c r="K12" s="636"/>
      <c r="L12" s="636"/>
      <c r="M12" s="636"/>
      <c r="N12" s="636"/>
      <c r="O12" s="636"/>
      <c r="P12" s="636"/>
      <c r="Q12" s="636"/>
      <c r="R12" s="636"/>
      <c r="S12" s="636"/>
      <c r="T12" s="636"/>
      <c r="U12" s="636"/>
      <c r="V12" s="636"/>
      <c r="W12" s="636"/>
      <c r="X12" s="636"/>
      <c r="Y12" s="636"/>
      <c r="Z12" s="636"/>
      <c r="AA12" s="636"/>
      <c r="AB12" s="636"/>
      <c r="AC12" s="636"/>
      <c r="AD12" s="636"/>
      <c r="AE12" s="636"/>
      <c r="AF12" s="636"/>
      <c r="AG12" s="636"/>
      <c r="AH12" s="637"/>
      <c r="AI12" s="264"/>
    </row>
    <row r="13" spans="1:35">
      <c r="C13" s="427"/>
      <c r="D13" s="81"/>
      <c r="E13" s="81"/>
      <c r="F13" s="81"/>
      <c r="G13" s="81"/>
      <c r="H13" s="81"/>
      <c r="I13" s="81"/>
      <c r="J13" s="81"/>
      <c r="K13" s="81"/>
      <c r="L13" s="81"/>
      <c r="M13" s="81"/>
      <c r="N13" s="81"/>
      <c r="O13" s="81"/>
      <c r="P13" s="81"/>
      <c r="Q13" s="81"/>
      <c r="R13" s="81"/>
      <c r="S13" s="81"/>
      <c r="T13" s="81"/>
      <c r="U13" s="81"/>
      <c r="V13" s="81"/>
      <c r="W13" s="81"/>
      <c r="X13" s="81"/>
      <c r="Y13" s="81"/>
      <c r="Z13" s="81"/>
      <c r="AA13" s="81"/>
      <c r="AB13" s="81"/>
      <c r="AC13" s="81"/>
      <c r="AD13" s="81"/>
      <c r="AE13" s="81"/>
      <c r="AF13" s="81"/>
      <c r="AG13" s="81"/>
      <c r="AH13" s="81"/>
      <c r="AI13" s="264"/>
    </row>
    <row r="14" spans="1:35" ht="13.8" thickBot="1">
      <c r="C14" s="264"/>
      <c r="D14" s="264"/>
      <c r="E14" s="264"/>
      <c r="F14" s="264"/>
      <c r="G14" s="264"/>
      <c r="H14" s="264"/>
      <c r="I14" s="264"/>
      <c r="J14" s="264"/>
      <c r="K14" s="264"/>
      <c r="L14" s="264"/>
      <c r="M14" s="264"/>
      <c r="N14" s="264"/>
      <c r="O14" s="264"/>
      <c r="P14" s="264"/>
      <c r="Q14" s="264"/>
      <c r="R14" s="264"/>
      <c r="S14" s="264"/>
      <c r="T14" s="264"/>
      <c r="U14" s="264"/>
      <c r="V14" s="264"/>
      <c r="W14" s="264"/>
      <c r="X14" s="264"/>
      <c r="Y14" s="264"/>
      <c r="Z14" s="264"/>
      <c r="AA14" s="264"/>
      <c r="AB14" s="264"/>
      <c r="AC14" s="264"/>
      <c r="AD14" s="264"/>
      <c r="AE14" s="264"/>
      <c r="AF14" s="264"/>
      <c r="AG14" s="264"/>
      <c r="AH14" s="264"/>
      <c r="AI14" s="264"/>
    </row>
    <row r="15" spans="1:35" ht="15" thickBot="1">
      <c r="B15" s="428" t="s">
        <v>464</v>
      </c>
      <c r="C15" s="638" t="s">
        <v>465</v>
      </c>
      <c r="D15" s="638"/>
      <c r="E15" s="638"/>
      <c r="F15" s="638" t="s">
        <v>466</v>
      </c>
      <c r="G15" s="638"/>
      <c r="H15" s="639"/>
      <c r="I15" s="316"/>
      <c r="J15" s="316"/>
      <c r="K15" s="316"/>
      <c r="L15" s="316"/>
      <c r="M15" s="316"/>
      <c r="N15" s="316"/>
      <c r="O15" s="316"/>
      <c r="P15" s="316"/>
      <c r="Q15" s="316"/>
      <c r="R15" s="316"/>
      <c r="S15" s="316"/>
      <c r="T15" s="316"/>
      <c r="U15" s="316"/>
      <c r="V15" s="316"/>
      <c r="W15" s="316"/>
      <c r="X15" s="316"/>
      <c r="Y15" s="264"/>
      <c r="Z15" s="264"/>
      <c r="AA15" s="264"/>
      <c r="AB15" s="264"/>
      <c r="AC15" s="264"/>
      <c r="AD15" s="264"/>
      <c r="AE15" s="264"/>
      <c r="AF15" s="264"/>
      <c r="AG15" s="264"/>
      <c r="AH15" s="264"/>
      <c r="AI15" s="264"/>
    </row>
    <row r="16" spans="1:35" ht="14.4">
      <c r="B16" s="429" t="str">
        <f>"DDR_PHY_Dq0LnSel_"&amp;AA10</f>
        <v>DDR_PHY_Dq0LnSel_0</v>
      </c>
      <c r="C16" s="640" t="str">
        <f>"0x"&amp;DEC2HEX(1006632960 + 262784 + 16384*AA10)</f>
        <v>0x3C040280</v>
      </c>
      <c r="D16" s="640"/>
      <c r="E16" s="640"/>
      <c r="F16" s="640" t="str">
        <f>"0x"&amp;DEC2HEX(AH11, 8)</f>
        <v>0x00000000</v>
      </c>
      <c r="G16" s="640"/>
      <c r="H16" s="641"/>
      <c r="I16" s="264"/>
      <c r="J16" s="264"/>
      <c r="K16" s="264"/>
      <c r="L16" s="264"/>
      <c r="M16" s="264"/>
      <c r="N16" s="264"/>
      <c r="O16" s="264"/>
      <c r="P16" s="336"/>
      <c r="Q16" s="264"/>
      <c r="R16" s="264"/>
      <c r="S16" s="264"/>
      <c r="T16" s="264"/>
      <c r="U16" s="264"/>
      <c r="V16" s="264"/>
      <c r="W16" s="264"/>
      <c r="X16" s="264"/>
      <c r="Y16" s="264"/>
      <c r="Z16" s="264"/>
      <c r="AA16" s="264"/>
      <c r="AB16" s="264"/>
      <c r="AC16" s="264"/>
      <c r="AD16" s="264"/>
      <c r="AE16" s="264"/>
      <c r="AF16" s="264"/>
      <c r="AG16" s="264"/>
      <c r="AH16" s="264"/>
      <c r="AI16" s="264"/>
    </row>
    <row r="17" spans="2:35" ht="14.4">
      <c r="B17" s="430" t="str">
        <f>"DDR_PHY_Dq1LnSel_"&amp;AA10</f>
        <v>DDR_PHY_Dq1LnSel_0</v>
      </c>
      <c r="C17" s="642" t="str">
        <f>"0x"&amp;DEC2HEX(1006632960 + 262788 + 16384*AA10)</f>
        <v>0x3C040284</v>
      </c>
      <c r="D17" s="642"/>
      <c r="E17" s="642"/>
      <c r="F17" s="642" t="str">
        <f>"0x"&amp;DEC2HEX(AG11, 8)</f>
        <v>0x00000001</v>
      </c>
      <c r="G17" s="642"/>
      <c r="H17" s="643"/>
      <c r="I17" s="264"/>
      <c r="J17" s="264"/>
      <c r="K17" s="264"/>
      <c r="L17" s="264"/>
      <c r="M17" s="264"/>
      <c r="N17" s="264"/>
      <c r="O17" s="264"/>
      <c r="P17" s="336"/>
      <c r="Q17" s="264"/>
      <c r="R17" s="264"/>
      <c r="S17" s="264"/>
      <c r="T17" s="264"/>
      <c r="U17" s="264"/>
      <c r="V17" s="264"/>
      <c r="W17" s="264"/>
      <c r="X17" s="264"/>
      <c r="Y17" s="264"/>
      <c r="Z17" s="264"/>
      <c r="AA17" s="264"/>
      <c r="AB17" s="264"/>
      <c r="AC17" s="264"/>
      <c r="AD17" s="264"/>
      <c r="AE17" s="264"/>
      <c r="AF17" s="264"/>
      <c r="AG17" s="264"/>
      <c r="AH17" s="264"/>
      <c r="AI17" s="264"/>
    </row>
    <row r="18" spans="2:35" ht="14.4">
      <c r="B18" s="430" t="str">
        <f>"DDR_PHY_Dq2LnSel_"&amp;AA10</f>
        <v>DDR_PHY_Dq2LnSel_0</v>
      </c>
      <c r="C18" s="642" t="str">
        <f>"0x"&amp;DEC2HEX(1006632960 + 262792 + 16384*AA10)</f>
        <v>0x3C040288</v>
      </c>
      <c r="D18" s="642"/>
      <c r="E18" s="642"/>
      <c r="F18" s="642" t="str">
        <f>"0x"&amp;DEC2HEX(AF11, 8)</f>
        <v>0x00000002</v>
      </c>
      <c r="G18" s="642"/>
      <c r="H18" s="643"/>
      <c r="I18" s="264"/>
      <c r="J18" s="264"/>
      <c r="K18" s="264"/>
      <c r="L18" s="264"/>
      <c r="M18" s="264"/>
      <c r="N18" s="264"/>
      <c r="O18" s="264"/>
      <c r="P18" s="336"/>
      <c r="Q18" s="264"/>
      <c r="R18" s="264"/>
      <c r="S18" s="264"/>
      <c r="T18" s="264"/>
      <c r="U18" s="264"/>
      <c r="V18" s="264"/>
      <c r="W18" s="264"/>
      <c r="X18" s="264"/>
      <c r="Y18" s="264"/>
      <c r="Z18" s="264"/>
      <c r="AA18" s="264"/>
      <c r="AB18" s="264"/>
      <c r="AC18" s="264"/>
      <c r="AD18" s="264"/>
      <c r="AE18" s="264"/>
      <c r="AF18" s="264"/>
      <c r="AG18" s="264"/>
      <c r="AH18" s="264"/>
      <c r="AI18" s="264"/>
    </row>
    <row r="19" spans="2:35" ht="14.4">
      <c r="B19" s="430" t="str">
        <f>"DDR_PHY_Dq3LnSel_"&amp;AA10</f>
        <v>DDR_PHY_Dq3LnSel_0</v>
      </c>
      <c r="C19" s="642" t="str">
        <f>"0x"&amp;DEC2HEX(1006632960 + 262796 + 16384*AA10)</f>
        <v>0x3C04028C</v>
      </c>
      <c r="D19" s="642"/>
      <c r="E19" s="642"/>
      <c r="F19" s="642" t="str">
        <f>"0x"&amp;DEC2HEX(AE11, 8)</f>
        <v>0x00000003</v>
      </c>
      <c r="G19" s="642"/>
      <c r="H19" s="643"/>
      <c r="I19" s="264"/>
      <c r="J19" s="264"/>
      <c r="K19" s="264"/>
      <c r="L19" s="264"/>
      <c r="M19" s="264"/>
      <c r="N19" s="264"/>
      <c r="O19" s="264"/>
      <c r="P19" s="336"/>
      <c r="Q19" s="264"/>
      <c r="R19" s="336"/>
      <c r="S19" s="264"/>
      <c r="T19" s="264"/>
      <c r="U19" s="264"/>
      <c r="V19" s="264"/>
      <c r="W19" s="264"/>
      <c r="X19" s="264"/>
      <c r="Y19" s="264"/>
      <c r="Z19" s="264"/>
      <c r="AA19" s="264"/>
      <c r="AB19" s="264"/>
      <c r="AC19" s="264"/>
      <c r="AD19" s="264"/>
      <c r="AE19" s="264"/>
      <c r="AF19" s="264"/>
      <c r="AG19" s="264"/>
      <c r="AH19" s="264"/>
      <c r="AI19" s="264"/>
    </row>
    <row r="20" spans="2:35" ht="14.4">
      <c r="B20" s="430" t="str">
        <f>"DDR_PHY_Dq4LnSel_"&amp;AA10</f>
        <v>DDR_PHY_Dq4LnSel_0</v>
      </c>
      <c r="C20" s="642" t="str">
        <f>"0x"&amp;DEC2HEX(1006632960 + 262800 + 16384*AA10)</f>
        <v>0x3C040290</v>
      </c>
      <c r="D20" s="642"/>
      <c r="E20" s="642"/>
      <c r="F20" s="642" t="str">
        <f>"0x"&amp;DEC2HEX(AD11, 8)</f>
        <v>0x00000004</v>
      </c>
      <c r="G20" s="642"/>
      <c r="H20" s="643"/>
      <c r="I20" s="264"/>
      <c r="J20" s="264"/>
      <c r="K20" s="264"/>
      <c r="L20" s="264"/>
      <c r="M20" s="264"/>
      <c r="N20" s="264"/>
      <c r="O20" s="264"/>
      <c r="P20" s="336"/>
      <c r="Q20" s="264"/>
      <c r="R20" s="264"/>
      <c r="S20" s="264"/>
      <c r="T20" s="264"/>
      <c r="U20" s="264"/>
      <c r="V20" s="264"/>
      <c r="W20" s="264"/>
      <c r="X20" s="264"/>
      <c r="Y20" s="264"/>
      <c r="Z20" s="264"/>
      <c r="AA20" s="264"/>
      <c r="AB20" s="264"/>
      <c r="AC20" s="264"/>
      <c r="AD20" s="264"/>
      <c r="AE20" s="264"/>
      <c r="AF20" s="264"/>
      <c r="AG20" s="264"/>
      <c r="AH20" s="264"/>
      <c r="AI20" s="264"/>
    </row>
    <row r="21" spans="2:35" ht="14.4">
      <c r="B21" s="430" t="str">
        <f>"DDR_PHY_Dq5LnSel_"&amp;AA10</f>
        <v>DDR_PHY_Dq5LnSel_0</v>
      </c>
      <c r="C21" s="642" t="str">
        <f>"0x"&amp;DEC2HEX(1006632960 + 262804 + 16384*AA10)</f>
        <v>0x3C040294</v>
      </c>
      <c r="D21" s="642"/>
      <c r="E21" s="642"/>
      <c r="F21" s="642" t="str">
        <f>"0x"&amp;DEC2HEX(AC11, 8)</f>
        <v>0x00000005</v>
      </c>
      <c r="G21" s="642"/>
      <c r="H21" s="643"/>
      <c r="I21" s="264"/>
      <c r="J21" s="264"/>
      <c r="K21" s="264"/>
      <c r="L21" s="264"/>
      <c r="M21" s="264"/>
      <c r="N21" s="264"/>
      <c r="O21" s="264"/>
      <c r="P21" s="336"/>
      <c r="Q21" s="264"/>
      <c r="R21" s="264"/>
      <c r="S21" s="264"/>
      <c r="T21" s="264"/>
      <c r="U21" s="264"/>
      <c r="V21" s="264"/>
      <c r="W21" s="264"/>
      <c r="X21" s="264"/>
      <c r="Y21" s="264"/>
      <c r="Z21" s="264"/>
      <c r="AA21" s="264"/>
      <c r="AB21" s="264"/>
      <c r="AC21" s="264"/>
      <c r="AD21" s="264"/>
      <c r="AE21" s="264"/>
      <c r="AF21" s="264"/>
      <c r="AG21" s="264"/>
      <c r="AH21" s="264"/>
      <c r="AI21" s="264"/>
    </row>
    <row r="22" spans="2:35" ht="14.4">
      <c r="B22" s="430" t="str">
        <f>"DDR_PHY_Dq6LnSel_"&amp;AA10</f>
        <v>DDR_PHY_Dq6LnSel_0</v>
      </c>
      <c r="C22" s="642" t="str">
        <f>"0x"&amp;DEC2HEX(1006632960 + 262808 + 16384*AA10)</f>
        <v>0x3C040298</v>
      </c>
      <c r="D22" s="642"/>
      <c r="E22" s="642"/>
      <c r="F22" s="642" t="str">
        <f>"0x"&amp;DEC2HEX(AB11, 8)</f>
        <v>0x00000006</v>
      </c>
      <c r="G22" s="642"/>
      <c r="H22" s="643"/>
      <c r="I22" s="264"/>
      <c r="J22" s="264"/>
      <c r="K22" s="264"/>
      <c r="L22" s="264"/>
      <c r="M22" s="264"/>
      <c r="N22" s="264"/>
      <c r="O22" s="264"/>
      <c r="P22" s="336"/>
      <c r="Q22" s="264"/>
      <c r="R22" s="264"/>
      <c r="S22" s="264"/>
      <c r="T22" s="264"/>
      <c r="U22" s="264"/>
      <c r="V22" s="264"/>
      <c r="W22" s="264"/>
      <c r="X22" s="264"/>
      <c r="Y22" s="264"/>
      <c r="Z22" s="264"/>
      <c r="AA22" s="264"/>
      <c r="AB22" s="264"/>
      <c r="AC22" s="264"/>
      <c r="AD22" s="264"/>
      <c r="AE22" s="264"/>
      <c r="AF22" s="264"/>
      <c r="AG22" s="264"/>
      <c r="AH22" s="264"/>
      <c r="AI22" s="264"/>
    </row>
    <row r="23" spans="2:35" ht="15" thickBot="1">
      <c r="B23" s="24" t="str">
        <f>"DDR_PHY_Dq7LnSel_"&amp;AA10</f>
        <v>DDR_PHY_Dq7LnSel_0</v>
      </c>
      <c r="C23" s="644" t="str">
        <f>"0x"&amp;DEC2HEX(1006632960 + 262812 + 16384*AA10)</f>
        <v>0x3C04029C</v>
      </c>
      <c r="D23" s="644"/>
      <c r="E23" s="644"/>
      <c r="F23" s="644" t="str">
        <f>"0x"&amp;DEC2HEX(AA11, 8)</f>
        <v>0x00000007</v>
      </c>
      <c r="G23" s="644"/>
      <c r="H23" s="645"/>
      <c r="I23" s="264"/>
      <c r="J23" s="264"/>
      <c r="K23" s="264"/>
      <c r="L23" s="264"/>
      <c r="M23" s="264"/>
      <c r="N23" s="264"/>
      <c r="O23" s="264"/>
      <c r="P23" s="336"/>
      <c r="Q23" s="264"/>
      <c r="R23" s="264"/>
      <c r="S23" s="264"/>
      <c r="T23" s="264"/>
      <c r="U23" s="264"/>
      <c r="V23" s="264"/>
      <c r="W23" s="264"/>
      <c r="X23" s="264"/>
      <c r="Y23" s="264"/>
      <c r="Z23" s="264"/>
      <c r="AA23" s="264"/>
      <c r="AB23" s="264"/>
      <c r="AC23" s="264"/>
      <c r="AD23" s="264"/>
      <c r="AE23" s="264"/>
      <c r="AF23" s="264"/>
      <c r="AG23" s="264"/>
      <c r="AH23" s="264"/>
      <c r="AI23" s="264"/>
    </row>
    <row r="24" spans="2:35" ht="14.4">
      <c r="B24" s="431" t="str">
        <f>"DDR_PHY_Dq0LnSel_"&amp;S10</f>
        <v>DDR_PHY_Dq0LnSel_1</v>
      </c>
      <c r="C24" s="646" t="str">
        <f>"0x"&amp;DEC2HEX(1006632960 + 262784 + 16384*S10)</f>
        <v>0x3C044280</v>
      </c>
      <c r="D24" s="646"/>
      <c r="E24" s="646"/>
      <c r="F24" s="646" t="str">
        <f>"0x"&amp;DEC2HEX(Z11, 8)</f>
        <v>0x00000000</v>
      </c>
      <c r="G24" s="646"/>
      <c r="H24" s="647"/>
      <c r="I24" s="264"/>
      <c r="J24" s="264"/>
      <c r="K24" s="264"/>
      <c r="L24" s="264"/>
      <c r="M24" s="264"/>
      <c r="N24" s="264"/>
      <c r="O24" s="264"/>
      <c r="P24" s="336"/>
      <c r="Q24" s="264"/>
      <c r="R24" s="264"/>
      <c r="S24" s="264"/>
      <c r="T24" s="264"/>
      <c r="U24" s="264"/>
      <c r="V24" s="264"/>
      <c r="W24" s="264"/>
      <c r="X24" s="264"/>
      <c r="Y24" s="264"/>
      <c r="Z24" s="264"/>
      <c r="AA24" s="264"/>
      <c r="AB24" s="264"/>
      <c r="AC24" s="264"/>
      <c r="AD24" s="264"/>
      <c r="AE24" s="264"/>
      <c r="AF24" s="264"/>
      <c r="AG24" s="264"/>
      <c r="AH24" s="264"/>
      <c r="AI24" s="264"/>
    </row>
    <row r="25" spans="2:35" ht="14.4">
      <c r="B25" s="430" t="str">
        <f>"DDR_PHY_Dq1LnSel_"&amp;S10</f>
        <v>DDR_PHY_Dq1LnSel_1</v>
      </c>
      <c r="C25" s="642" t="str">
        <f>"0x"&amp;DEC2HEX(1006632960 + 262788 + 16384*S10)</f>
        <v>0x3C044284</v>
      </c>
      <c r="D25" s="642"/>
      <c r="E25" s="642"/>
      <c r="F25" s="642" t="str">
        <f>"0x"&amp;DEC2HEX(Y11, 8)</f>
        <v>0x00000001</v>
      </c>
      <c r="G25" s="642"/>
      <c r="H25" s="643"/>
      <c r="I25" s="264"/>
      <c r="J25" s="264"/>
      <c r="K25" s="264"/>
      <c r="L25" s="264"/>
      <c r="M25" s="264"/>
      <c r="N25" s="264"/>
      <c r="O25" s="264"/>
      <c r="P25" s="336"/>
      <c r="Q25" s="264"/>
      <c r="R25" s="264"/>
      <c r="S25" s="264"/>
      <c r="T25" s="264"/>
      <c r="U25" s="264"/>
      <c r="V25" s="264"/>
      <c r="W25" s="264"/>
      <c r="X25" s="264"/>
      <c r="Y25" s="264"/>
      <c r="Z25" s="264"/>
      <c r="AA25" s="264"/>
      <c r="AB25" s="264"/>
      <c r="AC25" s="264"/>
      <c r="AD25" s="264"/>
      <c r="AE25" s="264"/>
      <c r="AF25" s="264"/>
      <c r="AG25" s="264"/>
      <c r="AH25" s="264"/>
      <c r="AI25" s="264"/>
    </row>
    <row r="26" spans="2:35" ht="14.4">
      <c r="B26" s="430" t="str">
        <f>"DDR_PHY_Dq2LnSel_"&amp;S10</f>
        <v>DDR_PHY_Dq2LnSel_1</v>
      </c>
      <c r="C26" s="642" t="str">
        <f>"0x"&amp;DEC2HEX(1006632960 + 262792 + 16384*S10)</f>
        <v>0x3C044288</v>
      </c>
      <c r="D26" s="642"/>
      <c r="E26" s="642"/>
      <c r="F26" s="642" t="str">
        <f>"0x"&amp;DEC2HEX(X11, 8)</f>
        <v>0x00000002</v>
      </c>
      <c r="G26" s="642"/>
      <c r="H26" s="643"/>
      <c r="I26" s="264"/>
      <c r="J26" s="264"/>
      <c r="K26" s="264"/>
      <c r="L26" s="264"/>
      <c r="M26" s="264"/>
      <c r="N26" s="264"/>
      <c r="O26" s="264"/>
      <c r="P26" s="336"/>
      <c r="Q26" s="264"/>
      <c r="R26" s="264"/>
      <c r="S26" s="264"/>
      <c r="T26" s="264"/>
      <c r="U26" s="264"/>
      <c r="V26" s="264"/>
      <c r="W26" s="264"/>
      <c r="X26" s="264"/>
      <c r="Y26" s="264"/>
      <c r="Z26" s="264"/>
      <c r="AA26" s="264"/>
      <c r="AB26" s="264"/>
      <c r="AC26" s="264"/>
      <c r="AD26" s="264"/>
      <c r="AE26" s="264"/>
      <c r="AF26" s="264"/>
      <c r="AG26" s="264"/>
      <c r="AH26" s="264"/>
      <c r="AI26" s="264"/>
    </row>
    <row r="27" spans="2:35" ht="14.4">
      <c r="B27" s="430" t="str">
        <f>"DDR_PHY_Dq3LnSel_"&amp;S10</f>
        <v>DDR_PHY_Dq3LnSel_1</v>
      </c>
      <c r="C27" s="642" t="str">
        <f>"0x"&amp;DEC2HEX(1006632960 + 262796 + 16384*S10)</f>
        <v>0x3C04428C</v>
      </c>
      <c r="D27" s="642"/>
      <c r="E27" s="642"/>
      <c r="F27" s="642" t="str">
        <f>"0x"&amp;DEC2HEX(W11, 8)</f>
        <v>0x00000003</v>
      </c>
      <c r="G27" s="642"/>
      <c r="H27" s="643"/>
      <c r="I27" s="264"/>
      <c r="J27" s="264"/>
      <c r="K27" s="264"/>
      <c r="L27" s="264"/>
      <c r="M27" s="264"/>
      <c r="N27" s="264"/>
      <c r="O27" s="264"/>
      <c r="P27" s="336"/>
      <c r="Q27" s="264"/>
      <c r="R27" s="264"/>
      <c r="S27" s="264"/>
      <c r="T27" s="264"/>
      <c r="U27" s="264"/>
      <c r="V27" s="264"/>
      <c r="W27" s="264"/>
      <c r="X27" s="264"/>
      <c r="Y27" s="264"/>
      <c r="Z27" s="264"/>
      <c r="AA27" s="264"/>
      <c r="AB27" s="264"/>
      <c r="AC27" s="264"/>
      <c r="AD27" s="264"/>
      <c r="AE27" s="264"/>
      <c r="AF27" s="264"/>
      <c r="AG27" s="264"/>
      <c r="AH27" s="264"/>
      <c r="AI27" s="264"/>
    </row>
    <row r="28" spans="2:35" ht="14.4">
      <c r="B28" s="430" t="str">
        <f>"DDR_PHY_Dq4LnSel_"&amp;S10</f>
        <v>DDR_PHY_Dq4LnSel_1</v>
      </c>
      <c r="C28" s="642" t="str">
        <f>"0x"&amp;DEC2HEX(1006632960 + 262800 + 16384*S10)</f>
        <v>0x3C044290</v>
      </c>
      <c r="D28" s="642"/>
      <c r="E28" s="642"/>
      <c r="F28" s="642" t="str">
        <f>"0x"&amp;DEC2HEX(V11, 8)</f>
        <v>0x00000004</v>
      </c>
      <c r="G28" s="642"/>
      <c r="H28" s="643"/>
      <c r="I28" s="264"/>
      <c r="J28" s="264"/>
      <c r="K28" s="264"/>
      <c r="L28" s="264"/>
      <c r="M28" s="264"/>
      <c r="N28" s="264"/>
      <c r="O28" s="264"/>
      <c r="P28" s="336"/>
      <c r="Q28" s="264"/>
      <c r="R28" s="264"/>
      <c r="S28" s="264"/>
      <c r="T28" s="264"/>
      <c r="U28" s="264"/>
      <c r="V28" s="264"/>
      <c r="W28" s="264"/>
      <c r="X28" s="264"/>
      <c r="Y28" s="264"/>
      <c r="Z28" s="264"/>
      <c r="AA28" s="264"/>
      <c r="AB28" s="264"/>
      <c r="AC28" s="264"/>
      <c r="AD28" s="264"/>
      <c r="AE28" s="264"/>
      <c r="AF28" s="264"/>
      <c r="AG28" s="264"/>
      <c r="AH28" s="264"/>
      <c r="AI28" s="264"/>
    </row>
    <row r="29" spans="2:35" ht="14.4">
      <c r="B29" s="430" t="str">
        <f>"DDR_PHY_Dq5LnSel_"&amp;S10</f>
        <v>DDR_PHY_Dq5LnSel_1</v>
      </c>
      <c r="C29" s="642" t="str">
        <f>"0x"&amp;DEC2HEX(1006632960 + 262804 + 16384*S10)</f>
        <v>0x3C044294</v>
      </c>
      <c r="D29" s="642"/>
      <c r="E29" s="642"/>
      <c r="F29" s="642" t="str">
        <f>"0x"&amp;DEC2HEX(U11, 8)</f>
        <v>0x00000005</v>
      </c>
      <c r="G29" s="642"/>
      <c r="H29" s="643"/>
      <c r="I29" s="264"/>
      <c r="J29" s="264"/>
      <c r="K29" s="264"/>
      <c r="L29" s="264"/>
      <c r="M29" s="264"/>
      <c r="N29" s="264"/>
      <c r="O29" s="264"/>
      <c r="P29" s="336"/>
      <c r="Q29" s="264"/>
      <c r="R29" s="264"/>
      <c r="S29" s="264"/>
      <c r="T29" s="264"/>
      <c r="U29" s="264"/>
      <c r="V29" s="264"/>
      <c r="W29" s="264"/>
      <c r="X29" s="264"/>
      <c r="Y29" s="264"/>
      <c r="Z29" s="264"/>
      <c r="AA29" s="264"/>
      <c r="AB29" s="264"/>
      <c r="AC29" s="264"/>
      <c r="AD29" s="264"/>
      <c r="AE29" s="264"/>
      <c r="AF29" s="264"/>
      <c r="AG29" s="264"/>
      <c r="AH29" s="264"/>
      <c r="AI29" s="264"/>
    </row>
    <row r="30" spans="2:35" ht="14.4">
      <c r="B30" s="430" t="str">
        <f>"DDR_PHY_Dq6LnSel_"&amp;S10</f>
        <v>DDR_PHY_Dq6LnSel_1</v>
      </c>
      <c r="C30" s="642" t="str">
        <f>"0x"&amp;DEC2HEX(1006632960 + 262808 + 16384*S10)</f>
        <v>0x3C044298</v>
      </c>
      <c r="D30" s="642"/>
      <c r="E30" s="642"/>
      <c r="F30" s="642" t="str">
        <f>"0x"&amp;DEC2HEX(T11, 8)</f>
        <v>0x00000006</v>
      </c>
      <c r="G30" s="642"/>
      <c r="H30" s="643"/>
      <c r="I30" s="264"/>
      <c r="J30" s="264"/>
      <c r="K30" s="264"/>
      <c r="L30" s="264"/>
      <c r="M30" s="264"/>
      <c r="N30" s="264"/>
      <c r="O30" s="264"/>
      <c r="P30" s="336"/>
      <c r="Q30" s="264"/>
      <c r="R30" s="264"/>
      <c r="S30" s="264"/>
      <c r="T30" s="264"/>
      <c r="U30" s="264"/>
      <c r="V30" s="264"/>
      <c r="W30" s="264"/>
      <c r="X30" s="264"/>
      <c r="Y30" s="264"/>
      <c r="Z30" s="264"/>
      <c r="AA30" s="264"/>
      <c r="AB30" s="264"/>
      <c r="AC30" s="264"/>
      <c r="AD30" s="264"/>
      <c r="AE30" s="264"/>
      <c r="AF30" s="264"/>
      <c r="AG30" s="264"/>
      <c r="AH30" s="264"/>
      <c r="AI30" s="264"/>
    </row>
    <row r="31" spans="2:35" ht="15" thickBot="1">
      <c r="B31" s="343" t="str">
        <f>"DDR_PHY_Dq7LnSel_"&amp;S10</f>
        <v>DDR_PHY_Dq7LnSel_1</v>
      </c>
      <c r="C31" s="648" t="str">
        <f>"0x"&amp;DEC2HEX(1006632960 + 262812 + 16384*S10)</f>
        <v>0x3C04429C</v>
      </c>
      <c r="D31" s="648"/>
      <c r="E31" s="648"/>
      <c r="F31" s="648" t="str">
        <f>"0x"&amp;DEC2HEX(S11, 8)</f>
        <v>0x00000007</v>
      </c>
      <c r="G31" s="648"/>
      <c r="H31" s="649"/>
      <c r="I31" s="264"/>
      <c r="J31" s="264"/>
      <c r="K31" s="264"/>
      <c r="L31" s="264"/>
      <c r="M31" s="264"/>
      <c r="N31" s="264"/>
      <c r="O31" s="264"/>
      <c r="P31" s="336"/>
      <c r="Q31" s="264"/>
      <c r="R31" s="264"/>
      <c r="S31" s="264"/>
      <c r="T31" s="264"/>
      <c r="U31" s="264"/>
      <c r="V31" s="264"/>
      <c r="W31" s="264"/>
      <c r="X31" s="264"/>
      <c r="Y31" s="264"/>
      <c r="Z31" s="264"/>
      <c r="AA31" s="264"/>
      <c r="AB31" s="264"/>
      <c r="AC31" s="264"/>
      <c r="AD31" s="264"/>
      <c r="AE31" s="264"/>
      <c r="AF31" s="264"/>
      <c r="AG31" s="264"/>
      <c r="AH31" s="264"/>
      <c r="AI31" s="264"/>
    </row>
    <row r="32" spans="2:35" ht="14.4">
      <c r="B32" s="429" t="str">
        <f>"DDR_PHY_Dq0LnSel_"&amp;K10</f>
        <v>DDR_PHY_Dq0LnSel_2</v>
      </c>
      <c r="C32" s="640" t="str">
        <f>"0x"&amp;DEC2HEX(1006632960 + 262784 + 16384*K10)</f>
        <v>0x3C048280</v>
      </c>
      <c r="D32" s="640"/>
      <c r="E32" s="640"/>
      <c r="F32" s="640" t="str">
        <f>"0x"&amp;DEC2HEX(R11, 8)</f>
        <v>0x00000000</v>
      </c>
      <c r="G32" s="640"/>
      <c r="H32" s="641"/>
      <c r="I32" s="264"/>
      <c r="J32" s="264"/>
      <c r="K32" s="264"/>
      <c r="L32" s="264"/>
      <c r="M32" s="264"/>
      <c r="N32" s="264"/>
      <c r="O32" s="264"/>
      <c r="P32" s="336"/>
      <c r="Q32" s="264"/>
      <c r="R32" s="264"/>
      <c r="S32" s="264"/>
      <c r="T32" s="264"/>
      <c r="U32" s="264"/>
      <c r="V32" s="264"/>
      <c r="W32" s="264"/>
      <c r="X32" s="264"/>
      <c r="Y32" s="264"/>
      <c r="Z32" s="264"/>
      <c r="AA32" s="264"/>
      <c r="AB32" s="264"/>
      <c r="AC32" s="264"/>
      <c r="AD32" s="264"/>
      <c r="AE32" s="264"/>
      <c r="AF32" s="264"/>
      <c r="AG32" s="264"/>
      <c r="AH32" s="264"/>
      <c r="AI32" s="264"/>
    </row>
    <row r="33" spans="2:35" ht="14.4">
      <c r="B33" s="430" t="str">
        <f>"DDR_PHY_Dq1LnSel_"&amp;K10</f>
        <v>DDR_PHY_Dq1LnSel_2</v>
      </c>
      <c r="C33" s="642" t="str">
        <f>"0x"&amp;DEC2HEX(1006632960 + 262788 + 16384*K10)</f>
        <v>0x3C048284</v>
      </c>
      <c r="D33" s="642"/>
      <c r="E33" s="642"/>
      <c r="F33" s="642" t="str">
        <f>"0x"&amp;DEC2HEX(Q11, 8)</f>
        <v>0x00000001</v>
      </c>
      <c r="G33" s="642"/>
      <c r="H33" s="643"/>
      <c r="I33" s="264"/>
      <c r="J33" s="264"/>
      <c r="K33" s="264"/>
      <c r="L33" s="264"/>
      <c r="M33" s="264"/>
      <c r="N33" s="264"/>
      <c r="O33" s="264"/>
      <c r="P33" s="336"/>
      <c r="Q33" s="264"/>
      <c r="R33" s="264"/>
      <c r="S33" s="264"/>
      <c r="T33" s="264"/>
      <c r="U33" s="264"/>
      <c r="V33" s="264"/>
      <c r="W33" s="264"/>
      <c r="X33" s="264"/>
      <c r="Y33" s="264"/>
      <c r="Z33" s="264"/>
      <c r="AA33" s="264"/>
      <c r="AB33" s="264"/>
      <c r="AC33" s="264"/>
      <c r="AD33" s="264"/>
      <c r="AE33" s="264"/>
      <c r="AF33" s="264"/>
      <c r="AG33" s="264"/>
      <c r="AH33" s="264"/>
      <c r="AI33" s="264"/>
    </row>
    <row r="34" spans="2:35" ht="14.4">
      <c r="B34" s="430" t="str">
        <f>"DDR_PHY_Dq2LnSel_"&amp;K10</f>
        <v>DDR_PHY_Dq2LnSel_2</v>
      </c>
      <c r="C34" s="642" t="str">
        <f>"0x"&amp;DEC2HEX(1006632960 + 262792 + 16384*K10)</f>
        <v>0x3C048288</v>
      </c>
      <c r="D34" s="642"/>
      <c r="E34" s="642"/>
      <c r="F34" s="642" t="str">
        <f>"0x"&amp;DEC2HEX(P11, 8)</f>
        <v>0x00000002</v>
      </c>
      <c r="G34" s="642"/>
      <c r="H34" s="643"/>
      <c r="I34" s="264"/>
      <c r="J34" s="264"/>
      <c r="K34" s="264"/>
      <c r="L34" s="264"/>
      <c r="M34" s="264"/>
      <c r="N34" s="264"/>
      <c r="O34" s="264"/>
      <c r="P34" s="336"/>
      <c r="Q34" s="264"/>
      <c r="R34" s="264"/>
      <c r="S34" s="264"/>
      <c r="T34" s="264"/>
      <c r="U34" s="264"/>
      <c r="V34" s="264"/>
      <c r="W34" s="264"/>
      <c r="X34" s="264"/>
      <c r="Y34" s="264"/>
      <c r="Z34" s="264"/>
      <c r="AA34" s="264"/>
      <c r="AB34" s="264"/>
      <c r="AC34" s="264"/>
      <c r="AD34" s="264"/>
      <c r="AE34" s="264"/>
      <c r="AF34" s="264"/>
      <c r="AG34" s="264"/>
      <c r="AH34" s="264"/>
      <c r="AI34" s="264"/>
    </row>
    <row r="35" spans="2:35" ht="14.4">
      <c r="B35" s="430" t="str">
        <f>"DDR_PHY_Dq3LnSel_"&amp;K10</f>
        <v>DDR_PHY_Dq3LnSel_2</v>
      </c>
      <c r="C35" s="642" t="str">
        <f>"0x"&amp;DEC2HEX(1006632960 + 262796 + 16384*K10)</f>
        <v>0x3C04828C</v>
      </c>
      <c r="D35" s="642"/>
      <c r="E35" s="642"/>
      <c r="F35" s="642" t="str">
        <f>"0x"&amp;DEC2HEX(O11, 8)</f>
        <v>0x00000003</v>
      </c>
      <c r="G35" s="642"/>
      <c r="H35" s="643"/>
      <c r="I35" s="264"/>
      <c r="J35" s="264"/>
      <c r="K35" s="264"/>
      <c r="L35" s="264"/>
      <c r="M35" s="264"/>
      <c r="N35" s="264"/>
      <c r="O35" s="264"/>
      <c r="P35" s="336"/>
      <c r="Q35" s="264"/>
      <c r="R35" s="264"/>
      <c r="S35" s="264"/>
      <c r="T35" s="264"/>
      <c r="U35" s="264"/>
      <c r="V35" s="264"/>
      <c r="W35" s="264"/>
      <c r="X35" s="264"/>
      <c r="Y35" s="264"/>
      <c r="Z35" s="264"/>
      <c r="AA35" s="264"/>
      <c r="AB35" s="264"/>
      <c r="AC35" s="264"/>
      <c r="AD35" s="264"/>
      <c r="AE35" s="264"/>
      <c r="AF35" s="264"/>
      <c r="AG35" s="264"/>
      <c r="AH35" s="264"/>
      <c r="AI35" s="264"/>
    </row>
    <row r="36" spans="2:35" ht="14.4">
      <c r="B36" s="430" t="str">
        <f>"DDR_PHY_Dq4LnSel_"&amp;K10</f>
        <v>DDR_PHY_Dq4LnSel_2</v>
      </c>
      <c r="C36" s="642" t="str">
        <f>"0x"&amp;DEC2HEX(1006632960 + 262800 + 16384*K10)</f>
        <v>0x3C048290</v>
      </c>
      <c r="D36" s="642"/>
      <c r="E36" s="642"/>
      <c r="F36" s="642" t="str">
        <f>"0x"&amp;DEC2HEX(N11, 8)</f>
        <v>0x00000004</v>
      </c>
      <c r="G36" s="642"/>
      <c r="H36" s="643"/>
      <c r="I36" s="264"/>
      <c r="J36" s="264"/>
      <c r="K36" s="264"/>
      <c r="L36" s="264"/>
      <c r="M36" s="264"/>
      <c r="N36" s="264"/>
      <c r="O36" s="264"/>
      <c r="P36" s="336"/>
      <c r="Q36" s="264"/>
      <c r="R36" s="264"/>
      <c r="S36" s="264"/>
      <c r="T36" s="264"/>
      <c r="U36" s="264"/>
      <c r="V36" s="264"/>
      <c r="W36" s="264"/>
      <c r="X36" s="264"/>
      <c r="Y36" s="264"/>
      <c r="Z36" s="264"/>
      <c r="AA36" s="264"/>
      <c r="AB36" s="264"/>
      <c r="AC36" s="264"/>
      <c r="AD36" s="264"/>
      <c r="AE36" s="264"/>
      <c r="AF36" s="264"/>
      <c r="AG36" s="264"/>
      <c r="AH36" s="264"/>
      <c r="AI36" s="264"/>
    </row>
    <row r="37" spans="2:35" ht="14.4">
      <c r="B37" s="430" t="str">
        <f>"DDR_PHY_Dq5LnSel_"&amp;K10</f>
        <v>DDR_PHY_Dq5LnSel_2</v>
      </c>
      <c r="C37" s="642" t="str">
        <f>"0x"&amp;DEC2HEX(1006632960 + 262804 + 16384*K10)</f>
        <v>0x3C048294</v>
      </c>
      <c r="D37" s="642"/>
      <c r="E37" s="642"/>
      <c r="F37" s="642" t="str">
        <f>"0x"&amp;DEC2HEX(M11, 8)</f>
        <v>0x00000005</v>
      </c>
      <c r="G37" s="642"/>
      <c r="H37" s="643"/>
      <c r="I37" s="264"/>
      <c r="J37" s="264"/>
      <c r="K37" s="264"/>
      <c r="L37" s="264"/>
      <c r="M37" s="264"/>
      <c r="N37" s="264"/>
      <c r="O37" s="264"/>
      <c r="P37" s="336"/>
      <c r="Q37" s="264"/>
      <c r="R37" s="264"/>
      <c r="S37" s="264"/>
      <c r="T37" s="264"/>
      <c r="U37" s="264"/>
      <c r="V37" s="264"/>
      <c r="W37" s="264"/>
      <c r="X37" s="264"/>
      <c r="Y37" s="264"/>
      <c r="Z37" s="264"/>
      <c r="AA37" s="264"/>
      <c r="AB37" s="264"/>
      <c r="AC37" s="264"/>
      <c r="AD37" s="264"/>
      <c r="AE37" s="264"/>
      <c r="AF37" s="264"/>
      <c r="AG37" s="264"/>
      <c r="AH37" s="264"/>
      <c r="AI37" s="264"/>
    </row>
    <row r="38" spans="2:35" ht="14.4">
      <c r="B38" s="430" t="str">
        <f>"DDR_PHY_Dq6LnSel_"&amp;K10</f>
        <v>DDR_PHY_Dq6LnSel_2</v>
      </c>
      <c r="C38" s="642" t="str">
        <f>"0x"&amp;DEC2HEX(1006632960 + 262808 + 16384*K10)</f>
        <v>0x3C048298</v>
      </c>
      <c r="D38" s="642"/>
      <c r="E38" s="642"/>
      <c r="F38" s="642" t="str">
        <f>"0x"&amp;DEC2HEX(L11, 8)</f>
        <v>0x00000006</v>
      </c>
      <c r="G38" s="642"/>
      <c r="H38" s="643"/>
      <c r="I38" s="264"/>
      <c r="J38" s="264"/>
      <c r="K38" s="264"/>
      <c r="L38" s="264"/>
      <c r="M38" s="264"/>
      <c r="N38" s="264"/>
      <c r="O38" s="264"/>
      <c r="P38" s="336"/>
      <c r="Q38" s="264"/>
      <c r="R38" s="264"/>
      <c r="S38" s="264"/>
      <c r="T38" s="264"/>
      <c r="U38" s="264"/>
      <c r="V38" s="264"/>
      <c r="W38" s="264"/>
      <c r="X38" s="264"/>
      <c r="Y38" s="264"/>
      <c r="Z38" s="264"/>
      <c r="AA38" s="264"/>
      <c r="AB38" s="264"/>
      <c r="AC38" s="264"/>
      <c r="AD38" s="264"/>
      <c r="AE38" s="264"/>
      <c r="AF38" s="264"/>
      <c r="AG38" s="264"/>
      <c r="AH38" s="264"/>
      <c r="AI38" s="264"/>
    </row>
    <row r="39" spans="2:35" ht="15" thickBot="1">
      <c r="B39" s="24" t="str">
        <f>"DDR_PHY_Dq7LnSel_"&amp;K10</f>
        <v>DDR_PHY_Dq7LnSel_2</v>
      </c>
      <c r="C39" s="644" t="str">
        <f>"0x"&amp;DEC2HEX(1006632960 + 262812 + 16384*K10)</f>
        <v>0x3C04829C</v>
      </c>
      <c r="D39" s="644"/>
      <c r="E39" s="644"/>
      <c r="F39" s="644" t="str">
        <f>"0x"&amp;DEC2HEX(K11, 8)</f>
        <v>0x00000007</v>
      </c>
      <c r="G39" s="644"/>
      <c r="H39" s="645"/>
      <c r="I39" s="264"/>
      <c r="J39" s="264"/>
      <c r="K39" s="264"/>
      <c r="L39" s="264"/>
      <c r="M39" s="264"/>
      <c r="N39" s="264"/>
      <c r="O39" s="264"/>
      <c r="P39" s="336"/>
      <c r="Q39" s="264"/>
      <c r="R39" s="264"/>
      <c r="S39" s="264"/>
      <c r="T39" s="264"/>
      <c r="U39" s="264"/>
      <c r="V39" s="264"/>
      <c r="W39" s="264"/>
      <c r="X39" s="264"/>
      <c r="Y39" s="264"/>
      <c r="Z39" s="264"/>
      <c r="AA39" s="264"/>
      <c r="AB39" s="264"/>
      <c r="AC39" s="264"/>
      <c r="AD39" s="264"/>
      <c r="AE39" s="264"/>
      <c r="AF39" s="264"/>
      <c r="AG39" s="264"/>
      <c r="AH39" s="264"/>
      <c r="AI39" s="264"/>
    </row>
    <row r="40" spans="2:35" ht="14.4">
      <c r="B40" s="431" t="str">
        <f>"DDR_PHY_Dq0LnSel_"&amp;C10</f>
        <v>DDR_PHY_Dq0LnSel_3</v>
      </c>
      <c r="C40" s="646" t="str">
        <f>"0x"&amp;DEC2HEX(1006632960 + 262784 + 16384*C10)</f>
        <v>0x3C04C280</v>
      </c>
      <c r="D40" s="646"/>
      <c r="E40" s="646"/>
      <c r="F40" s="646" t="str">
        <f>"0x"&amp;DEC2HEX(J11, 8)</f>
        <v>0x00000000</v>
      </c>
      <c r="G40" s="646"/>
      <c r="H40" s="647"/>
      <c r="I40" s="264"/>
      <c r="J40" s="264"/>
      <c r="K40" s="264"/>
      <c r="L40" s="264"/>
      <c r="M40" s="264"/>
      <c r="N40" s="264"/>
      <c r="O40" s="264"/>
      <c r="P40" s="336"/>
      <c r="Q40" s="264"/>
      <c r="R40" s="264"/>
      <c r="S40" s="264"/>
      <c r="T40" s="264"/>
      <c r="U40" s="264"/>
      <c r="V40" s="264"/>
      <c r="W40" s="264"/>
      <c r="X40" s="264"/>
      <c r="Y40" s="264"/>
      <c r="Z40" s="264"/>
      <c r="AA40" s="264"/>
      <c r="AB40" s="264"/>
      <c r="AC40" s="264"/>
      <c r="AD40" s="264"/>
      <c r="AE40" s="264"/>
      <c r="AF40" s="264"/>
      <c r="AG40" s="264"/>
      <c r="AH40" s="264"/>
      <c r="AI40" s="264"/>
    </row>
    <row r="41" spans="2:35" ht="14.4">
      <c r="B41" s="430" t="str">
        <f>"DDR_PHY_Dq1LnSel_"&amp;C10</f>
        <v>DDR_PHY_Dq1LnSel_3</v>
      </c>
      <c r="C41" s="642" t="str">
        <f>"0x"&amp;DEC2HEX(1006632960 + 262788 + 16384*C10)</f>
        <v>0x3C04C284</v>
      </c>
      <c r="D41" s="642"/>
      <c r="E41" s="642"/>
      <c r="F41" s="642" t="str">
        <f>"0x"&amp;DEC2HEX(I11, 8)</f>
        <v>0x00000001</v>
      </c>
      <c r="G41" s="642"/>
      <c r="H41" s="643"/>
      <c r="I41" s="264"/>
      <c r="J41" s="264"/>
      <c r="K41" s="264"/>
      <c r="L41" s="264"/>
      <c r="M41" s="264"/>
      <c r="N41" s="264"/>
      <c r="O41" s="264"/>
      <c r="P41" s="336"/>
      <c r="Q41" s="264"/>
      <c r="R41" s="264"/>
      <c r="S41" s="264"/>
      <c r="T41" s="264"/>
      <c r="U41" s="264"/>
      <c r="V41" s="264"/>
      <c r="W41" s="264"/>
      <c r="X41" s="264"/>
      <c r="Y41" s="264"/>
      <c r="Z41" s="264"/>
      <c r="AA41" s="264"/>
      <c r="AB41" s="264"/>
      <c r="AC41" s="264"/>
      <c r="AD41" s="264"/>
      <c r="AE41" s="264"/>
      <c r="AF41" s="264"/>
      <c r="AG41" s="264"/>
      <c r="AH41" s="264"/>
      <c r="AI41" s="264"/>
    </row>
    <row r="42" spans="2:35" ht="14.4">
      <c r="B42" s="432" t="str">
        <f>"DDR_PHY_Dq2LnSel_"&amp;C10</f>
        <v>DDR_PHY_Dq2LnSel_3</v>
      </c>
      <c r="C42" s="650" t="str">
        <f>"0x"&amp;DEC2HEX(1006632960 + 262792 + 16384*C10)</f>
        <v>0x3C04C288</v>
      </c>
      <c r="D42" s="650"/>
      <c r="E42" s="650"/>
      <c r="F42" s="650" t="str">
        <f>"0x"&amp;DEC2HEX(H11, 8)</f>
        <v>0x00000002</v>
      </c>
      <c r="G42" s="650"/>
      <c r="H42" s="651"/>
      <c r="I42" s="264"/>
      <c r="J42" s="264"/>
      <c r="K42" s="264"/>
      <c r="L42" s="264"/>
      <c r="M42" s="264"/>
      <c r="N42" s="264"/>
      <c r="O42" s="264"/>
      <c r="P42" s="336"/>
      <c r="Q42" s="264"/>
      <c r="R42" s="264"/>
      <c r="S42" s="264"/>
      <c r="T42" s="264"/>
      <c r="U42" s="264"/>
      <c r="V42" s="264"/>
      <c r="W42" s="264"/>
      <c r="X42" s="264"/>
      <c r="Y42" s="264"/>
      <c r="Z42" s="264"/>
      <c r="AA42" s="264"/>
      <c r="AB42" s="264"/>
      <c r="AC42" s="264"/>
      <c r="AD42" s="264"/>
      <c r="AE42" s="264"/>
      <c r="AF42" s="264"/>
      <c r="AG42" s="264"/>
      <c r="AH42" s="264"/>
      <c r="AI42" s="264"/>
    </row>
    <row r="43" spans="2:35" ht="14.4">
      <c r="B43" s="432" t="str">
        <f>"DDR_PHY_Dq3LnSel_"&amp;C10</f>
        <v>DDR_PHY_Dq3LnSel_3</v>
      </c>
      <c r="C43" s="650" t="str">
        <f>"0x"&amp;DEC2HEX(1006632960 + 262796 + 16384*C10)</f>
        <v>0x3C04C28C</v>
      </c>
      <c r="D43" s="650"/>
      <c r="E43" s="650"/>
      <c r="F43" s="650" t="str">
        <f>"0x"&amp;DEC2HEX(G11, 8)</f>
        <v>0x00000003</v>
      </c>
      <c r="G43" s="650"/>
      <c r="H43" s="651"/>
      <c r="I43" s="264"/>
      <c r="J43" s="264"/>
      <c r="K43" s="264"/>
      <c r="L43" s="264"/>
      <c r="M43" s="264"/>
      <c r="N43" s="264"/>
      <c r="O43" s="264"/>
      <c r="P43" s="336"/>
      <c r="Q43" s="264"/>
      <c r="R43" s="264"/>
      <c r="S43" s="264"/>
      <c r="T43" s="264"/>
      <c r="U43" s="264"/>
      <c r="V43" s="264"/>
      <c r="W43" s="264"/>
      <c r="X43" s="264"/>
      <c r="Y43" s="264"/>
      <c r="Z43" s="264"/>
      <c r="AA43" s="264"/>
      <c r="AB43" s="264"/>
      <c r="AC43" s="264"/>
      <c r="AD43" s="264"/>
      <c r="AE43" s="264"/>
      <c r="AF43" s="264"/>
      <c r="AG43" s="264"/>
      <c r="AH43" s="264"/>
      <c r="AI43" s="264"/>
    </row>
    <row r="44" spans="2:35" ht="14.4">
      <c r="B44" s="432" t="str">
        <f>"DDR_PHY_Dq4LnSel_"&amp;C10</f>
        <v>DDR_PHY_Dq4LnSel_3</v>
      </c>
      <c r="C44" s="650" t="str">
        <f>"0x"&amp;DEC2HEX(1006632960 + 262800 + 16384*C10)</f>
        <v>0x3C04C290</v>
      </c>
      <c r="D44" s="650"/>
      <c r="E44" s="650"/>
      <c r="F44" s="650" t="str">
        <f>"0x"&amp;DEC2HEX(F11, 8)</f>
        <v>0x00000004</v>
      </c>
      <c r="G44" s="650"/>
      <c r="H44" s="651"/>
      <c r="I44" s="264"/>
      <c r="J44" s="264"/>
      <c r="K44" s="264"/>
      <c r="L44" s="264"/>
      <c r="M44" s="264"/>
      <c r="N44" s="264"/>
      <c r="O44" s="264"/>
      <c r="P44" s="336"/>
      <c r="Q44" s="264"/>
      <c r="R44" s="264"/>
      <c r="S44" s="264"/>
      <c r="T44" s="264"/>
      <c r="U44" s="264"/>
      <c r="V44" s="264"/>
      <c r="W44" s="264"/>
      <c r="X44" s="264"/>
      <c r="Y44" s="264"/>
      <c r="Z44" s="264"/>
      <c r="AA44" s="264"/>
      <c r="AB44" s="264"/>
      <c r="AC44" s="264"/>
      <c r="AD44" s="264"/>
      <c r="AE44" s="264"/>
      <c r="AF44" s="264"/>
      <c r="AG44" s="264"/>
      <c r="AH44" s="264"/>
      <c r="AI44" s="264"/>
    </row>
    <row r="45" spans="2:35" ht="14.4">
      <c r="B45" s="432" t="str">
        <f>"DDR_PHY_Dq5LnSel_"&amp;C10</f>
        <v>DDR_PHY_Dq5LnSel_3</v>
      </c>
      <c r="C45" s="650" t="str">
        <f>"0x"&amp;DEC2HEX(1006632960 + 262804 + 16384*C10)</f>
        <v>0x3C04C294</v>
      </c>
      <c r="D45" s="650"/>
      <c r="E45" s="650"/>
      <c r="F45" s="650" t="str">
        <f>"0x"&amp;DEC2HEX(E11, 8)</f>
        <v>0x00000005</v>
      </c>
      <c r="G45" s="650"/>
      <c r="H45" s="651"/>
      <c r="I45" s="264"/>
      <c r="J45" s="264"/>
      <c r="K45" s="264"/>
      <c r="L45" s="264"/>
      <c r="M45" s="264"/>
      <c r="N45" s="264"/>
      <c r="O45" s="264"/>
      <c r="P45" s="336"/>
      <c r="Q45" s="264"/>
      <c r="R45" s="264"/>
      <c r="S45" s="264"/>
      <c r="T45" s="264"/>
      <c r="U45" s="264"/>
      <c r="V45" s="264"/>
      <c r="W45" s="264"/>
      <c r="X45" s="264"/>
      <c r="Y45" s="264"/>
      <c r="Z45" s="264"/>
      <c r="AA45" s="264"/>
      <c r="AB45" s="264"/>
      <c r="AC45" s="264"/>
      <c r="AD45" s="264"/>
      <c r="AE45" s="264"/>
      <c r="AF45" s="264"/>
      <c r="AG45" s="264"/>
      <c r="AH45" s="264"/>
      <c r="AI45" s="264"/>
    </row>
    <row r="46" spans="2:35" ht="14.4">
      <c r="B46" s="432" t="str">
        <f>"DDR_PHY_Dq6LnSel_"&amp;C10</f>
        <v>DDR_PHY_Dq6LnSel_3</v>
      </c>
      <c r="C46" s="650" t="str">
        <f>"0x"&amp;DEC2HEX(1006632960 + 262808 + 16384*C10)</f>
        <v>0x3C04C298</v>
      </c>
      <c r="D46" s="650"/>
      <c r="E46" s="650"/>
      <c r="F46" s="650" t="str">
        <f>"0x"&amp;DEC2HEX(D11, 8)</f>
        <v>0x00000006</v>
      </c>
      <c r="G46" s="650"/>
      <c r="H46" s="651"/>
      <c r="I46" s="264"/>
      <c r="J46" s="264"/>
      <c r="K46" s="264"/>
      <c r="L46" s="264"/>
      <c r="M46" s="264"/>
      <c r="N46" s="264"/>
      <c r="O46" s="264"/>
      <c r="P46" s="336"/>
      <c r="Q46" s="264"/>
      <c r="R46" s="264"/>
      <c r="S46" s="264"/>
      <c r="T46" s="264"/>
      <c r="U46" s="264"/>
      <c r="V46" s="264"/>
      <c r="W46" s="264"/>
      <c r="X46" s="264"/>
      <c r="Y46" s="264"/>
      <c r="Z46" s="264"/>
      <c r="AA46" s="264"/>
      <c r="AB46" s="264"/>
      <c r="AC46" s="264"/>
      <c r="AD46" s="264"/>
      <c r="AE46" s="264"/>
      <c r="AF46" s="264"/>
      <c r="AG46" s="264"/>
      <c r="AH46" s="264"/>
      <c r="AI46" s="264"/>
    </row>
    <row r="47" spans="2:35" ht="15" thickBot="1">
      <c r="B47" s="433" t="str">
        <f>"DDR_PHY_Dq7LnSel_"&amp;C10</f>
        <v>DDR_PHY_Dq7LnSel_3</v>
      </c>
      <c r="C47" s="652" t="str">
        <f>"0x"&amp;DEC2HEX(1006632960 + 262812 + 16384*C10)</f>
        <v>0x3C04C29C</v>
      </c>
      <c r="D47" s="652"/>
      <c r="E47" s="652"/>
      <c r="F47" s="652" t="str">
        <f>"0x"&amp;DEC2HEX(C11, 8)</f>
        <v>0x00000007</v>
      </c>
      <c r="G47" s="652"/>
      <c r="H47" s="653"/>
      <c r="I47" s="264"/>
      <c r="J47" s="264"/>
      <c r="K47" s="264"/>
      <c r="L47" s="264"/>
      <c r="M47" s="264"/>
      <c r="N47" s="264"/>
      <c r="O47" s="264"/>
      <c r="P47" s="336"/>
      <c r="Q47" s="264"/>
      <c r="R47" s="264"/>
      <c r="S47" s="264"/>
      <c r="T47" s="264"/>
      <c r="U47" s="264"/>
      <c r="V47" s="264"/>
      <c r="W47" s="264"/>
      <c r="X47" s="264"/>
      <c r="Y47" s="264"/>
      <c r="Z47" s="264"/>
      <c r="AA47" s="264"/>
      <c r="AB47" s="264"/>
      <c r="AC47" s="264"/>
      <c r="AD47" s="264"/>
      <c r="AE47" s="264"/>
      <c r="AF47" s="264"/>
      <c r="AG47" s="264"/>
      <c r="AH47" s="264"/>
      <c r="AI47" s="264"/>
    </row>
  </sheetData>
  <mergeCells count="74">
    <mergeCell ref="C47:E47"/>
    <mergeCell ref="F47:H47"/>
    <mergeCell ref="C44:E44"/>
    <mergeCell ref="F44:H44"/>
    <mergeCell ref="C45:E45"/>
    <mergeCell ref="F45:H45"/>
    <mergeCell ref="C46:E46"/>
    <mergeCell ref="F46:H46"/>
    <mergeCell ref="C41:E41"/>
    <mergeCell ref="F41:H41"/>
    <mergeCell ref="C42:E42"/>
    <mergeCell ref="F42:H42"/>
    <mergeCell ref="C43:E43"/>
    <mergeCell ref="F43:H43"/>
    <mergeCell ref="C38:E38"/>
    <mergeCell ref="F38:H38"/>
    <mergeCell ref="C39:E39"/>
    <mergeCell ref="F39:H39"/>
    <mergeCell ref="C40:E40"/>
    <mergeCell ref="F40:H40"/>
    <mergeCell ref="C35:E35"/>
    <mergeCell ref="F35:H35"/>
    <mergeCell ref="C36:E36"/>
    <mergeCell ref="F36:H36"/>
    <mergeCell ref="C37:E37"/>
    <mergeCell ref="F37:H37"/>
    <mergeCell ref="C32:E32"/>
    <mergeCell ref="F32:H32"/>
    <mergeCell ref="C33:E33"/>
    <mergeCell ref="F33:H33"/>
    <mergeCell ref="C34:E34"/>
    <mergeCell ref="F34:H34"/>
    <mergeCell ref="C29:E29"/>
    <mergeCell ref="F29:H29"/>
    <mergeCell ref="C30:E30"/>
    <mergeCell ref="F30:H30"/>
    <mergeCell ref="C31:E31"/>
    <mergeCell ref="F31:H31"/>
    <mergeCell ref="C26:E26"/>
    <mergeCell ref="F26:H26"/>
    <mergeCell ref="C27:E27"/>
    <mergeCell ref="F27:H27"/>
    <mergeCell ref="C28:E28"/>
    <mergeCell ref="F28:H28"/>
    <mergeCell ref="C23:E23"/>
    <mergeCell ref="F23:H23"/>
    <mergeCell ref="C24:E24"/>
    <mergeCell ref="F24:H24"/>
    <mergeCell ref="C25:E25"/>
    <mergeCell ref="F25:H25"/>
    <mergeCell ref="C20:E20"/>
    <mergeCell ref="F20:H20"/>
    <mergeCell ref="C21:E21"/>
    <mergeCell ref="F21:H21"/>
    <mergeCell ref="C22:E22"/>
    <mergeCell ref="F22:H22"/>
    <mergeCell ref="C17:E17"/>
    <mergeCell ref="F17:H17"/>
    <mergeCell ref="C18:E18"/>
    <mergeCell ref="F18:H18"/>
    <mergeCell ref="C19:E19"/>
    <mergeCell ref="F19:H19"/>
    <mergeCell ref="C12:AH12"/>
    <mergeCell ref="C15:E15"/>
    <mergeCell ref="F15:H15"/>
    <mergeCell ref="C16:E16"/>
    <mergeCell ref="F16:H16"/>
    <mergeCell ref="C6:AH6"/>
    <mergeCell ref="C7:R7"/>
    <mergeCell ref="S7:AH7"/>
    <mergeCell ref="C10:J10"/>
    <mergeCell ref="K10:R10"/>
    <mergeCell ref="S10:Z10"/>
    <mergeCell ref="AA10:AH10"/>
  </mergeCells>
  <phoneticPr fontId="32" type="noConversion"/>
  <conditionalFormatting sqref="C12:C13">
    <cfRule type="containsText" dxfId="1" priority="2" operator="containsText" text="Error In DQ Bit Entry">
      <formula>NOT(ISERROR(SEARCH("Error In DQ Bit Entry",C12)))</formula>
    </cfRule>
    <cfRule type="containsText" dxfId="0" priority="3" operator="containsText" text="DQ Bits Entered Correctly">
      <formula>NOT(ISERROR(SEARCH("DQ Bits Entered Correctly",C12)))</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356"/>
  <sheetViews>
    <sheetView topLeftCell="A330" workbookViewId="0">
      <selection sqref="A1:E356"/>
    </sheetView>
  </sheetViews>
  <sheetFormatPr defaultRowHeight="13.8"/>
  <cols>
    <col min="1" max="1" width="16.5546875" style="122" customWidth="1"/>
    <col min="2" max="2" width="13.5546875" style="329" customWidth="1"/>
    <col min="3" max="3" width="6" style="122" customWidth="1"/>
    <col min="4" max="4" width="13.109375" style="329" customWidth="1"/>
    <col min="5" max="5" width="98.109375" style="122" customWidth="1"/>
  </cols>
  <sheetData>
    <row r="1" spans="1:1">
      <c r="A1" s="122" t="str">
        <f>"#  Version "&amp;'Revision History'!B3</f>
        <v>#  Version 24</v>
      </c>
    </row>
    <row r="2" spans="1:1">
      <c r="A2" s="122" t="s">
        <v>414</v>
      </c>
    </row>
    <row r="3" spans="1:1">
      <c r="A3" s="122" t="s">
        <v>415</v>
      </c>
    </row>
    <row r="4" spans="1:1">
      <c r="A4" s="122" t="s">
        <v>416</v>
      </c>
    </row>
    <row r="5" spans="1:1">
      <c r="A5" s="122" t="s">
        <v>417</v>
      </c>
    </row>
    <row r="6" spans="1:1">
      <c r="A6" s="122" t="s">
        <v>418</v>
      </c>
    </row>
    <row r="7" spans="1:1">
      <c r="A7" s="122" t="s">
        <v>413</v>
      </c>
    </row>
    <row r="8" spans="1:1">
      <c r="A8" s="122" t="s">
        <v>419</v>
      </c>
    </row>
    <row r="9" spans="1:1">
      <c r="A9" s="122" t="s">
        <v>420</v>
      </c>
    </row>
    <row r="10" spans="1:1">
      <c r="A10" s="122" t="s">
        <v>421</v>
      </c>
    </row>
    <row r="11" spans="1:1">
      <c r="A11" s="122" t="s">
        <v>422</v>
      </c>
    </row>
    <row r="12" spans="1:1">
      <c r="A12" s="122" t="s">
        <v>423</v>
      </c>
    </row>
    <row r="13" spans="1:1">
      <c r="A13" s="122" t="s">
        <v>424</v>
      </c>
    </row>
    <row r="14" spans="1:1">
      <c r="A14" s="122" t="s">
        <v>425</v>
      </c>
    </row>
    <row r="16" spans="1:1">
      <c r="A16" s="122" t="s">
        <v>1066</v>
      </c>
    </row>
    <row r="17" spans="1:5">
      <c r="A17" s="122" t="s">
        <v>1067</v>
      </c>
    </row>
    <row r="18" spans="1:5">
      <c r="A18" s="122" t="s">
        <v>1068</v>
      </c>
    </row>
    <row r="19" spans="1:5">
      <c r="A19" s="122" t="s">
        <v>393</v>
      </c>
      <c r="B19" s="330" t="str">
        <f>"0x30330"&amp;IF('Register Configuration'!F32=1, "234", IF('Register Configuration'!F32=2, "23C", IF('Register Configuration'!F32=3, "244", "24C")))</f>
        <v>0x30330234</v>
      </c>
      <c r="C19" s="420">
        <v>32</v>
      </c>
      <c r="D19" s="329" t="s">
        <v>1071</v>
      </c>
      <c r="E19" s="122" t="str">
        <f>"#IOMUXC_SW_MUX_UART"&amp;('Register Configuration'!F32)&amp;"_RXD"</f>
        <v>#IOMUXC_SW_MUX_UART1_RXD</v>
      </c>
    </row>
    <row r="20" spans="1:5">
      <c r="A20" s="122" t="s">
        <v>393</v>
      </c>
      <c r="B20" s="330" t="str">
        <f>"0x30330"&amp;IF('Register Configuration'!F32=1, "238", IF('Register Configuration'!F32=2, "240", IF('Register Configuration'!F32=3, "248", "250")))</f>
        <v>0x30330238</v>
      </c>
      <c r="C20" s="420">
        <v>32</v>
      </c>
      <c r="D20" s="329" t="s">
        <v>339</v>
      </c>
      <c r="E20" s="122" t="str">
        <f>"#IOMUXC_SW_MUX_UART"&amp;('Register Configuration'!F32)&amp;"_TXD"</f>
        <v>#IOMUXC_SW_MUX_UART1_TXD</v>
      </c>
    </row>
    <row r="21" spans="1:5">
      <c r="A21" s="122" t="s">
        <v>393</v>
      </c>
      <c r="B21" s="330" t="str">
        <f>"0x30330"&amp;IF('Register Configuration'!F32=1, "49C", IF('Register Configuration'!F32=2, "4A4", IF('Register Configuration'!F32=3, "4AC", "4B4")))</f>
        <v>0x3033049C</v>
      </c>
      <c r="C21" s="420">
        <v>32</v>
      </c>
      <c r="D21" s="329" t="s">
        <v>1072</v>
      </c>
      <c r="E21" s="122" t="str">
        <f>"#IOMUXC_SW_PAD_UART"&amp;('Register Configuration'!F32)&amp;"_RXD"</f>
        <v>#IOMUXC_SW_PAD_UART1_RXD</v>
      </c>
    </row>
    <row r="22" spans="1:5">
      <c r="A22" s="122" t="s">
        <v>393</v>
      </c>
      <c r="B22" s="330" t="str">
        <f>"0x30330"&amp;IF('Register Configuration'!F32=1, "4A0", IF('Register Configuration'!F32=2, "4A8", IF('Register Configuration'!F32=3, "4B0", "4B8")))</f>
        <v>0x303304A0</v>
      </c>
      <c r="C22" s="420">
        <v>32</v>
      </c>
      <c r="D22" s="329" t="s">
        <v>1072</v>
      </c>
      <c r="E22" s="122" t="str">
        <f>"#IOMUXC_SW_PAD_UART"&amp;('Register Configuration'!F32)&amp;"_TXD"</f>
        <v>#IOMUXC_SW_PAD_UART1_TXD</v>
      </c>
    </row>
    <row r="23" spans="1:5">
      <c r="A23" s="122" t="s">
        <v>393</v>
      </c>
      <c r="B23" s="330" t="str">
        <f>"0x30330"&amp;IF('Register Configuration'!F32=1, "4F4", IF('Register Configuration'!F32=2, "4FC", IF('Register Configuration'!F32=3, "504", "50C")))</f>
        <v>0x303304F4</v>
      </c>
      <c r="C23" s="420">
        <v>32</v>
      </c>
      <c r="D23" s="330" t="str">
        <f>IF(OR('Register Configuration'!F32=3, 'Register Configuration'!F32=4), "0x00000002", "0x00000000")</f>
        <v>0x00000000</v>
      </c>
      <c r="E23" s="122" t="str">
        <f>"#IOMUXC_SW_MUX_UART"&amp;('Register Configuration'!F32)&amp;"_SEL_RXD"</f>
        <v>#IOMUXC_SW_MUX_UART1_SEL_RXD</v>
      </c>
    </row>
    <row r="24" spans="1:5">
      <c r="A24" s="122" t="s">
        <v>1065</v>
      </c>
      <c r="B24" s="331" t="s">
        <v>1062</v>
      </c>
      <c r="C24" s="420"/>
      <c r="D24" s="330">
        <f>'Register Configuration'!F32 - 1</f>
        <v>0</v>
      </c>
      <c r="E24" s="122" t="s">
        <v>1069</v>
      </c>
    </row>
    <row r="26" spans="1:5">
      <c r="A26" s="122" t="s">
        <v>426</v>
      </c>
    </row>
    <row r="27" spans="1:5">
      <c r="A27" s="122" t="s">
        <v>427</v>
      </c>
    </row>
    <row r="28" spans="1:5">
      <c r="A28" s="122" t="s">
        <v>393</v>
      </c>
      <c r="B28" s="329" t="s">
        <v>433</v>
      </c>
      <c r="C28" s="321">
        <v>32</v>
      </c>
      <c r="D28" s="329" t="s">
        <v>434</v>
      </c>
      <c r="E28" s="122" t="s">
        <v>435</v>
      </c>
    </row>
    <row r="29" spans="1:5">
      <c r="A29" s="122" t="s">
        <v>393</v>
      </c>
      <c r="B29" s="329" t="s">
        <v>436</v>
      </c>
      <c r="C29" s="321">
        <v>32</v>
      </c>
      <c r="D29" s="329" t="s">
        <v>437</v>
      </c>
      <c r="E29" s="122" t="s">
        <v>438</v>
      </c>
    </row>
    <row r="30" spans="1:5">
      <c r="C30" s="321"/>
    </row>
    <row r="31" spans="1:5">
      <c r="A31" s="122" t="s">
        <v>428</v>
      </c>
      <c r="C31" s="321"/>
    </row>
    <row r="32" spans="1:5">
      <c r="A32" s="122" t="s">
        <v>393</v>
      </c>
      <c r="B32" s="329" t="s">
        <v>441</v>
      </c>
      <c r="C32" s="321">
        <v>32</v>
      </c>
      <c r="D32" s="329" t="s">
        <v>439</v>
      </c>
      <c r="E32" s="122" t="s">
        <v>440</v>
      </c>
    </row>
    <row r="33" spans="1:5">
      <c r="A33" s="122" t="s">
        <v>429</v>
      </c>
      <c r="B33" s="329" t="s">
        <v>442</v>
      </c>
      <c r="C33" s="321">
        <v>32</v>
      </c>
      <c r="D33" s="329" t="s">
        <v>443</v>
      </c>
      <c r="E33" s="122" t="s">
        <v>444</v>
      </c>
    </row>
    <row r="34" spans="1:5">
      <c r="C34" s="321"/>
    </row>
    <row r="35" spans="1:5">
      <c r="A35" s="122" t="s">
        <v>393</v>
      </c>
      <c r="B35" s="329" t="s">
        <v>407</v>
      </c>
      <c r="C35" s="321">
        <v>32</v>
      </c>
      <c r="D35" s="329" t="s">
        <v>445</v>
      </c>
      <c r="E35" s="122" t="s">
        <v>446</v>
      </c>
    </row>
    <row r="36" spans="1:5">
      <c r="A36" s="122" t="s">
        <v>393</v>
      </c>
      <c r="B36" s="329" t="s">
        <v>448</v>
      </c>
      <c r="C36" s="321">
        <v>32</v>
      </c>
      <c r="D36" s="329" t="s">
        <v>445</v>
      </c>
      <c r="E36" s="122" t="s">
        <v>447</v>
      </c>
    </row>
    <row r="37" spans="1:5">
      <c r="C37" s="321"/>
    </row>
    <row r="38" spans="1:5">
      <c r="A38" s="122" t="s">
        <v>430</v>
      </c>
      <c r="C38" s="321"/>
    </row>
    <row r="39" spans="1:5" s="264" customFormat="1">
      <c r="A39" s="441" t="s">
        <v>1053</v>
      </c>
      <c r="B39" s="442"/>
      <c r="C39" s="443"/>
      <c r="D39" s="442"/>
      <c r="E39" s="441"/>
    </row>
    <row r="40" spans="1:5" s="264" customFormat="1">
      <c r="A40" s="441" t="s">
        <v>1052</v>
      </c>
      <c r="B40" s="442"/>
      <c r="C40" s="443"/>
      <c r="D40" s="442"/>
      <c r="E40" s="441"/>
    </row>
    <row r="41" spans="1:5" s="264" customFormat="1">
      <c r="A41" s="441" t="s">
        <v>1054</v>
      </c>
      <c r="B41" s="442"/>
      <c r="C41" s="443"/>
      <c r="D41" s="442"/>
      <c r="E41" s="441"/>
    </row>
    <row r="42" spans="1:5">
      <c r="A42" s="122" t="s">
        <v>393</v>
      </c>
      <c r="B42" s="329" t="s">
        <v>449</v>
      </c>
      <c r="C42" s="321">
        <v>32</v>
      </c>
      <c r="D42" s="330" t="str">
        <f>IF('Register Configuration'!C29=1600,"0x00ece580", IF('Register Configuration'!C29=800,"0x00AC0784", IF('Register Configuration'!C29=334,"0x00f5a406", IF('Register Configuration'!C29=200, "0x00EC6996", "TBD"))))</f>
        <v>0x00ece580</v>
      </c>
      <c r="E42" s="122" t="str">
        <f>"#HW_DRAM_PLL_CFG2_ADDR: For " &amp; 'Register Configuration'!C29 &amp; "MHz DDR speed, Configure DRAM PLL for " &amp; ('Register Configuration'!C29)/2 &amp; "MHz operation"</f>
        <v>#HW_DRAM_PLL_CFG2_ADDR: For 1600MHz DDR speed, Configure DRAM PLL for 800MHz operation</v>
      </c>
    </row>
    <row r="43" spans="1:5">
      <c r="C43" s="321"/>
    </row>
    <row r="44" spans="1:5">
      <c r="A44" s="122" t="s">
        <v>431</v>
      </c>
      <c r="B44" s="329" t="s">
        <v>450</v>
      </c>
      <c r="C44" s="321">
        <v>32</v>
      </c>
      <c r="D44" s="329" t="s">
        <v>451</v>
      </c>
      <c r="E44" s="122" t="s">
        <v>452</v>
      </c>
    </row>
    <row r="45" spans="1:5">
      <c r="A45" s="122" t="s">
        <v>429</v>
      </c>
      <c r="B45" s="329" t="s">
        <v>450</v>
      </c>
      <c r="C45" s="321">
        <v>32</v>
      </c>
      <c r="D45" s="329" t="s">
        <v>349</v>
      </c>
      <c r="E45" s="122" t="s">
        <v>453</v>
      </c>
    </row>
    <row r="46" spans="1:5">
      <c r="A46" s="122" t="s">
        <v>431</v>
      </c>
      <c r="B46" s="329" t="s">
        <v>450</v>
      </c>
      <c r="C46" s="321">
        <v>32</v>
      </c>
      <c r="D46" s="329" t="s">
        <v>443</v>
      </c>
      <c r="E46" s="122" t="s">
        <v>454</v>
      </c>
    </row>
    <row r="47" spans="1:5">
      <c r="A47" s="122" t="s">
        <v>431</v>
      </c>
      <c r="B47" s="329" t="s">
        <v>450</v>
      </c>
      <c r="C47" s="321">
        <v>32</v>
      </c>
      <c r="D47" s="329" t="s">
        <v>458</v>
      </c>
      <c r="E47" s="122" t="s">
        <v>455</v>
      </c>
    </row>
    <row r="48" spans="1:5">
      <c r="C48" s="321"/>
    </row>
    <row r="49" spans="1:5">
      <c r="A49" s="122" t="s">
        <v>432</v>
      </c>
      <c r="B49" s="329" t="s">
        <v>450</v>
      </c>
      <c r="C49" s="321">
        <v>32</v>
      </c>
      <c r="D49" s="329" t="s">
        <v>404</v>
      </c>
      <c r="E49" s="122" t="s">
        <v>456</v>
      </c>
    </row>
    <row r="50" spans="1:5">
      <c r="C50" s="321"/>
    </row>
    <row r="51" spans="1:5">
      <c r="A51" s="122" t="s">
        <v>393</v>
      </c>
      <c r="B51" s="329" t="s">
        <v>407</v>
      </c>
      <c r="C51" s="321">
        <v>32</v>
      </c>
      <c r="D51" s="329" t="s">
        <v>459</v>
      </c>
      <c r="E51" s="122" t="s">
        <v>457</v>
      </c>
    </row>
    <row r="53" spans="1:5">
      <c r="A53" s="122" t="s">
        <v>394</v>
      </c>
    </row>
    <row r="54" spans="1:5">
      <c r="A54" s="122" t="s">
        <v>392</v>
      </c>
      <c r="B54" s="329" t="s">
        <v>395</v>
      </c>
      <c r="C54" s="321">
        <v>32</v>
      </c>
      <c r="D54" s="329" t="s">
        <v>338</v>
      </c>
      <c r="E54" s="122" t="s">
        <v>550</v>
      </c>
    </row>
    <row r="55" spans="1:5">
      <c r="A55" s="122" t="s">
        <v>392</v>
      </c>
      <c r="B55" s="329" t="s">
        <v>396</v>
      </c>
      <c r="C55" s="321">
        <v>32</v>
      </c>
      <c r="D55" s="329" t="s">
        <v>338</v>
      </c>
      <c r="E55" s="122" t="s">
        <v>551</v>
      </c>
    </row>
    <row r="56" spans="1:5">
      <c r="A56" s="122" t="s">
        <v>392</v>
      </c>
      <c r="B56" s="330" t="str">
        <f>'Register Configuration'!H45</f>
        <v>0x3D400000</v>
      </c>
      <c r="C56" s="321">
        <v>32</v>
      </c>
      <c r="D56" s="330" t="str">
        <f>'Register Configuration'!I45</f>
        <v>0xA1080020</v>
      </c>
      <c r="E56" s="122" t="s">
        <v>552</v>
      </c>
    </row>
    <row r="57" spans="1:5">
      <c r="A57" s="122" t="s">
        <v>392</v>
      </c>
      <c r="B57" s="330" t="str">
        <f>'Register Configuration'!H59</f>
        <v>0x3D400028</v>
      </c>
      <c r="C57" s="321">
        <v>32</v>
      </c>
      <c r="D57" s="330" t="str">
        <f>'Register Configuration'!I59</f>
        <v>0x00000000</v>
      </c>
      <c r="E57" s="122" t="s">
        <v>992</v>
      </c>
    </row>
    <row r="58" spans="1:5">
      <c r="A58" s="122" t="s">
        <v>392</v>
      </c>
      <c r="B58" s="330" t="str">
        <f>'Register Configuration'!H176</f>
        <v>0x3D400020</v>
      </c>
      <c r="C58" s="321">
        <v>32</v>
      </c>
      <c r="D58" s="330" t="str">
        <f>'Register Configuration'!I176</f>
        <v>0x00000203</v>
      </c>
      <c r="E58" s="122" t="s">
        <v>952</v>
      </c>
    </row>
    <row r="59" spans="1:5">
      <c r="A59" s="122" t="s">
        <v>392</v>
      </c>
      <c r="B59" s="330" t="str">
        <f>'Register Configuration'!H181</f>
        <v>0x3D400024</v>
      </c>
      <c r="C59" s="321">
        <v>32</v>
      </c>
      <c r="D59" s="330" t="str">
        <f>'Register Configuration'!I181</f>
        <v>0x0003E800</v>
      </c>
      <c r="E59" s="122" t="s">
        <v>953</v>
      </c>
    </row>
    <row r="60" spans="1:5">
      <c r="A60" s="122" t="s">
        <v>392</v>
      </c>
      <c r="B60" s="330" t="str">
        <f>'Register Configuration'!H96</f>
        <v>0x3D400064</v>
      </c>
      <c r="C60" s="321">
        <v>32</v>
      </c>
      <c r="D60" s="330" t="str">
        <f>'Register Configuration'!I96</f>
        <v>0x006100E0</v>
      </c>
      <c r="E60" s="122" t="s">
        <v>553</v>
      </c>
    </row>
    <row r="61" spans="1:5">
      <c r="A61" s="289"/>
      <c r="B61" s="331"/>
      <c r="C61" s="322"/>
      <c r="D61" s="331"/>
      <c r="E61" s="289"/>
    </row>
    <row r="62" spans="1:5">
      <c r="A62" s="122" t="s">
        <v>392</v>
      </c>
      <c r="B62" s="330" t="str">
        <f>'Register Configuration'!H100</f>
        <v>0x3D4000D0</v>
      </c>
      <c r="C62" s="321">
        <v>32</v>
      </c>
      <c r="D62" s="330" t="str">
        <f>'Register Configuration'!I100</f>
        <v>0xC003061C</v>
      </c>
      <c r="E62" s="122" t="s">
        <v>554</v>
      </c>
    </row>
    <row r="63" spans="1:5">
      <c r="A63" s="122" t="s">
        <v>392</v>
      </c>
      <c r="B63" s="330" t="str">
        <f>'Register Configuration'!H104</f>
        <v>0x3D4000D4</v>
      </c>
      <c r="C63" s="321">
        <v>32</v>
      </c>
      <c r="D63" s="330" t="str">
        <f>'Register Configuration'!I104</f>
        <v>0x009E0000</v>
      </c>
      <c r="E63" s="122" t="s">
        <v>555</v>
      </c>
    </row>
    <row r="64" spans="1:5">
      <c r="A64" s="122" t="s">
        <v>392</v>
      </c>
      <c r="B64" s="330" t="str">
        <f>'Register Configuration'!H204</f>
        <v>0x3D4000DC</v>
      </c>
      <c r="C64" s="321">
        <v>32</v>
      </c>
      <c r="D64" s="330" t="str">
        <f>'Register Configuration'!I204</f>
        <v>0x00D4002D</v>
      </c>
      <c r="E64" s="122" t="s">
        <v>556</v>
      </c>
    </row>
    <row r="65" spans="1:5">
      <c r="A65" s="122" t="s">
        <v>392</v>
      </c>
      <c r="B65" s="330" t="str">
        <f>'Register Configuration'!H216</f>
        <v>0x3D4000E0</v>
      </c>
      <c r="C65" s="321">
        <v>32</v>
      </c>
      <c r="D65" s="330" t="str">
        <f>'Register Configuration'!I216</f>
        <v>0x00310008</v>
      </c>
      <c r="E65" s="122" t="s">
        <v>557</v>
      </c>
    </row>
    <row r="66" spans="1:5">
      <c r="A66" s="122" t="s">
        <v>392</v>
      </c>
      <c r="B66" s="330" t="str">
        <f>'Register Configuration'!H231</f>
        <v>0x3D4000E8</v>
      </c>
      <c r="C66" s="321">
        <v>32</v>
      </c>
      <c r="D66" s="330" t="str">
        <f>'Register Configuration'!I231</f>
        <v>0x0066004A</v>
      </c>
      <c r="E66" s="122" t="s">
        <v>558</v>
      </c>
    </row>
    <row r="67" spans="1:5">
      <c r="A67" s="122" t="s">
        <v>392</v>
      </c>
      <c r="B67" s="330" t="str">
        <f>'Register Configuration'!H236</f>
        <v>0x3D4000EC</v>
      </c>
      <c r="C67" s="321">
        <v>32</v>
      </c>
      <c r="D67" s="330" t="str">
        <f>'Register Configuration'!I236</f>
        <v>0x0016004A</v>
      </c>
      <c r="E67" s="122" t="s">
        <v>559</v>
      </c>
    </row>
    <row r="69" spans="1:5">
      <c r="A69" s="122" t="s">
        <v>393</v>
      </c>
      <c r="B69" s="330" t="str">
        <f>'Register Configuration'!H113</f>
        <v>0x3D400100</v>
      </c>
      <c r="C69" s="321">
        <v>32</v>
      </c>
      <c r="D69" s="330" t="str">
        <f>'Register Configuration'!I113</f>
        <v>0x1A201B22</v>
      </c>
      <c r="E69" s="122" t="s">
        <v>560</v>
      </c>
    </row>
    <row r="70" spans="1:5">
      <c r="A70" s="122" t="s">
        <v>393</v>
      </c>
      <c r="B70" s="330" t="str">
        <f>'Register Configuration'!H118</f>
        <v>0x3D400104</v>
      </c>
      <c r="C70" s="321">
        <v>32</v>
      </c>
      <c r="D70" s="330" t="str">
        <f>'Register Configuration'!I118</f>
        <v>0x00060633</v>
      </c>
      <c r="E70" s="122" t="s">
        <v>561</v>
      </c>
    </row>
    <row r="71" spans="1:5">
      <c r="A71" s="122" t="s">
        <v>393</v>
      </c>
      <c r="B71" s="330" t="str">
        <f>'Register Configuration'!H129</f>
        <v>0x3D40010C</v>
      </c>
      <c r="C71" s="321">
        <v>32</v>
      </c>
      <c r="D71" s="330" t="str">
        <f>'Register Configuration'!I129</f>
        <v>0x00C0C000</v>
      </c>
      <c r="E71" s="122" t="s">
        <v>563</v>
      </c>
    </row>
    <row r="72" spans="1:5">
      <c r="A72" s="122" t="s">
        <v>393</v>
      </c>
      <c r="B72" s="330" t="str">
        <f>'Register Configuration'!H133</f>
        <v>0x3D400110</v>
      </c>
      <c r="C72" s="321">
        <v>32</v>
      </c>
      <c r="D72" s="330" t="str">
        <f>'Register Configuration'!I133</f>
        <v>0x0F04080F</v>
      </c>
      <c r="E72" s="122" t="s">
        <v>564</v>
      </c>
    </row>
    <row r="73" spans="1:5">
      <c r="A73" s="122" t="s">
        <v>393</v>
      </c>
      <c r="B73" s="330" t="str">
        <f>'Register Configuration'!H138</f>
        <v>0x3D400114</v>
      </c>
      <c r="C73" s="321">
        <v>32</v>
      </c>
      <c r="D73" s="330" t="str">
        <f>'Register Configuration'!I138</f>
        <v>0x02040C0C</v>
      </c>
      <c r="E73" s="122" t="s">
        <v>565</v>
      </c>
    </row>
    <row r="74" spans="1:5">
      <c r="A74" s="122" t="s">
        <v>393</v>
      </c>
      <c r="B74" s="330" t="str">
        <f>'Register Configuration'!H144</f>
        <v>0x3D400118</v>
      </c>
      <c r="C74" s="321">
        <v>32</v>
      </c>
      <c r="D74" s="330" t="str">
        <f>'Register Configuration'!I144</f>
        <v>0x01010007</v>
      </c>
      <c r="E74" s="122" t="s">
        <v>566</v>
      </c>
    </row>
    <row r="75" spans="1:5">
      <c r="A75" s="122" t="s">
        <v>393</v>
      </c>
      <c r="B75" s="330" t="str">
        <f>'Register Configuration'!H149</f>
        <v>0x3D40011C</v>
      </c>
      <c r="C75" s="321">
        <v>32</v>
      </c>
      <c r="D75" s="330" t="str">
        <f>'Register Configuration'!I149</f>
        <v>0x00000401</v>
      </c>
      <c r="E75" s="122" t="s">
        <v>567</v>
      </c>
    </row>
    <row r="76" spans="1:5">
      <c r="A76" s="122" t="s">
        <v>393</v>
      </c>
      <c r="B76" s="330" t="str">
        <f>'Register Configuration'!H152</f>
        <v>0x3D400130</v>
      </c>
      <c r="C76" s="321">
        <v>32</v>
      </c>
      <c r="D76" s="330" t="str">
        <f>'Register Configuration'!I152</f>
        <v>0x00020600</v>
      </c>
      <c r="E76" s="122" t="s">
        <v>568</v>
      </c>
    </row>
    <row r="77" spans="1:5">
      <c r="A77" s="122" t="s">
        <v>393</v>
      </c>
      <c r="B77" s="330" t="str">
        <f>'Register Configuration'!H156</f>
        <v>0x3D400134</v>
      </c>
      <c r="C77" s="321">
        <v>32</v>
      </c>
      <c r="D77" s="330" t="str">
        <f>'Register Configuration'!I156</f>
        <v>0x0C100002</v>
      </c>
      <c r="E77" s="122" t="s">
        <v>569</v>
      </c>
    </row>
    <row r="78" spans="1:5">
      <c r="A78" s="122" t="s">
        <v>393</v>
      </c>
      <c r="B78" s="330" t="str">
        <f>'Register Configuration'!H160</f>
        <v>0x3D400138</v>
      </c>
      <c r="C78" s="321">
        <v>32</v>
      </c>
      <c r="D78" s="330" t="str">
        <f>'Register Configuration'!I160</f>
        <v>0x000000E6</v>
      </c>
      <c r="E78" s="122" t="s">
        <v>570</v>
      </c>
    </row>
    <row r="79" spans="1:5">
      <c r="A79" s="122" t="s">
        <v>393</v>
      </c>
      <c r="B79" s="330" t="str">
        <f>'Register Configuration'!H162</f>
        <v>0x3D400144</v>
      </c>
      <c r="C79" s="321">
        <v>32</v>
      </c>
      <c r="D79" s="330" t="str">
        <f>'Register Configuration'!I162</f>
        <v>0x00A00050</v>
      </c>
      <c r="E79" s="122" t="s">
        <v>571</v>
      </c>
    </row>
    <row r="80" spans="1:5" s="6" customFormat="1">
      <c r="A80" s="289"/>
      <c r="B80" s="331"/>
      <c r="C80" s="322"/>
      <c r="D80" s="331"/>
      <c r="E80" s="289"/>
    </row>
    <row r="81" spans="1:5">
      <c r="A81" s="122" t="s">
        <v>393</v>
      </c>
      <c r="B81" s="330" t="str">
        <f>'Register Configuration'!H165</f>
        <v>0x3D400180</v>
      </c>
      <c r="C81" s="321">
        <v>32</v>
      </c>
      <c r="D81" s="330" t="str">
        <f>'Register Configuration'!I165</f>
        <v>0xC3200018</v>
      </c>
      <c r="E81" s="122" t="s">
        <v>572</v>
      </c>
    </row>
    <row r="82" spans="1:5">
      <c r="A82" s="122" t="s">
        <v>393</v>
      </c>
      <c r="B82" s="330" t="str">
        <f>'Register Configuration'!H173</f>
        <v>0x3D400184</v>
      </c>
      <c r="C82" s="321">
        <v>32</v>
      </c>
      <c r="D82" s="330" t="str">
        <f>'Register Configuration'!I173</f>
        <v>0x028061A8</v>
      </c>
      <c r="E82" s="122" t="s">
        <v>573</v>
      </c>
    </row>
    <row r="83" spans="1:5" s="6" customFormat="1">
      <c r="A83" s="122" t="s">
        <v>393</v>
      </c>
      <c r="B83" s="331" t="s">
        <v>993</v>
      </c>
      <c r="C83" s="322">
        <v>32</v>
      </c>
      <c r="D83" s="331" t="s">
        <v>339</v>
      </c>
      <c r="E83" s="289" t="s">
        <v>994</v>
      </c>
    </row>
    <row r="84" spans="1:5" s="6" customFormat="1">
      <c r="A84" s="289"/>
      <c r="B84" s="331"/>
      <c r="C84" s="322"/>
      <c r="D84" s="331"/>
      <c r="E84" s="289"/>
    </row>
    <row r="85" spans="1:5">
      <c r="A85" s="122" t="s">
        <v>393</v>
      </c>
      <c r="B85" s="330" t="str">
        <f>'Register Configuration'!H246</f>
        <v>0x3D400190</v>
      </c>
      <c r="C85" s="321">
        <v>32</v>
      </c>
      <c r="D85" s="330" t="str">
        <f>'Register Configuration'!I246</f>
        <v>0x0497820A</v>
      </c>
      <c r="E85" s="122" t="s">
        <v>574</v>
      </c>
    </row>
    <row r="86" spans="1:5">
      <c r="A86" s="122" t="s">
        <v>393</v>
      </c>
      <c r="B86" s="330" t="str">
        <f>'Register Configuration'!H253</f>
        <v>0x3D400194</v>
      </c>
      <c r="C86" s="321">
        <v>32</v>
      </c>
      <c r="D86" s="330" t="str">
        <f>'Register Configuration'!I253</f>
        <v>0x00080303</v>
      </c>
      <c r="E86" s="122" t="s">
        <v>575</v>
      </c>
    </row>
    <row r="87" spans="1:5">
      <c r="A87" s="122" t="s">
        <v>393</v>
      </c>
      <c r="B87" s="330" t="str">
        <f>'Register Configuration'!H267</f>
        <v>0x3D4001A0</v>
      </c>
      <c r="C87" s="321">
        <v>32</v>
      </c>
      <c r="D87" s="330" t="str">
        <f>'Register Configuration'!I267</f>
        <v>0xE0400018</v>
      </c>
      <c r="E87" s="122" t="s">
        <v>576</v>
      </c>
    </row>
    <row r="88" spans="1:5">
      <c r="A88" s="122" t="s">
        <v>393</v>
      </c>
      <c r="B88" s="330" t="str">
        <f>'Register Configuration'!H273</f>
        <v>0x3D4001A4</v>
      </c>
      <c r="C88" s="321">
        <v>32</v>
      </c>
      <c r="D88" s="330" t="str">
        <f>'Register Configuration'!I273</f>
        <v>0x00DF00E4</v>
      </c>
      <c r="E88" s="122" t="s">
        <v>577</v>
      </c>
    </row>
    <row r="89" spans="1:5">
      <c r="A89" s="122" t="s">
        <v>393</v>
      </c>
      <c r="B89" s="330" t="str">
        <f>'Register Configuration'!H276</f>
        <v>0x3D4001A8</v>
      </c>
      <c r="C89" s="321">
        <v>32</v>
      </c>
      <c r="D89" s="330" t="str">
        <f>'Register Configuration'!I276</f>
        <v>0x80000000</v>
      </c>
      <c r="E89" s="122" t="s">
        <v>578</v>
      </c>
    </row>
    <row r="90" spans="1:5">
      <c r="A90" s="122" t="s">
        <v>393</v>
      </c>
      <c r="B90" s="330" t="str">
        <f>'Register Configuration'!H262</f>
        <v>0x3D4001B0</v>
      </c>
      <c r="C90" s="321">
        <v>32</v>
      </c>
      <c r="D90" s="330" t="str">
        <f>'Register Configuration'!I262</f>
        <v>0x00000011</v>
      </c>
      <c r="E90" s="122" t="s">
        <v>579</v>
      </c>
    </row>
    <row r="91" spans="1:5">
      <c r="A91" s="122" t="s">
        <v>393</v>
      </c>
      <c r="B91" s="330" t="str">
        <f>'Register Configuration'!H259</f>
        <v>0x3D4001B4</v>
      </c>
      <c r="C91" s="321">
        <v>32</v>
      </c>
      <c r="D91" s="330" t="str">
        <f>'Register Configuration'!I259</f>
        <v>0x0000170A</v>
      </c>
      <c r="E91" s="122" t="s">
        <v>580</v>
      </c>
    </row>
    <row r="92" spans="1:5" s="6" customFormat="1">
      <c r="A92" s="289"/>
      <c r="B92" s="331"/>
      <c r="C92" s="322"/>
      <c r="D92" s="331"/>
      <c r="E92" s="289"/>
    </row>
    <row r="93" spans="1:5">
      <c r="A93" s="122" t="s">
        <v>393</v>
      </c>
      <c r="B93" s="330" t="str">
        <f>'Register Configuration'!H278</f>
        <v>0x3D4001C0</v>
      </c>
      <c r="C93" s="321">
        <v>32</v>
      </c>
      <c r="D93" s="330" t="str">
        <f>'Register Configuration'!I278</f>
        <v>0x00000001</v>
      </c>
      <c r="E93" s="122" t="s">
        <v>581</v>
      </c>
    </row>
    <row r="94" spans="1:5">
      <c r="A94" s="122" t="s">
        <v>393</v>
      </c>
      <c r="B94" s="330" t="str">
        <f>'Register Configuration'!H282</f>
        <v>0x3D4001C4</v>
      </c>
      <c r="C94" s="321">
        <v>32</v>
      </c>
      <c r="D94" s="330" t="str">
        <f>'Register Configuration'!I282</f>
        <v>0x00000001</v>
      </c>
      <c r="E94" s="122" t="s">
        <v>582</v>
      </c>
    </row>
    <row r="95" spans="1:5" s="6" customFormat="1">
      <c r="A95" s="289"/>
      <c r="B95" s="331"/>
      <c r="C95" s="322"/>
      <c r="D95" s="331"/>
      <c r="E95" s="289"/>
    </row>
    <row r="96" spans="1:5" s="6" customFormat="1">
      <c r="A96" s="289" t="s">
        <v>996</v>
      </c>
      <c r="B96" s="331"/>
      <c r="C96" s="322"/>
      <c r="D96" s="331"/>
      <c r="E96" s="289"/>
    </row>
    <row r="97" spans="1:7">
      <c r="A97" s="122" t="s">
        <v>393</v>
      </c>
      <c r="B97" s="330" t="str">
        <f>'Register Configuration'!H109</f>
        <v>0x3D4000F4</v>
      </c>
      <c r="C97" s="321">
        <v>32</v>
      </c>
      <c r="D97" s="330" t="str">
        <f>'Register Configuration'!I109</f>
        <v>0x00000639</v>
      </c>
      <c r="E97" s="122" t="s">
        <v>995</v>
      </c>
    </row>
    <row r="98" spans="1:7">
      <c r="A98" s="122" t="s">
        <v>393</v>
      </c>
      <c r="B98" s="330" t="str">
        <f>'Register Configuration'!H124</f>
        <v>0x3D400108</v>
      </c>
      <c r="C98" s="321">
        <v>32</v>
      </c>
      <c r="D98" s="330" t="str">
        <f>'Register Configuration'!I124</f>
        <v>0x070E1617</v>
      </c>
      <c r="E98" s="122" t="s">
        <v>562</v>
      </c>
    </row>
    <row r="99" spans="1:7">
      <c r="A99" s="289"/>
      <c r="B99" s="331"/>
      <c r="C99" s="322"/>
      <c r="D99" s="331"/>
      <c r="E99" s="289"/>
    </row>
    <row r="100" spans="1:7">
      <c r="A100" s="122" t="s">
        <v>393</v>
      </c>
      <c r="B100" s="330" t="str">
        <f>'Register Configuration'!H62</f>
        <v>0x3D400200</v>
      </c>
      <c r="C100" s="321">
        <v>32</v>
      </c>
      <c r="D100" s="330" t="str">
        <f>'Register Configuration'!I62</f>
        <v>0x0000001F</v>
      </c>
      <c r="E100" s="122" t="s">
        <v>583</v>
      </c>
    </row>
    <row r="101" spans="1:7">
      <c r="A101" s="122" t="s">
        <v>393</v>
      </c>
      <c r="B101" s="330" t="str">
        <f>'Register Configuration'!H69</f>
        <v>0x3D40020C</v>
      </c>
      <c r="C101" s="321">
        <v>32</v>
      </c>
      <c r="D101" s="330" t="str">
        <f>'Register Configuration'!I69</f>
        <v>0x00000000</v>
      </c>
      <c r="E101" s="122" t="s">
        <v>584</v>
      </c>
    </row>
    <row r="102" spans="1:7">
      <c r="A102" s="122" t="s">
        <v>393</v>
      </c>
      <c r="B102" s="330" t="str">
        <f>'Register Configuration'!H75</f>
        <v>0x3D400210</v>
      </c>
      <c r="C102" s="321">
        <v>32</v>
      </c>
      <c r="D102" s="330" t="str">
        <f>'Register Configuration'!I75</f>
        <v>0x00001F1F</v>
      </c>
      <c r="E102" s="122" t="s">
        <v>585</v>
      </c>
      <c r="G102" s="122"/>
    </row>
    <row r="103" spans="1:7">
      <c r="A103" s="122" t="s">
        <v>393</v>
      </c>
      <c r="B103" s="330" t="str">
        <f>'Register Configuration'!H65</f>
        <v>0x3D400204</v>
      </c>
      <c r="C103" s="321">
        <v>32</v>
      </c>
      <c r="D103" s="330" t="str">
        <f>'Register Configuration'!I65</f>
        <v>0x00080808</v>
      </c>
      <c r="E103" s="122" t="s">
        <v>586</v>
      </c>
    </row>
    <row r="104" spans="1:7">
      <c r="A104" s="122" t="s">
        <v>393</v>
      </c>
      <c r="B104" s="330" t="str">
        <f>'Register Configuration'!H78</f>
        <v>0x3D400214</v>
      </c>
      <c r="C104" s="321">
        <v>32</v>
      </c>
      <c r="D104" s="330" t="str">
        <f>'Register Configuration'!I78</f>
        <v>0x07070707</v>
      </c>
      <c r="E104" s="122" t="s">
        <v>587</v>
      </c>
    </row>
    <row r="105" spans="1:7">
      <c r="A105" s="122" t="s">
        <v>393</v>
      </c>
      <c r="B105" s="330" t="str">
        <f>'Register Configuration'!H83</f>
        <v>0x3D400218</v>
      </c>
      <c r="C105" s="321">
        <v>32</v>
      </c>
      <c r="D105" s="330" t="str">
        <f>'Register Configuration'!I83</f>
        <v>0x07070707</v>
      </c>
      <c r="E105" s="122" t="s">
        <v>588</v>
      </c>
    </row>
    <row r="106" spans="1:7" s="6" customFormat="1">
      <c r="A106" s="289"/>
      <c r="B106" s="331"/>
      <c r="C106" s="322"/>
      <c r="D106" s="331"/>
      <c r="E106" s="289"/>
    </row>
    <row r="107" spans="1:7">
      <c r="A107" s="122" t="str">
        <f>"# DDR-" &amp; IF('Register Configuration'!C31 = 334, "334", "200") &amp;"MHz clock configuration"</f>
        <v># DDR-334MHz clock configuration</v>
      </c>
      <c r="C107" s="321"/>
      <c r="F107" s="122"/>
    </row>
    <row r="108" spans="1:7">
      <c r="A108" s="122" t="str">
        <f>IF('Register Configuration'!G27 &gt; 1, "memory set", "#memory set")</f>
        <v>memory set</v>
      </c>
      <c r="B108" s="330" t="str">
        <f>'Register Configuration'!H391</f>
        <v>0x3D402020</v>
      </c>
      <c r="C108" s="321">
        <v>32</v>
      </c>
      <c r="D108" s="330" t="str">
        <f>'Register Configuration'!I391</f>
        <v>0x00000001</v>
      </c>
      <c r="E108" s="122" t="s">
        <v>962</v>
      </c>
      <c r="F108" s="122"/>
    </row>
    <row r="109" spans="1:7">
      <c r="A109" s="122" t="str">
        <f>IF('Register Configuration'!G27 &gt; 1, "memory set", "#memory set")</f>
        <v>memory set</v>
      </c>
      <c r="B109" s="330" t="str">
        <f>'Register Configuration'!H396</f>
        <v>0x3D402024</v>
      </c>
      <c r="C109" s="321">
        <v>32</v>
      </c>
      <c r="D109" s="330" t="str">
        <f>'Register Configuration'!I396</f>
        <v>0x0000D0C0</v>
      </c>
      <c r="E109" s="122" t="s">
        <v>743</v>
      </c>
      <c r="F109" s="122"/>
    </row>
    <row r="110" spans="1:7">
      <c r="A110" s="289" t="str">
        <f>IF('Register Configuration'!G27 &gt; 1, "memory set", "#memory set")</f>
        <v>memory set</v>
      </c>
      <c r="B110" s="330" t="str">
        <f>'Register Configuration'!H398</f>
        <v>0x3D402050</v>
      </c>
      <c r="C110" s="321">
        <v>32</v>
      </c>
      <c r="D110" s="330" t="str">
        <f>'Register Configuration'!I398</f>
        <v>0x0020D040</v>
      </c>
      <c r="E110" s="122" t="s">
        <v>744</v>
      </c>
      <c r="F110" s="122"/>
    </row>
    <row r="111" spans="1:7">
      <c r="A111" s="122" t="str">
        <f>IF('Register Configuration'!G27 &gt; 1, "memory set", "#memory set")</f>
        <v>memory set</v>
      </c>
      <c r="B111" s="330" t="str">
        <f>'Register Configuration'!H426</f>
        <v>0x3D402064</v>
      </c>
      <c r="C111" s="321">
        <v>32</v>
      </c>
      <c r="D111" s="330" t="str">
        <f>'Register Configuration'!I426</f>
        <v>0x0014002F</v>
      </c>
      <c r="E111" s="122" t="s">
        <v>747</v>
      </c>
      <c r="F111" s="122"/>
    </row>
    <row r="112" spans="1:7">
      <c r="A112" s="122" t="str">
        <f>IF('Register Configuration'!G27 &gt; 1, "memory set", "#memory set")</f>
        <v>memory set</v>
      </c>
      <c r="B112" s="330" t="str">
        <f>'Register Configuration'!H429</f>
        <v>0x3D4020DC</v>
      </c>
      <c r="C112" s="321">
        <v>32</v>
      </c>
      <c r="D112" s="330" t="str">
        <f>'Register Configuration'!I429</f>
        <v>0x00940009</v>
      </c>
      <c r="E112" s="122" t="s">
        <v>748</v>
      </c>
      <c r="F112" s="122"/>
    </row>
    <row r="113" spans="1:6">
      <c r="A113" s="122" t="str">
        <f>IF('Register Configuration'!G27 &gt; 1, "memory set", "#memory set")</f>
        <v>memory set</v>
      </c>
      <c r="B113" s="330" t="str">
        <f>'Register Configuration'!H451</f>
        <v>0x3D4020E0</v>
      </c>
      <c r="C113" s="321">
        <v>32</v>
      </c>
      <c r="D113" s="330" t="str">
        <f>'Register Configuration'!I451</f>
        <v>0x00310000</v>
      </c>
      <c r="E113" s="122" t="s">
        <v>751</v>
      </c>
      <c r="F113" s="122"/>
    </row>
    <row r="114" spans="1:6">
      <c r="A114" s="122" t="str">
        <f>IF('Register Configuration'!G27 &gt; 1, "memory set", "#memory set")</f>
        <v>memory set</v>
      </c>
      <c r="B114" s="330" t="str">
        <f>'Register Configuration'!H439</f>
        <v>0x3D4020E8</v>
      </c>
      <c r="C114" s="321">
        <v>32</v>
      </c>
      <c r="D114" s="330" t="str">
        <f>'Register Configuration'!I439</f>
        <v>0x0066004A</v>
      </c>
      <c r="E114" s="122" t="s">
        <v>749</v>
      </c>
      <c r="F114" s="122"/>
    </row>
    <row r="115" spans="1:6">
      <c r="A115" s="122" t="str">
        <f>IF('Register Configuration'!G27 &gt; 1, "memory set", "#memory set")</f>
        <v>memory set</v>
      </c>
      <c r="B115" s="330" t="str">
        <f>'Register Configuration'!H444</f>
        <v>0x3D4020EC</v>
      </c>
      <c r="C115" s="321">
        <v>32</v>
      </c>
      <c r="D115" s="330" t="str">
        <f>'Register Configuration'!I444</f>
        <v>0x0016004A</v>
      </c>
      <c r="E115" s="122" t="s">
        <v>750</v>
      </c>
      <c r="F115" s="122"/>
    </row>
    <row r="116" spans="1:6">
      <c r="A116" s="122" t="str">
        <f>IF('Register Configuration'!G27 &gt; 1, "memory set", "#memory set")</f>
        <v>memory set</v>
      </c>
      <c r="B116" s="330" t="str">
        <f>'Register Configuration'!H343</f>
        <v>0x3D402100</v>
      </c>
      <c r="C116" s="321">
        <v>32</v>
      </c>
      <c r="D116" s="330" t="str">
        <f>'Register Configuration'!I343</f>
        <v>0x0B070508</v>
      </c>
      <c r="E116" s="122" t="s">
        <v>733</v>
      </c>
      <c r="F116" s="122"/>
    </row>
    <row r="117" spans="1:6">
      <c r="A117" s="122" t="str">
        <f>IF('Register Configuration'!G27 &gt; 1, "memory set", "#memory set")</f>
        <v>memory set</v>
      </c>
      <c r="B117" s="330" t="str">
        <f>'Register Configuration'!H348</f>
        <v>0x3D402104</v>
      </c>
      <c r="C117" s="321">
        <v>32</v>
      </c>
      <c r="D117" s="330" t="str">
        <f>'Register Configuration'!I348</f>
        <v>0x0003040B</v>
      </c>
      <c r="E117" s="122" t="s">
        <v>734</v>
      </c>
      <c r="F117" s="122"/>
    </row>
    <row r="118" spans="1:6">
      <c r="A118" s="122" t="str">
        <f>IF('Register Configuration'!G27 &gt; 1, "memory set", "#memory set")</f>
        <v>memory set</v>
      </c>
      <c r="B118" s="330" t="str">
        <f>'Register Configuration'!H352</f>
        <v>0x3D402108</v>
      </c>
      <c r="C118" s="321">
        <v>32</v>
      </c>
      <c r="D118" s="330" t="str">
        <f>'Register Configuration'!I352</f>
        <v>0x0305090C</v>
      </c>
      <c r="E118" s="122" t="s">
        <v>735</v>
      </c>
      <c r="F118" s="122"/>
    </row>
    <row r="119" spans="1:6">
      <c r="A119" s="122" t="str">
        <f>IF('Register Configuration'!G27 &gt; 1, "memory set", "#memory set")</f>
        <v>memory set</v>
      </c>
      <c r="B119" s="330" t="str">
        <f>'Register Configuration'!H357</f>
        <v>0x3D40210C</v>
      </c>
      <c r="C119" s="321">
        <v>32</v>
      </c>
      <c r="D119" s="330" t="str">
        <f>'Register Configuration'!I357</f>
        <v>0x00505000</v>
      </c>
      <c r="E119" s="122" t="s">
        <v>736</v>
      </c>
      <c r="F119" s="122"/>
    </row>
    <row r="120" spans="1:6">
      <c r="A120" s="122" t="str">
        <f>IF('Register Configuration'!G27 &gt; 1, "memory set", "#memory set")</f>
        <v>memory set</v>
      </c>
      <c r="B120" s="330" t="str">
        <f>'Register Configuration'!H361</f>
        <v>0x3D402110</v>
      </c>
      <c r="C120" s="321">
        <v>32</v>
      </c>
      <c r="D120" s="330" t="str">
        <f>'Register Configuration'!I361</f>
        <v>0x04040204</v>
      </c>
      <c r="E120" s="122" t="s">
        <v>737</v>
      </c>
      <c r="F120" s="122"/>
    </row>
    <row r="121" spans="1:6">
      <c r="A121" s="122" t="str">
        <f>IF('Register Configuration'!G27 &gt; 1, "memory set", "#memory set")</f>
        <v>memory set</v>
      </c>
      <c r="B121" s="330" t="str">
        <f>'Register Configuration'!H366</f>
        <v>0x3D402114</v>
      </c>
      <c r="C121" s="321">
        <v>32</v>
      </c>
      <c r="D121" s="330" t="str">
        <f>'Register Configuration'!I366</f>
        <v>0x02030303</v>
      </c>
      <c r="E121" s="122" t="s">
        <v>738</v>
      </c>
      <c r="F121" s="122"/>
    </row>
    <row r="122" spans="1:6">
      <c r="A122" s="122" t="str">
        <f>IF('Register Configuration'!G27 &gt; 1, "memory set", "#memory set")</f>
        <v>memory set</v>
      </c>
      <c r="B122" s="330" t="str">
        <f>'Register Configuration'!H371</f>
        <v>0x3D402118</v>
      </c>
      <c r="C122" s="321">
        <v>32</v>
      </c>
      <c r="D122" s="330" t="str">
        <f>'Register Configuration'!I371</f>
        <v>0x01010004</v>
      </c>
      <c r="E122" s="122" t="s">
        <v>739</v>
      </c>
      <c r="F122" s="122"/>
    </row>
    <row r="123" spans="1:6">
      <c r="A123" s="122" t="str">
        <f>IF('Register Configuration'!G27 &gt; 1, "memory set", "#memory set")</f>
        <v>memory set</v>
      </c>
      <c r="B123" s="330" t="str">
        <f>'Register Configuration'!H375</f>
        <v>0x3D40211C</v>
      </c>
      <c r="C123" s="321">
        <v>32</v>
      </c>
      <c r="D123" s="330" t="str">
        <f>'Register Configuration'!I375</f>
        <v>0x00000301</v>
      </c>
      <c r="E123" s="122" t="s">
        <v>740</v>
      </c>
      <c r="F123" s="122"/>
    </row>
    <row r="124" spans="1:6">
      <c r="A124" s="122" t="str">
        <f>IF('Register Configuration'!G27 &gt; 1, "memory set", "#memory set")</f>
        <v>memory set</v>
      </c>
      <c r="B124" s="330" t="str">
        <f>'Register Configuration'!H378</f>
        <v>0x3D402130</v>
      </c>
      <c r="C124" s="321">
        <v>32</v>
      </c>
      <c r="D124" s="330" t="str">
        <f>'Register Configuration'!I378</f>
        <v>0x00020300</v>
      </c>
      <c r="E124" s="122" t="s">
        <v>973</v>
      </c>
      <c r="F124" s="122"/>
    </row>
    <row r="125" spans="1:6">
      <c r="A125" s="122" t="str">
        <f>IF('Register Configuration'!G27 &gt; 1, "memory set", "#memory set")</f>
        <v>memory set</v>
      </c>
      <c r="B125" s="330" t="str">
        <f>'Register Configuration'!H382</f>
        <v>0x3D402134</v>
      </c>
      <c r="C125" s="321">
        <v>32</v>
      </c>
      <c r="D125" s="330" t="str">
        <f>'Register Configuration'!I382</f>
        <v>0x0A100002</v>
      </c>
      <c r="E125" s="122" t="s">
        <v>974</v>
      </c>
      <c r="F125" s="122"/>
    </row>
    <row r="126" spans="1:6">
      <c r="A126" s="122" t="str">
        <f>IF('Register Configuration'!G27 &gt; 1, "memory set", "#memory set")</f>
        <v>memory set</v>
      </c>
      <c r="B126" s="330" t="str">
        <f>'Register Configuration'!H386</f>
        <v>0x3D402138</v>
      </c>
      <c r="C126" s="321">
        <v>32</v>
      </c>
      <c r="D126" s="330" t="str">
        <f>'Register Configuration'!I386</f>
        <v>0x00000031</v>
      </c>
      <c r="E126" s="122" t="s">
        <v>741</v>
      </c>
      <c r="F126" s="122"/>
    </row>
    <row r="127" spans="1:6">
      <c r="A127" s="122" t="str">
        <f>IF('Register Configuration'!G27 &gt; 1, "memory set", "#memory set")</f>
        <v>memory set</v>
      </c>
      <c r="B127" s="330" t="str">
        <f>'Register Configuration'!H388</f>
        <v>0x3D402144</v>
      </c>
      <c r="C127" s="321">
        <v>32</v>
      </c>
      <c r="D127" s="330" t="str">
        <f>'Register Configuration'!I388</f>
        <v>0x00220011</v>
      </c>
      <c r="E127" s="122" t="s">
        <v>742</v>
      </c>
      <c r="F127" s="122"/>
    </row>
    <row r="128" spans="1:6">
      <c r="A128" s="122" t="str">
        <f>IF('Register Configuration'!G27 &gt; 1, "memory set", "#memory set")</f>
        <v>memory set</v>
      </c>
      <c r="B128" s="330" t="str">
        <f>'Register Configuration'!H403</f>
        <v>0x3D402180</v>
      </c>
      <c r="C128" s="321">
        <v>32</v>
      </c>
      <c r="D128" s="330" t="str">
        <f>'Register Configuration'!I403</f>
        <v>0xC0A70006</v>
      </c>
      <c r="E128" s="122" t="s">
        <v>975</v>
      </c>
      <c r="F128" s="122"/>
    </row>
    <row r="129" spans="1:6">
      <c r="A129" s="122" t="str">
        <f>IF('Register Configuration'!G27 &gt; 1, "memory set", "#memory set")</f>
        <v>memory set</v>
      </c>
      <c r="B129" s="330" t="str">
        <f>'Register Configuration'!H410</f>
        <v>0x3D402190</v>
      </c>
      <c r="C129" s="321">
        <v>32</v>
      </c>
      <c r="D129" s="330" t="str">
        <f>'Register Configuration'!I410</f>
        <v>0x03858202</v>
      </c>
      <c r="E129" s="122" t="s">
        <v>745</v>
      </c>
      <c r="F129" s="122"/>
    </row>
    <row r="130" spans="1:6">
      <c r="A130" s="122" t="str">
        <f>IF('Register Configuration'!G27 &gt; 1, "memory set", "#memory set")</f>
        <v>memory set</v>
      </c>
      <c r="B130" s="330" t="str">
        <f>'Register Configuration'!H417</f>
        <v>0x3D402194</v>
      </c>
      <c r="C130" s="321">
        <v>32</v>
      </c>
      <c r="D130" s="330" t="str">
        <f>'Register Configuration'!I417</f>
        <v>0x00080303</v>
      </c>
      <c r="E130" s="122" t="s">
        <v>976</v>
      </c>
      <c r="F130" s="122"/>
    </row>
    <row r="131" spans="1:6">
      <c r="A131" s="122" t="str">
        <f>IF('Register Configuration'!G27 &gt; 1, "memory set", "#memory set")</f>
        <v>memory set</v>
      </c>
      <c r="B131" s="330" t="str">
        <f>'Register Configuration'!H423</f>
        <v>0x3D4021B4</v>
      </c>
      <c r="C131" s="321">
        <v>32</v>
      </c>
      <c r="D131" s="330" t="str">
        <f>'Register Configuration'!I423</f>
        <v>0x00000502</v>
      </c>
      <c r="E131" s="122" t="s">
        <v>746</v>
      </c>
      <c r="F131" s="122"/>
    </row>
    <row r="132" spans="1:6">
      <c r="C132" s="321"/>
      <c r="F132" s="122"/>
    </row>
    <row r="133" spans="1:6">
      <c r="A133" s="122" t="s">
        <v>752</v>
      </c>
      <c r="C133" s="321"/>
      <c r="F133" s="122"/>
    </row>
    <row r="134" spans="1:6">
      <c r="A134" s="122" t="str">
        <f>IF('Register Configuration'!G27 = 3, "memory set", "#memory set")</f>
        <v>#memory set</v>
      </c>
      <c r="B134" s="330" t="str">
        <f>'Register Configuration'!H515</f>
        <v>0x3D403020</v>
      </c>
      <c r="C134" s="321">
        <v>32</v>
      </c>
      <c r="D134" s="330" t="str">
        <f>'Register Configuration'!I515</f>
        <v>0x00000001</v>
      </c>
      <c r="E134" s="122" t="s">
        <v>963</v>
      </c>
      <c r="F134" s="122"/>
    </row>
    <row r="135" spans="1:6">
      <c r="A135" s="122" t="str">
        <f>IF('Register Configuration'!G27 = 3, "memory set", "#memory set")</f>
        <v>#memory set</v>
      </c>
      <c r="B135" s="330" t="str">
        <f>'Register Configuration'!H520</f>
        <v>0x3D403024</v>
      </c>
      <c r="C135" s="321">
        <v>32</v>
      </c>
      <c r="D135" s="330" t="str">
        <f>'Register Configuration'!I520</f>
        <v>0x00001F40</v>
      </c>
      <c r="E135" s="122" t="s">
        <v>763</v>
      </c>
      <c r="F135" s="122"/>
    </row>
    <row r="136" spans="1:6">
      <c r="A136" s="122" t="str">
        <f>IF('Register Configuration'!G27 = 3, "memory set", "#memory set")</f>
        <v>#memory set</v>
      </c>
      <c r="B136" s="330" t="str">
        <f>'Register Configuration'!H522</f>
        <v>0x3D403050</v>
      </c>
      <c r="C136" s="321">
        <v>32</v>
      </c>
      <c r="D136" s="330" t="str">
        <f>'Register Configuration'!I522</f>
        <v>0x0020D040</v>
      </c>
      <c r="E136" s="122" t="s">
        <v>764</v>
      </c>
      <c r="F136" s="122"/>
    </row>
    <row r="137" spans="1:6">
      <c r="A137" s="122" t="str">
        <f>IF('Register Configuration'!G27 = 3, "memory set", "#memory set")</f>
        <v>#memory set</v>
      </c>
      <c r="B137" s="330" t="str">
        <f>'Register Configuration'!H550</f>
        <v>0x3D403064</v>
      </c>
      <c r="C137" s="321">
        <v>32</v>
      </c>
      <c r="D137" s="330" t="str">
        <f>'Register Configuration'!I550</f>
        <v>0x00030007</v>
      </c>
      <c r="E137" s="122" t="s">
        <v>767</v>
      </c>
      <c r="F137" s="122"/>
    </row>
    <row r="138" spans="1:6">
      <c r="A138" s="122" t="str">
        <f>IF('Register Configuration'!G27 = 3, "memory set", "#memory set")</f>
        <v>#memory set</v>
      </c>
      <c r="B138" s="330" t="str">
        <f>'Register Configuration'!H553</f>
        <v>0x3D4030DC</v>
      </c>
      <c r="C138" s="321">
        <v>32</v>
      </c>
      <c r="D138" s="330" t="str">
        <f>'Register Configuration'!I553</f>
        <v>0x00840000</v>
      </c>
      <c r="E138" s="122" t="s">
        <v>768</v>
      </c>
      <c r="F138" s="122"/>
    </row>
    <row r="139" spans="1:6">
      <c r="A139" s="122" t="str">
        <f>IF('Register Configuration'!G27 = 3, "memory set", "#memory set")</f>
        <v>#memory set</v>
      </c>
      <c r="B139" s="330" t="str">
        <f>'Register Configuration'!H575</f>
        <v>0x3D4030E0</v>
      </c>
      <c r="C139" s="321">
        <v>32</v>
      </c>
      <c r="D139" s="330" t="str">
        <f>'Register Configuration'!I575</f>
        <v>0x00310000</v>
      </c>
      <c r="E139" s="122" t="s">
        <v>771</v>
      </c>
      <c r="F139" s="122"/>
    </row>
    <row r="140" spans="1:6">
      <c r="A140" s="122" t="str">
        <f>IF('Register Configuration'!G27 = 3, "memory set", "#memory set")</f>
        <v>#memory set</v>
      </c>
      <c r="B140" s="330" t="str">
        <f>'Register Configuration'!H563</f>
        <v>0x3D4030E8</v>
      </c>
      <c r="C140" s="321">
        <v>32</v>
      </c>
      <c r="D140" s="330" t="str">
        <f>'Register Configuration'!I563</f>
        <v>0x0066004A</v>
      </c>
      <c r="E140" s="122" t="s">
        <v>769</v>
      </c>
      <c r="F140" s="122"/>
    </row>
    <row r="141" spans="1:6">
      <c r="A141" s="122" t="str">
        <f>IF('Register Configuration'!G27 = 3, "memory set", "#memory set")</f>
        <v>#memory set</v>
      </c>
      <c r="B141" s="330" t="str">
        <f>'Register Configuration'!H568</f>
        <v>0x3D4030EC</v>
      </c>
      <c r="C141" s="321">
        <v>32</v>
      </c>
      <c r="D141" s="330" t="str">
        <f>'Register Configuration'!I568</f>
        <v>0x0016004A</v>
      </c>
      <c r="E141" s="122" t="s">
        <v>770</v>
      </c>
      <c r="F141" s="122"/>
    </row>
    <row r="142" spans="1:6">
      <c r="A142" s="122" t="str">
        <f>IF('Register Configuration'!G27 = 3, "memory set", "#memory set")</f>
        <v>#memory set</v>
      </c>
      <c r="B142" s="330" t="str">
        <f>'Register Configuration'!H467</f>
        <v>0x3D403100</v>
      </c>
      <c r="C142" s="321">
        <v>32</v>
      </c>
      <c r="D142" s="330" t="str">
        <f>'Register Configuration'!I467</f>
        <v>0x0A010102</v>
      </c>
      <c r="E142" s="122" t="s">
        <v>753</v>
      </c>
      <c r="F142" s="122"/>
    </row>
    <row r="143" spans="1:6">
      <c r="A143" s="122" t="str">
        <f>IF('Register Configuration'!G27 = 3, "memory set", "#memory set")</f>
        <v>#memory set</v>
      </c>
      <c r="B143" s="330" t="str">
        <f>'Register Configuration'!H472</f>
        <v>0x3D403104</v>
      </c>
      <c r="C143" s="321">
        <v>32</v>
      </c>
      <c r="D143" s="330" t="str">
        <f>'Register Configuration'!I472</f>
        <v>0x00030404</v>
      </c>
      <c r="E143" s="122" t="s">
        <v>754</v>
      </c>
      <c r="F143" s="122"/>
    </row>
    <row r="144" spans="1:6">
      <c r="A144" s="122" t="str">
        <f>IF('Register Configuration'!G27 = 3, "memory set", "#memory set")</f>
        <v>#memory set</v>
      </c>
      <c r="B144" s="330" t="str">
        <f>'Register Configuration'!H476</f>
        <v>0x3D403108</v>
      </c>
      <c r="C144" s="321">
        <v>32</v>
      </c>
      <c r="D144" s="330" t="str">
        <f>'Register Configuration'!I476</f>
        <v>0x0203060B</v>
      </c>
      <c r="E144" s="122" t="s">
        <v>755</v>
      </c>
      <c r="F144" s="122"/>
    </row>
    <row r="145" spans="1:6">
      <c r="A145" s="122" t="str">
        <f>IF('Register Configuration'!G27 = 3, "memory set", "#memory set")</f>
        <v>#memory set</v>
      </c>
      <c r="B145" s="330" t="str">
        <f>'Register Configuration'!H481</f>
        <v>0x3D40310C</v>
      </c>
      <c r="C145" s="321">
        <v>32</v>
      </c>
      <c r="D145" s="330" t="str">
        <f>'Register Configuration'!I481</f>
        <v>0x00505000</v>
      </c>
      <c r="E145" s="122" t="s">
        <v>756</v>
      </c>
      <c r="F145" s="122"/>
    </row>
    <row r="146" spans="1:6">
      <c r="A146" s="122" t="str">
        <f>IF('Register Configuration'!G27 = 3, "memory set", "#memory set")</f>
        <v>#memory set</v>
      </c>
      <c r="B146" s="330" t="str">
        <f>'Register Configuration'!H485</f>
        <v>0x3D403110</v>
      </c>
      <c r="C146" s="321">
        <v>32</v>
      </c>
      <c r="D146" s="330" t="str">
        <f>'Register Configuration'!I485</f>
        <v>0x02040202</v>
      </c>
      <c r="E146" s="122" t="s">
        <v>757</v>
      </c>
      <c r="F146" s="122"/>
    </row>
    <row r="147" spans="1:6">
      <c r="A147" s="122" t="str">
        <f>IF('Register Configuration'!G27 = 3, "memory set", "#memory set")</f>
        <v>#memory set</v>
      </c>
      <c r="B147" s="330" t="str">
        <f>'Register Configuration'!H490</f>
        <v>0x3D403114</v>
      </c>
      <c r="C147" s="321">
        <v>32</v>
      </c>
      <c r="D147" s="330" t="str">
        <f>'Register Configuration'!I490</f>
        <v>0x02030202</v>
      </c>
      <c r="E147" s="122" t="s">
        <v>758</v>
      </c>
      <c r="F147" s="122"/>
    </row>
    <row r="148" spans="1:6">
      <c r="A148" s="122" t="str">
        <f>IF('Register Configuration'!G27 = 3, "memory set", "#memory set")</f>
        <v>#memory set</v>
      </c>
      <c r="B148" s="330" t="str">
        <f>'Register Configuration'!H495</f>
        <v>0x3D403118</v>
      </c>
      <c r="C148" s="321">
        <v>32</v>
      </c>
      <c r="D148" s="330" t="str">
        <f>'Register Configuration'!I495</f>
        <v>0x01010004</v>
      </c>
      <c r="E148" s="122" t="s">
        <v>759</v>
      </c>
      <c r="F148" s="122"/>
    </row>
    <row r="149" spans="1:6">
      <c r="A149" s="122" t="str">
        <f>IF('Register Configuration'!G27 = 3, "memory set", "#memory set")</f>
        <v>#memory set</v>
      </c>
      <c r="B149" s="330" t="str">
        <f>'Register Configuration'!H499</f>
        <v>0x3D40311C</v>
      </c>
      <c r="C149" s="321">
        <v>32</v>
      </c>
      <c r="D149" s="330" t="str">
        <f>'Register Configuration'!I499</f>
        <v>0x00000301</v>
      </c>
      <c r="E149" s="122" t="s">
        <v>760</v>
      </c>
      <c r="F149" s="122"/>
    </row>
    <row r="150" spans="1:6">
      <c r="A150" s="122" t="str">
        <f>IF('Register Configuration'!G27 = 3, "memory set", "#memory set")</f>
        <v>#memory set</v>
      </c>
      <c r="B150" s="330" t="str">
        <f>'Register Configuration'!H502</f>
        <v>0x3D403130</v>
      </c>
      <c r="C150" s="321">
        <v>32</v>
      </c>
      <c r="D150" s="330" t="str">
        <f>'Register Configuration'!I502</f>
        <v>0x00020300</v>
      </c>
      <c r="E150" s="122" t="s">
        <v>978</v>
      </c>
      <c r="F150" s="122"/>
    </row>
    <row r="151" spans="1:6">
      <c r="A151" s="122" t="str">
        <f>IF('Register Configuration'!G27 = 3, "memory set", "#memory set")</f>
        <v>#memory set</v>
      </c>
      <c r="B151" s="330" t="str">
        <f>'Register Configuration'!H506</f>
        <v>0x3D403134</v>
      </c>
      <c r="C151" s="321">
        <v>32</v>
      </c>
      <c r="D151" s="330" t="str">
        <f>'Register Configuration'!I506</f>
        <v>0x0A100002</v>
      </c>
      <c r="E151" s="122" t="s">
        <v>979</v>
      </c>
      <c r="F151" s="122"/>
    </row>
    <row r="152" spans="1:6">
      <c r="A152" s="122" t="str">
        <f>IF('Register Configuration'!G27 = 3, "memory set", "#memory set")</f>
        <v>#memory set</v>
      </c>
      <c r="B152" s="330" t="str">
        <f>'Register Configuration'!H510</f>
        <v>0x3D403138</v>
      </c>
      <c r="C152" s="321">
        <v>32</v>
      </c>
      <c r="D152" s="330" t="str">
        <f>'Register Configuration'!I510</f>
        <v>0x00000008</v>
      </c>
      <c r="E152" s="122" t="s">
        <v>761</v>
      </c>
      <c r="F152" s="122"/>
    </row>
    <row r="153" spans="1:6">
      <c r="A153" s="122" t="str">
        <f>IF('Register Configuration'!G27 = 3, "memory set", "#memory set")</f>
        <v>#memory set</v>
      </c>
      <c r="B153" s="330" t="str">
        <f>'Register Configuration'!H512</f>
        <v>0x3D403144</v>
      </c>
      <c r="C153" s="321">
        <v>32</v>
      </c>
      <c r="D153" s="330" t="str">
        <f>'Register Configuration'!I512</f>
        <v>0x00050003</v>
      </c>
      <c r="E153" s="122" t="s">
        <v>762</v>
      </c>
      <c r="F153" s="122"/>
    </row>
    <row r="154" spans="1:6">
      <c r="A154" s="122" t="str">
        <f>IF('Register Configuration'!G27 = 3, "memory set", "#memory set")</f>
        <v>#memory set</v>
      </c>
      <c r="B154" s="330" t="str">
        <f>'Register Configuration'!H527</f>
        <v>0x3D403180</v>
      </c>
      <c r="C154" s="321">
        <v>32</v>
      </c>
      <c r="D154" s="330" t="str">
        <f>'Register Configuration'!I527</f>
        <v>0xC0190004</v>
      </c>
      <c r="E154" s="122" t="s">
        <v>980</v>
      </c>
      <c r="F154" s="122"/>
    </row>
    <row r="155" spans="1:6">
      <c r="A155" s="122" t="str">
        <f>IF('Register Configuration'!G27 = 3, "memory set", "#memory set")</f>
        <v>#memory set</v>
      </c>
      <c r="B155" s="330" t="str">
        <f>'Register Configuration'!H534</f>
        <v>0x3D403190</v>
      </c>
      <c r="C155" s="321">
        <v>32</v>
      </c>
      <c r="D155" s="330" t="str">
        <f>'Register Configuration'!I534</f>
        <v>0x03818200</v>
      </c>
      <c r="E155" s="122" t="s">
        <v>765</v>
      </c>
      <c r="F155" s="122"/>
    </row>
    <row r="156" spans="1:6">
      <c r="A156" s="122" t="str">
        <f>IF('Register Configuration'!G27 = 3, "memory set", "#memory set")</f>
        <v>#memory set</v>
      </c>
      <c r="B156" s="330" t="str">
        <f>'Register Configuration'!H541</f>
        <v>0x3D403194</v>
      </c>
      <c r="C156" s="321">
        <v>32</v>
      </c>
      <c r="D156" s="330" t="str">
        <f>'Register Configuration'!I541</f>
        <v>0x00080303</v>
      </c>
      <c r="E156" s="122" t="s">
        <v>981</v>
      </c>
      <c r="F156" s="122"/>
    </row>
    <row r="157" spans="1:6">
      <c r="A157" s="122" t="str">
        <f>IF('Register Configuration'!G27 = 3, "memory set", "#memory set")</f>
        <v>#memory set</v>
      </c>
      <c r="B157" s="330" t="str">
        <f>'Register Configuration'!H547</f>
        <v>0x3D4031B4</v>
      </c>
      <c r="C157" s="321">
        <v>32</v>
      </c>
      <c r="D157" s="330" t="str">
        <f>'Register Configuration'!I547</f>
        <v>0x00000100</v>
      </c>
      <c r="E157" s="122" t="s">
        <v>766</v>
      </c>
      <c r="F157" s="122"/>
    </row>
    <row r="158" spans="1:6">
      <c r="C158" s="321"/>
      <c r="F158" s="122"/>
    </row>
    <row r="159" spans="1:6">
      <c r="A159" s="122" t="s">
        <v>393</v>
      </c>
      <c r="B159" s="330" t="str">
        <f>'Register Configuration'!H184</f>
        <v>0x3D400244</v>
      </c>
      <c r="C159" s="321">
        <v>32</v>
      </c>
      <c r="D159" s="330" t="str">
        <f>'Register Configuration'!I184</f>
        <v>0x00000000</v>
      </c>
      <c r="E159" s="122" t="s">
        <v>589</v>
      </c>
    </row>
    <row r="160" spans="1:6">
      <c r="A160" s="122" t="s">
        <v>393</v>
      </c>
      <c r="B160" s="330" t="str">
        <f>'Register Configuration'!H284</f>
        <v>0x3D400250</v>
      </c>
      <c r="C160" s="321">
        <v>32</v>
      </c>
      <c r="D160" s="330" t="str">
        <f>'Register Configuration'!I284</f>
        <v>0x29001505</v>
      </c>
      <c r="E160" s="122" t="s">
        <v>846</v>
      </c>
    </row>
    <row r="161" spans="1:5">
      <c r="A161" s="122" t="s">
        <v>393</v>
      </c>
      <c r="B161" s="330" t="str">
        <f>'Register Configuration'!H291</f>
        <v>0x3D400254</v>
      </c>
      <c r="C161" s="321">
        <v>32</v>
      </c>
      <c r="D161" s="330" t="str">
        <f>'Register Configuration'!I291</f>
        <v>0x0000002C</v>
      </c>
      <c r="E161" s="122" t="s">
        <v>847</v>
      </c>
    </row>
    <row r="162" spans="1:5">
      <c r="A162" s="122" t="s">
        <v>393</v>
      </c>
      <c r="B162" s="330" t="str">
        <f>'Register Configuration'!H293</f>
        <v>0x3D40025C</v>
      </c>
      <c r="C162" s="321">
        <v>32</v>
      </c>
      <c r="D162" s="330" t="str">
        <f>'Register Configuration'!I293</f>
        <v>0x5900575B</v>
      </c>
      <c r="E162" s="122" t="s">
        <v>987</v>
      </c>
    </row>
    <row r="163" spans="1:5">
      <c r="A163" s="122" t="s">
        <v>393</v>
      </c>
      <c r="B163" s="330" t="str">
        <f>'Register Configuration'!H296</f>
        <v>0x3D400264</v>
      </c>
      <c r="C163" s="321">
        <v>32</v>
      </c>
      <c r="D163" s="330" t="str">
        <f>'Register Configuration'!I296</f>
        <v>0x90000096</v>
      </c>
      <c r="E163" s="122" t="s">
        <v>848</v>
      </c>
    </row>
    <row r="164" spans="1:5">
      <c r="A164" s="122" t="s">
        <v>393</v>
      </c>
      <c r="B164" s="330" t="str">
        <f>'Register Configuration'!H299</f>
        <v>0x3D40026C</v>
      </c>
      <c r="C164" s="321">
        <v>32</v>
      </c>
      <c r="D164" s="330" t="str">
        <f>'Register Configuration'!I299</f>
        <v>0x1000012C</v>
      </c>
      <c r="E164" s="122" t="s">
        <v>849</v>
      </c>
    </row>
    <row r="165" spans="1:5">
      <c r="A165" s="122" t="s">
        <v>393</v>
      </c>
      <c r="B165" s="329" t="s">
        <v>1000</v>
      </c>
      <c r="C165" s="321">
        <v>32</v>
      </c>
      <c r="D165" s="331" t="s">
        <v>998</v>
      </c>
      <c r="E165" s="122" t="s">
        <v>999</v>
      </c>
    </row>
    <row r="166" spans="1:5">
      <c r="A166" s="122" t="s">
        <v>393</v>
      </c>
      <c r="B166" s="329" t="s">
        <v>997</v>
      </c>
      <c r="C166" s="321">
        <v>32</v>
      </c>
      <c r="D166" s="329" t="s">
        <v>339</v>
      </c>
      <c r="E166" s="122" t="s">
        <v>591</v>
      </c>
    </row>
    <row r="167" spans="1:5">
      <c r="A167" s="122" t="s">
        <v>393</v>
      </c>
      <c r="B167" s="329" t="s">
        <v>1002</v>
      </c>
      <c r="C167" s="321">
        <v>32</v>
      </c>
      <c r="D167" s="331" t="s">
        <v>339</v>
      </c>
      <c r="E167" s="122" t="s">
        <v>1001</v>
      </c>
    </row>
    <row r="168" spans="1:5">
      <c r="A168" s="122" t="s">
        <v>393</v>
      </c>
      <c r="B168" s="329" t="s">
        <v>409</v>
      </c>
      <c r="C168" s="321">
        <v>32</v>
      </c>
      <c r="D168" s="331" t="s">
        <v>338</v>
      </c>
      <c r="E168" s="122" t="s">
        <v>593</v>
      </c>
    </row>
    <row r="169" spans="1:5">
      <c r="A169" s="122" t="s">
        <v>393</v>
      </c>
      <c r="B169" s="330" t="str">
        <f>'Register Configuration'!H326</f>
        <v>0x3D40036C</v>
      </c>
      <c r="C169" s="321">
        <v>32</v>
      </c>
      <c r="D169" s="330" t="str">
        <f>'Register Configuration'!I326</f>
        <v>0x00000011</v>
      </c>
      <c r="E169" s="122" t="s">
        <v>1016</v>
      </c>
    </row>
    <row r="170" spans="1:5">
      <c r="A170" s="122" t="s">
        <v>393</v>
      </c>
      <c r="B170" s="330" t="str">
        <f>'Register Configuration'!H302</f>
        <v>0x3D400400</v>
      </c>
      <c r="C170" s="321">
        <v>32</v>
      </c>
      <c r="D170" s="330" t="str">
        <f>'Register Configuration'!I302</f>
        <v>0x00000111</v>
      </c>
      <c r="E170" s="122" t="s">
        <v>850</v>
      </c>
    </row>
    <row r="171" spans="1:5">
      <c r="A171" s="122" t="s">
        <v>393</v>
      </c>
      <c r="B171" s="330" t="str">
        <f>'Register Configuration'!H333</f>
        <v>0x3D400404</v>
      </c>
      <c r="C171" s="321">
        <v>32</v>
      </c>
      <c r="D171" s="330" t="str">
        <f>'Register Configuration'!I333</f>
        <v>0x000010F3</v>
      </c>
      <c r="E171" s="122" t="s">
        <v>1030</v>
      </c>
    </row>
    <row r="172" spans="1:5">
      <c r="A172" s="122" t="s">
        <v>393</v>
      </c>
      <c r="B172" s="330" t="str">
        <f>'Register Configuration'!H306</f>
        <v>0x3D400408</v>
      </c>
      <c r="C172" s="321">
        <v>32</v>
      </c>
      <c r="D172" s="330" t="str">
        <f>'Register Configuration'!I306</f>
        <v>0x000072FF</v>
      </c>
      <c r="E172" s="122" t="s">
        <v>851</v>
      </c>
    </row>
    <row r="173" spans="1:5">
      <c r="A173" s="122" t="s">
        <v>393</v>
      </c>
      <c r="B173" s="329" t="s">
        <v>402</v>
      </c>
      <c r="C173" s="321">
        <v>32</v>
      </c>
      <c r="D173" s="329" t="s">
        <v>338</v>
      </c>
      <c r="E173" s="122" t="s">
        <v>590</v>
      </c>
    </row>
    <row r="174" spans="1:5">
      <c r="A174" s="122" t="s">
        <v>393</v>
      </c>
      <c r="B174" s="330" t="str">
        <f>'Register Configuration'!H311</f>
        <v>0x3D400494</v>
      </c>
      <c r="C174" s="321">
        <v>32</v>
      </c>
      <c r="D174" s="330" t="str">
        <f>'Register Configuration'!I311</f>
        <v>0x00000E00</v>
      </c>
      <c r="E174" s="122" t="s">
        <v>852</v>
      </c>
    </row>
    <row r="175" spans="1:5">
      <c r="A175" s="122" t="s">
        <v>393</v>
      </c>
      <c r="B175" s="330" t="str">
        <f>'Register Configuration'!H317</f>
        <v>0x3D400498</v>
      </c>
      <c r="C175" s="321">
        <v>32</v>
      </c>
      <c r="D175" s="330" t="str">
        <f>'Register Configuration'!I317</f>
        <v>0x0062FFFF</v>
      </c>
      <c r="E175" s="122" t="s">
        <v>853</v>
      </c>
    </row>
    <row r="176" spans="1:5">
      <c r="A176" s="122" t="s">
        <v>393</v>
      </c>
      <c r="B176" s="330" t="str">
        <f>'Register Configuration'!H320</f>
        <v>0x3D40049C</v>
      </c>
      <c r="C176" s="321">
        <v>32</v>
      </c>
      <c r="D176" s="330" t="str">
        <f>'Register Configuration'!I320</f>
        <v>0x00000E00</v>
      </c>
      <c r="E176" s="122" t="s">
        <v>854</v>
      </c>
    </row>
    <row r="177" spans="1:6">
      <c r="A177" s="122" t="s">
        <v>393</v>
      </c>
      <c r="B177" s="330" t="str">
        <f>'Register Configuration'!H324</f>
        <v>0x3D4004A0</v>
      </c>
      <c r="C177" s="321">
        <v>32</v>
      </c>
      <c r="D177" s="330" t="str">
        <f>'Register Configuration'!I324</f>
        <v>0x0000FFFF</v>
      </c>
      <c r="E177" s="122" t="s">
        <v>855</v>
      </c>
    </row>
    <row r="178" spans="1:6">
      <c r="C178" s="321"/>
      <c r="F178" s="122"/>
    </row>
    <row r="179" spans="1:6">
      <c r="A179" s="122" t="s">
        <v>403</v>
      </c>
    </row>
    <row r="180" spans="1:6">
      <c r="A180" s="122" t="s">
        <v>393</v>
      </c>
      <c r="B180" s="329" t="s">
        <v>407</v>
      </c>
      <c r="C180" s="321">
        <v>32</v>
      </c>
      <c r="D180" s="329" t="s">
        <v>405</v>
      </c>
      <c r="E180" s="122" t="s">
        <v>406</v>
      </c>
    </row>
    <row r="181" spans="1:6">
      <c r="A181" s="122" t="s">
        <v>393</v>
      </c>
      <c r="B181" s="329" t="s">
        <v>407</v>
      </c>
      <c r="C181" s="321">
        <v>32</v>
      </c>
      <c r="D181" s="329" t="s">
        <v>408</v>
      </c>
      <c r="E181" s="122" t="s">
        <v>406</v>
      </c>
    </row>
    <row r="182" spans="1:6">
      <c r="C182" s="321"/>
    </row>
    <row r="183" spans="1:6">
      <c r="A183" s="122" t="s">
        <v>393</v>
      </c>
      <c r="B183" s="330" t="str">
        <f>'Register Configuration'!H189</f>
        <v>0x3D400030</v>
      </c>
      <c r="C183" s="321">
        <v>32</v>
      </c>
      <c r="D183" s="330" t="str">
        <f>'Register Configuration'!I189</f>
        <v>0x000000A8</v>
      </c>
      <c r="E183" s="122" t="s">
        <v>592</v>
      </c>
    </row>
    <row r="184" spans="1:6">
      <c r="A184" s="122" t="s">
        <v>432</v>
      </c>
      <c r="B184" s="329" t="s">
        <v>1033</v>
      </c>
      <c r="C184" s="321">
        <v>32</v>
      </c>
      <c r="D184" s="331" t="s">
        <v>1031</v>
      </c>
      <c r="E184" s="122" t="s">
        <v>1032</v>
      </c>
    </row>
    <row r="185" spans="1:6">
      <c r="A185" s="122" t="s">
        <v>393</v>
      </c>
      <c r="B185" s="329" t="s">
        <v>1034</v>
      </c>
      <c r="C185" s="321">
        <v>32</v>
      </c>
      <c r="D185" s="329" t="s">
        <v>339</v>
      </c>
      <c r="E185" s="122" t="s">
        <v>593</v>
      </c>
    </row>
    <row r="186" spans="1:6">
      <c r="A186" s="122" t="s">
        <v>393</v>
      </c>
      <c r="B186" s="329" t="s">
        <v>1035</v>
      </c>
      <c r="C186" s="321">
        <v>32</v>
      </c>
      <c r="D186" s="329" t="s">
        <v>338</v>
      </c>
      <c r="E186" s="122" t="s">
        <v>410</v>
      </c>
    </row>
    <row r="187" spans="1:6">
      <c r="A187" s="122" t="s">
        <v>393</v>
      </c>
      <c r="B187" s="329" t="s">
        <v>1036</v>
      </c>
      <c r="C187" s="321">
        <v>32</v>
      </c>
      <c r="D187" s="329" t="s">
        <v>411</v>
      </c>
      <c r="E187" s="122" t="s">
        <v>412</v>
      </c>
      <c r="F187" s="122"/>
    </row>
    <row r="188" spans="1:6">
      <c r="C188" s="321"/>
      <c r="F188" s="122"/>
    </row>
    <row r="189" spans="1:6">
      <c r="A189" s="122" t="s">
        <v>613</v>
      </c>
      <c r="C189" s="321"/>
      <c r="F189" s="122"/>
    </row>
    <row r="190" spans="1:6">
      <c r="A190" s="122" t="s">
        <v>393</v>
      </c>
      <c r="B190" s="329" t="s">
        <v>614</v>
      </c>
      <c r="C190" s="321">
        <v>32</v>
      </c>
      <c r="D190" s="330" t="str">
        <f>INDEX(BoardDataBusConfig!F$16:F$47, MATCH("DDR_PHY_Dq0LnSel_0", BoardDataBusConfig!B$16:B$47,0),1)</f>
        <v>0x00000000</v>
      </c>
      <c r="E190" s="122" t="s">
        <v>646</v>
      </c>
      <c r="F190" s="122"/>
    </row>
    <row r="191" spans="1:6">
      <c r="A191" s="122" t="s">
        <v>393</v>
      </c>
      <c r="B191" s="329" t="s">
        <v>615</v>
      </c>
      <c r="C191" s="321">
        <v>32</v>
      </c>
      <c r="D191" s="330" t="str">
        <f>INDEX(BoardDataBusConfig!F$16:F$47, MATCH("DDR_PHY_Dq1LnSel_0", BoardDataBusConfig!B$16:B$47,0),1)</f>
        <v>0x00000001</v>
      </c>
      <c r="E191" s="122" t="s">
        <v>647</v>
      </c>
      <c r="F191" s="122"/>
    </row>
    <row r="192" spans="1:6">
      <c r="A192" s="122" t="s">
        <v>393</v>
      </c>
      <c r="B192" s="329" t="s">
        <v>616</v>
      </c>
      <c r="C192" s="321">
        <v>32</v>
      </c>
      <c r="D192" s="330" t="str">
        <f>INDEX(BoardDataBusConfig!F$16:F$47, MATCH("DDR_PHY_Dq2LnSel_0", BoardDataBusConfig!B$16:B$47,0),1)</f>
        <v>0x00000002</v>
      </c>
      <c r="E192" s="122" t="s">
        <v>648</v>
      </c>
      <c r="F192" s="122"/>
    </row>
    <row r="193" spans="1:6">
      <c r="A193" s="122" t="s">
        <v>393</v>
      </c>
      <c r="B193" s="329" t="s">
        <v>617</v>
      </c>
      <c r="C193" s="321">
        <v>32</v>
      </c>
      <c r="D193" s="330" t="str">
        <f>INDEX(BoardDataBusConfig!F$16:F$47, MATCH("DDR_PHY_Dq3LnSel_0", BoardDataBusConfig!B$16:B$47,0),1)</f>
        <v>0x00000003</v>
      </c>
      <c r="E193" s="122" t="s">
        <v>649</v>
      </c>
      <c r="F193" s="122"/>
    </row>
    <row r="194" spans="1:6">
      <c r="A194" s="122" t="s">
        <v>393</v>
      </c>
      <c r="B194" s="329" t="s">
        <v>618</v>
      </c>
      <c r="C194" s="321">
        <v>32</v>
      </c>
      <c r="D194" s="330" t="str">
        <f>INDEX(BoardDataBusConfig!F$16:F$47, MATCH("DDR_PHY_Dq4LnSel_0", BoardDataBusConfig!B$16:B$47,0),1)</f>
        <v>0x00000004</v>
      </c>
      <c r="E194" s="122" t="s">
        <v>650</v>
      </c>
      <c r="F194" s="122"/>
    </row>
    <row r="195" spans="1:6">
      <c r="A195" s="122" t="s">
        <v>393</v>
      </c>
      <c r="B195" s="329" t="s">
        <v>619</v>
      </c>
      <c r="C195" s="321">
        <v>32</v>
      </c>
      <c r="D195" s="330" t="str">
        <f>INDEX(BoardDataBusConfig!F$16:F$47, MATCH("DDR_PHY_Dq5LnSel_0", BoardDataBusConfig!B$16:B$47,0),1)</f>
        <v>0x00000005</v>
      </c>
      <c r="E195" s="122" t="s">
        <v>651</v>
      </c>
      <c r="F195" s="122"/>
    </row>
    <row r="196" spans="1:6">
      <c r="A196" s="122" t="s">
        <v>393</v>
      </c>
      <c r="B196" s="329" t="s">
        <v>620</v>
      </c>
      <c r="C196" s="321">
        <v>32</v>
      </c>
      <c r="D196" s="330" t="str">
        <f>INDEX(BoardDataBusConfig!F$16:F$47, MATCH("DDR_PHY_Dq6LnSel_0", BoardDataBusConfig!B$16:B$47,0),1)</f>
        <v>0x00000006</v>
      </c>
      <c r="E196" s="122" t="s">
        <v>652</v>
      </c>
      <c r="F196" s="122"/>
    </row>
    <row r="197" spans="1:6">
      <c r="A197" s="122" t="s">
        <v>393</v>
      </c>
      <c r="B197" s="329" t="s">
        <v>621</v>
      </c>
      <c r="C197" s="321">
        <v>32</v>
      </c>
      <c r="D197" s="330" t="str">
        <f>INDEX(BoardDataBusConfig!F$16:F$47, MATCH("DDR_PHY_Dq7LnSel_0", BoardDataBusConfig!B$16:B$47,0),1)</f>
        <v>0x00000007</v>
      </c>
      <c r="E197" s="122" t="s">
        <v>653</v>
      </c>
      <c r="F197" s="122"/>
    </row>
    <row r="198" spans="1:6">
      <c r="A198" s="122" t="s">
        <v>393</v>
      </c>
      <c r="B198" s="329" t="s">
        <v>622</v>
      </c>
      <c r="C198" s="321">
        <v>32</v>
      </c>
      <c r="D198" s="330" t="str">
        <f>INDEX(BoardDataBusConfig!F$16:F$47, MATCH("DDR_PHY_Dq0LnSel_1", BoardDataBusConfig!B$16:B$47,0),1)</f>
        <v>0x00000000</v>
      </c>
      <c r="E198" s="122" t="s">
        <v>654</v>
      </c>
      <c r="F198" s="122"/>
    </row>
    <row r="199" spans="1:6">
      <c r="A199" s="122" t="s">
        <v>393</v>
      </c>
      <c r="B199" s="329" t="s">
        <v>623</v>
      </c>
      <c r="C199" s="321">
        <v>32</v>
      </c>
      <c r="D199" s="330" t="str">
        <f>INDEX(BoardDataBusConfig!F$16:F$47, MATCH("DDR_PHY_Dq1LnSel_1", BoardDataBusConfig!B$16:B$47,0),1)</f>
        <v>0x00000001</v>
      </c>
      <c r="E199" s="122" t="s">
        <v>655</v>
      </c>
      <c r="F199" s="122"/>
    </row>
    <row r="200" spans="1:6">
      <c r="A200" s="122" t="s">
        <v>393</v>
      </c>
      <c r="B200" s="329" t="s">
        <v>624</v>
      </c>
      <c r="C200" s="321">
        <v>32</v>
      </c>
      <c r="D200" s="330" t="str">
        <f>INDEX(BoardDataBusConfig!F$16:F$47, MATCH("DDR_PHY_Dq2LnSel_1", BoardDataBusConfig!B$16:B$47,0),1)</f>
        <v>0x00000002</v>
      </c>
      <c r="E200" s="122" t="s">
        <v>656</v>
      </c>
      <c r="F200" s="122"/>
    </row>
    <row r="201" spans="1:6">
      <c r="A201" s="122" t="s">
        <v>393</v>
      </c>
      <c r="B201" s="329" t="s">
        <v>625</v>
      </c>
      <c r="C201" s="321">
        <v>32</v>
      </c>
      <c r="D201" s="330" t="str">
        <f>INDEX(BoardDataBusConfig!F$16:F$47, MATCH("DDR_PHY_Dq3LnSel_1", BoardDataBusConfig!B$16:B$47,0),1)</f>
        <v>0x00000003</v>
      </c>
      <c r="E201" s="122" t="s">
        <v>657</v>
      </c>
      <c r="F201" s="122"/>
    </row>
    <row r="202" spans="1:6">
      <c r="A202" s="122" t="s">
        <v>393</v>
      </c>
      <c r="B202" s="329" t="s">
        <v>626</v>
      </c>
      <c r="C202" s="321">
        <v>32</v>
      </c>
      <c r="D202" s="330" t="str">
        <f>INDEX(BoardDataBusConfig!F$16:F$47, MATCH("DDR_PHY_Dq4LnSel_1", BoardDataBusConfig!B$16:B$47,0),1)</f>
        <v>0x00000004</v>
      </c>
      <c r="E202" s="122" t="s">
        <v>658</v>
      </c>
      <c r="F202" s="122"/>
    </row>
    <row r="203" spans="1:6">
      <c r="A203" s="122" t="s">
        <v>393</v>
      </c>
      <c r="B203" s="329" t="s">
        <v>627</v>
      </c>
      <c r="C203" s="321">
        <v>32</v>
      </c>
      <c r="D203" s="330" t="str">
        <f>INDEX(BoardDataBusConfig!F$16:F$47, MATCH("DDR_PHY_Dq5LnSel_1", BoardDataBusConfig!B$16:B$47,0),1)</f>
        <v>0x00000005</v>
      </c>
      <c r="E203" s="122" t="s">
        <v>659</v>
      </c>
      <c r="F203" s="122"/>
    </row>
    <row r="204" spans="1:6">
      <c r="A204" s="122" t="s">
        <v>393</v>
      </c>
      <c r="B204" s="329" t="s">
        <v>628</v>
      </c>
      <c r="C204" s="321">
        <v>32</v>
      </c>
      <c r="D204" s="330" t="str">
        <f>INDEX(BoardDataBusConfig!F$16:F$47, MATCH("DDR_PHY_Dq6LnSel_1", BoardDataBusConfig!B$16:B$47,0),1)</f>
        <v>0x00000006</v>
      </c>
      <c r="E204" s="122" t="s">
        <v>660</v>
      </c>
      <c r="F204" s="122"/>
    </row>
    <row r="205" spans="1:6">
      <c r="A205" s="122" t="s">
        <v>393</v>
      </c>
      <c r="B205" s="329" t="s">
        <v>629</v>
      </c>
      <c r="C205" s="321">
        <v>32</v>
      </c>
      <c r="D205" s="330" t="str">
        <f>INDEX(BoardDataBusConfig!F$16:F$47, MATCH("DDR_PHY_Dq7LnSel_1", BoardDataBusConfig!B$16:B$47,0),1)</f>
        <v>0x00000007</v>
      </c>
      <c r="E205" s="122" t="s">
        <v>661</v>
      </c>
      <c r="F205" s="122"/>
    </row>
    <row r="206" spans="1:6">
      <c r="A206" s="122" t="s">
        <v>393</v>
      </c>
      <c r="B206" s="329" t="s">
        <v>630</v>
      </c>
      <c r="C206" s="321">
        <v>32</v>
      </c>
      <c r="D206" s="330" t="str">
        <f>INDEX(BoardDataBusConfig!F$16:F$47, MATCH("DDR_PHY_Dq0LnSel_2", BoardDataBusConfig!B$16:B$47,0),1)</f>
        <v>0x00000000</v>
      </c>
      <c r="E206" s="122" t="s">
        <v>662</v>
      </c>
      <c r="F206" s="122"/>
    </row>
    <row r="207" spans="1:6">
      <c r="A207" s="122" t="s">
        <v>393</v>
      </c>
      <c r="B207" s="329" t="s">
        <v>631</v>
      </c>
      <c r="C207" s="321">
        <v>32</v>
      </c>
      <c r="D207" s="330" t="str">
        <f>INDEX(BoardDataBusConfig!F$16:F$47, MATCH("DDR_PHY_Dq1LnSel_2", BoardDataBusConfig!B$16:B$47,0),1)</f>
        <v>0x00000001</v>
      </c>
      <c r="E207" s="122" t="s">
        <v>663</v>
      </c>
      <c r="F207" s="122"/>
    </row>
    <row r="208" spans="1:6">
      <c r="A208" s="122" t="s">
        <v>393</v>
      </c>
      <c r="B208" s="329" t="s">
        <v>632</v>
      </c>
      <c r="C208" s="321">
        <v>32</v>
      </c>
      <c r="D208" s="330" t="str">
        <f>INDEX(BoardDataBusConfig!F$16:F$47, MATCH("DDR_PHY_Dq2LnSel_2", BoardDataBusConfig!B$16:B$47,0),1)</f>
        <v>0x00000002</v>
      </c>
      <c r="E208" s="122" t="s">
        <v>664</v>
      </c>
      <c r="F208" s="122"/>
    </row>
    <row r="209" spans="1:6">
      <c r="A209" s="122" t="s">
        <v>393</v>
      </c>
      <c r="B209" s="329" t="s">
        <v>633</v>
      </c>
      <c r="C209" s="321">
        <v>32</v>
      </c>
      <c r="D209" s="330" t="str">
        <f>INDEX(BoardDataBusConfig!F$16:F$47, MATCH("DDR_PHY_Dq3LnSel_2", BoardDataBusConfig!B$16:B$47,0),1)</f>
        <v>0x00000003</v>
      </c>
      <c r="E209" s="122" t="s">
        <v>665</v>
      </c>
      <c r="F209" s="122"/>
    </row>
    <row r="210" spans="1:6">
      <c r="A210" s="122" t="s">
        <v>393</v>
      </c>
      <c r="B210" s="329" t="s">
        <v>634</v>
      </c>
      <c r="C210" s="321">
        <v>32</v>
      </c>
      <c r="D210" s="330" t="str">
        <f>INDEX(BoardDataBusConfig!F$16:F$47, MATCH("DDR_PHY_Dq4LnSel_2", BoardDataBusConfig!B$16:B$47,0),1)</f>
        <v>0x00000004</v>
      </c>
      <c r="E210" s="122" t="s">
        <v>666</v>
      </c>
      <c r="F210" s="122"/>
    </row>
    <row r="211" spans="1:6">
      <c r="A211" s="122" t="s">
        <v>393</v>
      </c>
      <c r="B211" s="329" t="s">
        <v>635</v>
      </c>
      <c r="C211" s="321">
        <v>32</v>
      </c>
      <c r="D211" s="330" t="str">
        <f>INDEX(BoardDataBusConfig!F$16:F$47, MATCH("DDR_PHY_Dq5LnSel_2", BoardDataBusConfig!B$16:B$47,0),1)</f>
        <v>0x00000005</v>
      </c>
      <c r="E211" s="122" t="s">
        <v>667</v>
      </c>
      <c r="F211" s="122"/>
    </row>
    <row r="212" spans="1:6">
      <c r="A212" s="122" t="s">
        <v>393</v>
      </c>
      <c r="B212" s="329" t="s">
        <v>636</v>
      </c>
      <c r="C212" s="321">
        <v>32</v>
      </c>
      <c r="D212" s="330" t="str">
        <f>INDEX(BoardDataBusConfig!F$16:F$47, MATCH("DDR_PHY_Dq6LnSel_2", BoardDataBusConfig!B$16:B$47,0),1)</f>
        <v>0x00000006</v>
      </c>
      <c r="E212" s="122" t="s">
        <v>668</v>
      </c>
      <c r="F212" s="122"/>
    </row>
    <row r="213" spans="1:6">
      <c r="A213" s="122" t="s">
        <v>393</v>
      </c>
      <c r="B213" s="329" t="s">
        <v>637</v>
      </c>
      <c r="C213" s="321">
        <v>32</v>
      </c>
      <c r="D213" s="330" t="str">
        <f>INDEX(BoardDataBusConfig!F$16:F$47, MATCH("DDR_PHY_Dq7LnSel_2", BoardDataBusConfig!B$16:B$47,0),1)</f>
        <v>0x00000007</v>
      </c>
      <c r="E213" s="122" t="s">
        <v>669</v>
      </c>
      <c r="F213" s="122"/>
    </row>
    <row r="214" spans="1:6">
      <c r="A214" s="122" t="s">
        <v>393</v>
      </c>
      <c r="B214" s="329" t="s">
        <v>638</v>
      </c>
      <c r="C214" s="321">
        <v>32</v>
      </c>
      <c r="D214" s="330" t="str">
        <f>INDEX(BoardDataBusConfig!F$16:F$47, MATCH("DDR_PHY_Dq0LnSel_3", BoardDataBusConfig!B$16:B$47,0),1)</f>
        <v>0x00000000</v>
      </c>
      <c r="E214" s="122" t="s">
        <v>670</v>
      </c>
      <c r="F214" s="122"/>
    </row>
    <row r="215" spans="1:6">
      <c r="A215" s="122" t="s">
        <v>393</v>
      </c>
      <c r="B215" s="329" t="s">
        <v>639</v>
      </c>
      <c r="C215" s="321">
        <v>32</v>
      </c>
      <c r="D215" s="330" t="str">
        <f>INDEX(BoardDataBusConfig!F$16:F$47, MATCH("DDR_PHY_Dq1LnSel_3", BoardDataBusConfig!B$16:B$47,0),1)</f>
        <v>0x00000001</v>
      </c>
      <c r="E215" s="122" t="s">
        <v>671</v>
      </c>
      <c r="F215" s="122"/>
    </row>
    <row r="216" spans="1:6">
      <c r="A216" s="122" t="s">
        <v>393</v>
      </c>
      <c r="B216" s="329" t="s">
        <v>640</v>
      </c>
      <c r="C216" s="321">
        <v>32</v>
      </c>
      <c r="D216" s="330" t="str">
        <f>INDEX(BoardDataBusConfig!F$16:F$47, MATCH("DDR_PHY_Dq2LnSel_3", BoardDataBusConfig!B$16:B$47,0),1)</f>
        <v>0x00000002</v>
      </c>
      <c r="E216" s="122" t="s">
        <v>672</v>
      </c>
      <c r="F216" s="122"/>
    </row>
    <row r="217" spans="1:6">
      <c r="A217" s="122" t="s">
        <v>393</v>
      </c>
      <c r="B217" s="329" t="s">
        <v>641</v>
      </c>
      <c r="C217" s="321">
        <v>32</v>
      </c>
      <c r="D217" s="330" t="str">
        <f>INDEX(BoardDataBusConfig!F$16:F$47, MATCH("DDR_PHY_Dq3LnSel_3", BoardDataBusConfig!B$16:B$47,0),1)</f>
        <v>0x00000003</v>
      </c>
      <c r="E217" s="122" t="s">
        <v>673</v>
      </c>
      <c r="F217" s="122"/>
    </row>
    <row r="218" spans="1:6">
      <c r="A218" s="122" t="s">
        <v>393</v>
      </c>
      <c r="B218" s="329" t="s">
        <v>642</v>
      </c>
      <c r="C218" s="321">
        <v>32</v>
      </c>
      <c r="D218" s="330" t="str">
        <f>INDEX(BoardDataBusConfig!F$16:F$47, MATCH("DDR_PHY_Dq4LnSel_3", BoardDataBusConfig!B$16:B$47,0),1)</f>
        <v>0x00000004</v>
      </c>
      <c r="E218" s="122" t="s">
        <v>674</v>
      </c>
      <c r="F218" s="122"/>
    </row>
    <row r="219" spans="1:6">
      <c r="A219" s="122" t="s">
        <v>393</v>
      </c>
      <c r="B219" s="329" t="s">
        <v>643</v>
      </c>
      <c r="C219" s="321">
        <v>32</v>
      </c>
      <c r="D219" s="330" t="str">
        <f>INDEX(BoardDataBusConfig!F$16:F$47, MATCH("DDR_PHY_Dq5LnSel_3", BoardDataBusConfig!B$16:B$47,0),1)</f>
        <v>0x00000005</v>
      </c>
      <c r="E219" s="122" t="s">
        <v>675</v>
      </c>
      <c r="F219" s="122"/>
    </row>
    <row r="220" spans="1:6">
      <c r="A220" s="122" t="s">
        <v>393</v>
      </c>
      <c r="B220" s="329" t="s">
        <v>644</v>
      </c>
      <c r="C220" s="321">
        <v>32</v>
      </c>
      <c r="D220" s="330" t="str">
        <f>INDEX(BoardDataBusConfig!F$16:F$47, MATCH("DDR_PHY_Dq6LnSel_3", BoardDataBusConfig!B$16:B$47,0),1)</f>
        <v>0x00000006</v>
      </c>
      <c r="E220" s="122" t="s">
        <v>676</v>
      </c>
      <c r="F220" s="122"/>
    </row>
    <row r="221" spans="1:6">
      <c r="A221" s="122" t="s">
        <v>393</v>
      </c>
      <c r="B221" s="329" t="s">
        <v>645</v>
      </c>
      <c r="C221" s="321">
        <v>32</v>
      </c>
      <c r="D221" s="330" t="str">
        <f>INDEX(BoardDataBusConfig!F$16:F$47, MATCH("DDR_PHY_Dq7LnSel_3", BoardDataBusConfig!B$16:B$47,0),1)</f>
        <v>0x00000007</v>
      </c>
      <c r="E221" s="122" t="s">
        <v>677</v>
      </c>
      <c r="F221" s="122"/>
    </row>
    <row r="222" spans="1:6">
      <c r="C222" s="321"/>
      <c r="F222" s="122"/>
    </row>
    <row r="223" spans="1:6">
      <c r="A223" s="122" t="s">
        <v>470</v>
      </c>
      <c r="C223" s="321"/>
      <c r="F223" s="122"/>
    </row>
    <row r="224" spans="1:6">
      <c r="A224" s="122" t="s">
        <v>469</v>
      </c>
    </row>
    <row r="225" spans="1:6">
      <c r="A225" s="122" t="s">
        <v>470</v>
      </c>
    </row>
    <row r="227" spans="1:6">
      <c r="A227" s="122" t="s">
        <v>468</v>
      </c>
      <c r="B227" s="329" t="s">
        <v>467</v>
      </c>
      <c r="D227" s="329">
        <v>2</v>
      </c>
      <c r="E227" s="329" t="s">
        <v>471</v>
      </c>
      <c r="F227" s="122"/>
    </row>
    <row r="228" spans="1:6">
      <c r="E228" s="329"/>
      <c r="F228" s="122"/>
    </row>
    <row r="229" spans="1:6">
      <c r="A229" s="122" t="s">
        <v>468</v>
      </c>
      <c r="B229" s="329" t="s">
        <v>839</v>
      </c>
      <c r="D229" s="330">
        <f>'Register Configuration'!C633</f>
        <v>32</v>
      </c>
      <c r="E229" s="329" t="s">
        <v>840</v>
      </c>
      <c r="F229" s="122"/>
    </row>
    <row r="230" spans="1:6">
      <c r="E230" s="329"/>
      <c r="F230" s="122"/>
    </row>
    <row r="231" spans="1:6">
      <c r="A231" s="122" t="s">
        <v>468</v>
      </c>
      <c r="B231" s="329" t="s">
        <v>689</v>
      </c>
      <c r="D231" s="330">
        <f>'Register Configuration'!G27</f>
        <v>2</v>
      </c>
      <c r="E231" s="329" t="s">
        <v>690</v>
      </c>
      <c r="F231" s="122"/>
    </row>
    <row r="232" spans="1:6">
      <c r="E232" s="329"/>
      <c r="F232" s="122"/>
    </row>
    <row r="233" spans="1:6">
      <c r="A233" s="122" t="s">
        <v>468</v>
      </c>
      <c r="B233" s="329" t="s">
        <v>691</v>
      </c>
      <c r="D233" s="330">
        <f>IF('Register Configuration'!H27="ENABLED", 1, 0)</f>
        <v>1</v>
      </c>
      <c r="E233" s="329" t="s">
        <v>692</v>
      </c>
      <c r="F233" s="122"/>
    </row>
    <row r="234" spans="1:6">
      <c r="D234" s="331"/>
      <c r="E234" s="329"/>
      <c r="F234" s="122"/>
    </row>
    <row r="235" spans="1:6">
      <c r="A235" s="122" t="s">
        <v>468</v>
      </c>
      <c r="B235" s="329" t="s">
        <v>827</v>
      </c>
      <c r="D235" s="330" t="str">
        <f>'Register Configuration'!C629</f>
        <v>0x11</v>
      </c>
      <c r="E235" s="329" t="s">
        <v>835</v>
      </c>
      <c r="F235" s="122"/>
    </row>
    <row r="236" spans="1:6">
      <c r="D236" s="331"/>
      <c r="E236" s="329"/>
      <c r="F236" s="122"/>
    </row>
    <row r="237" spans="1:6">
      <c r="A237" s="122" t="s">
        <v>468</v>
      </c>
      <c r="B237" s="329" t="s">
        <v>836</v>
      </c>
      <c r="D237" s="330" t="str">
        <f>'Register Configuration'!C631</f>
        <v>0x1</v>
      </c>
      <c r="E237" s="329"/>
      <c r="F237" s="122"/>
    </row>
    <row r="238" spans="1:6">
      <c r="D238" s="331"/>
      <c r="E238" s="329"/>
      <c r="F238" s="122"/>
    </row>
    <row r="239" spans="1:6">
      <c r="A239" s="122" t="s">
        <v>703</v>
      </c>
      <c r="D239" s="331"/>
      <c r="E239" s="329"/>
      <c r="F239" s="122"/>
    </row>
    <row r="240" spans="1:6">
      <c r="A240" s="122" t="s">
        <v>468</v>
      </c>
      <c r="B240" s="329" t="s">
        <v>704</v>
      </c>
      <c r="D240" s="330">
        <f>'Register Configuration'!C29</f>
        <v>1600</v>
      </c>
      <c r="E240" s="122" t="s">
        <v>932</v>
      </c>
    </row>
    <row r="241" spans="1:6">
      <c r="A241" s="122" t="s">
        <v>468</v>
      </c>
      <c r="B241" s="329" t="s">
        <v>705</v>
      </c>
      <c r="D241" s="331">
        <v>0</v>
      </c>
    </row>
    <row r="242" spans="1:6">
      <c r="A242" s="122" t="s">
        <v>706</v>
      </c>
      <c r="B242" s="329" t="s">
        <v>433</v>
      </c>
      <c r="C242" s="321">
        <v>32</v>
      </c>
      <c r="D242" s="331" t="s">
        <v>434</v>
      </c>
      <c r="E242" s="329" t="s">
        <v>435</v>
      </c>
      <c r="F242" s="122"/>
    </row>
    <row r="243" spans="1:6">
      <c r="A243" s="122" t="s">
        <v>706</v>
      </c>
      <c r="B243" s="329" t="s">
        <v>436</v>
      </c>
      <c r="C243" s="321">
        <v>32</v>
      </c>
      <c r="D243" s="331" t="s">
        <v>437</v>
      </c>
      <c r="E243" s="329" t="s">
        <v>438</v>
      </c>
      <c r="F243" s="122"/>
    </row>
    <row r="244" spans="1:6">
      <c r="A244" s="122" t="s">
        <v>706</v>
      </c>
      <c r="B244" s="329" t="s">
        <v>441</v>
      </c>
      <c r="C244" s="321">
        <v>32</v>
      </c>
      <c r="D244" s="331" t="s">
        <v>439</v>
      </c>
      <c r="E244" s="329" t="s">
        <v>715</v>
      </c>
      <c r="F244" s="122"/>
    </row>
    <row r="245" spans="1:6">
      <c r="A245" s="122" t="s">
        <v>707</v>
      </c>
      <c r="B245" s="329" t="s">
        <v>442</v>
      </c>
      <c r="C245" s="321">
        <v>32</v>
      </c>
      <c r="D245" s="331" t="s">
        <v>711</v>
      </c>
      <c r="E245" s="329" t="s">
        <v>444</v>
      </c>
      <c r="F245" s="122"/>
    </row>
    <row r="246" spans="1:6">
      <c r="A246" s="122" t="s">
        <v>706</v>
      </c>
      <c r="B246" s="329" t="s">
        <v>449</v>
      </c>
      <c r="C246" s="321">
        <v>32</v>
      </c>
      <c r="D246" s="330" t="str">
        <f>D42</f>
        <v>0x00ece580</v>
      </c>
      <c r="E246" s="329" t="str">
        <f>"#HW_DRAM_PLL_CFG2_ADDR: For " &amp; 'Register Configuration'!C29 &amp; "MHz DDR speed, Configure DRAM PLL for " &amp; ('Register Configuration'!C29)/2 &amp; "MHz operation"</f>
        <v>#HW_DRAM_PLL_CFG2_ADDR: For 1600MHz DDR speed, Configure DRAM PLL for 800MHz operation</v>
      </c>
      <c r="F246" s="122"/>
    </row>
    <row r="247" spans="1:6">
      <c r="A247" s="122" t="s">
        <v>708</v>
      </c>
      <c r="B247" s="329" t="s">
        <v>450</v>
      </c>
      <c r="C247" s="321">
        <v>32</v>
      </c>
      <c r="D247" s="331" t="s">
        <v>451</v>
      </c>
      <c r="E247" s="329" t="s">
        <v>452</v>
      </c>
      <c r="F247" s="122"/>
    </row>
    <row r="248" spans="1:6">
      <c r="A248" s="122" t="s">
        <v>707</v>
      </c>
      <c r="B248" s="329" t="s">
        <v>450</v>
      </c>
      <c r="C248" s="321">
        <v>32</v>
      </c>
      <c r="D248" s="331" t="s">
        <v>712</v>
      </c>
      <c r="E248" s="329" t="s">
        <v>453</v>
      </c>
      <c r="F248" s="122"/>
    </row>
    <row r="249" spans="1:6">
      <c r="A249" s="122" t="s">
        <v>708</v>
      </c>
      <c r="B249" s="329" t="s">
        <v>450</v>
      </c>
      <c r="C249" s="321">
        <v>32</v>
      </c>
      <c r="D249" s="331" t="s">
        <v>711</v>
      </c>
      <c r="E249" s="329" t="s">
        <v>454</v>
      </c>
      <c r="F249" s="122"/>
    </row>
    <row r="250" spans="1:6">
      <c r="A250" s="122" t="s">
        <v>708</v>
      </c>
      <c r="B250" s="329" t="s">
        <v>450</v>
      </c>
      <c r="C250" s="321">
        <v>32</v>
      </c>
      <c r="D250" s="331" t="s">
        <v>713</v>
      </c>
      <c r="E250" s="329" t="s">
        <v>455</v>
      </c>
      <c r="F250" s="122"/>
    </row>
    <row r="251" spans="1:6">
      <c r="A251" s="122" t="s">
        <v>709</v>
      </c>
      <c r="B251" s="329" t="s">
        <v>450</v>
      </c>
      <c r="C251" s="321">
        <v>32</v>
      </c>
      <c r="D251" s="331" t="s">
        <v>404</v>
      </c>
      <c r="E251" s="329" t="s">
        <v>456</v>
      </c>
      <c r="F251" s="122"/>
    </row>
    <row r="252" spans="1:6">
      <c r="A252" s="122" t="s">
        <v>706</v>
      </c>
      <c r="B252" s="329" t="s">
        <v>710</v>
      </c>
      <c r="C252" s="321">
        <v>32</v>
      </c>
      <c r="D252" s="331" t="s">
        <v>714</v>
      </c>
      <c r="E252" s="329" t="s">
        <v>716</v>
      </c>
      <c r="F252" s="122"/>
    </row>
    <row r="253" spans="1:6">
      <c r="D253" s="331"/>
      <c r="E253" s="329"/>
      <c r="F253" s="122"/>
    </row>
    <row r="254" spans="1:6">
      <c r="A254" s="122" t="s">
        <v>717</v>
      </c>
      <c r="D254" s="331"/>
      <c r="E254" s="329"/>
      <c r="F254" s="122"/>
    </row>
    <row r="255" spans="1:6">
      <c r="A255" s="122" t="s">
        <v>1045</v>
      </c>
      <c r="D255" s="331"/>
      <c r="E255" s="329"/>
      <c r="F255" s="122"/>
    </row>
    <row r="256" spans="1:6">
      <c r="A256" s="122" t="str">
        <f>IF(AND('Register Configuration'!C31 = 334, 'Register Configuration'!G27&gt;1), "", "#")&amp;"ddrparam set"</f>
        <v>ddrparam set</v>
      </c>
      <c r="B256" s="329" t="s">
        <v>727</v>
      </c>
      <c r="D256" s="421">
        <v>334</v>
      </c>
      <c r="E256" s="329"/>
      <c r="F256" s="122"/>
    </row>
    <row r="257" spans="1:6">
      <c r="A257" s="122" t="str">
        <f>IF(AND('Register Configuration'!C31 = 334, 'Register Configuration'!G27&gt;1), "", "#")&amp;"ddrparam set"</f>
        <v>ddrparam set</v>
      </c>
      <c r="B257" s="329" t="s">
        <v>728</v>
      </c>
      <c r="D257" s="421">
        <v>0</v>
      </c>
      <c r="E257" s="329"/>
      <c r="F257" s="122"/>
    </row>
    <row r="258" spans="1:6">
      <c r="A258" s="122" t="str">
        <f>IF(AND('Register Configuration'!C31 = 334, 'Register Configuration'!G27&gt;1), "", "#")&amp;"freq1 set"</f>
        <v>freq1 set</v>
      </c>
      <c r="B258" s="329" t="s">
        <v>433</v>
      </c>
      <c r="C258" s="321">
        <v>32</v>
      </c>
      <c r="D258" s="122" t="s">
        <v>1039</v>
      </c>
      <c r="E258" s="331" t="s">
        <v>435</v>
      </c>
      <c r="F258" s="329"/>
    </row>
    <row r="259" spans="1:6">
      <c r="A259" s="122" t="str">
        <f>IF(AND('Register Configuration'!C31 = 334, 'Register Configuration'!G27&gt;1), "", "#")&amp;"freq1 set"</f>
        <v>freq1 set</v>
      </c>
      <c r="B259" s="329" t="s">
        <v>436</v>
      </c>
      <c r="C259" s="420">
        <v>32</v>
      </c>
      <c r="D259" s="331" t="s">
        <v>437</v>
      </c>
      <c r="E259" s="329" t="s">
        <v>438</v>
      </c>
      <c r="F259" s="122"/>
    </row>
    <row r="260" spans="1:6">
      <c r="A260" s="122" t="str">
        <f>IF(AND('Register Configuration'!C31 = 334, 'Register Configuration'!G27&gt;1), "", "#")&amp;"freq1 set"</f>
        <v>freq1 set</v>
      </c>
      <c r="B260" s="329" t="s">
        <v>441</v>
      </c>
      <c r="C260" s="420">
        <v>32</v>
      </c>
      <c r="D260" s="331" t="s">
        <v>439</v>
      </c>
      <c r="E260" s="329" t="s">
        <v>715</v>
      </c>
      <c r="F260" s="122"/>
    </row>
    <row r="261" spans="1:6">
      <c r="A261" s="122" t="str">
        <f>IF(AND('Register Configuration'!C31 = 334, 'Register Configuration'!G27&gt;1), "", "#")&amp;"freq1 setbit"</f>
        <v>freq1 setbit</v>
      </c>
      <c r="B261" s="329" t="s">
        <v>442</v>
      </c>
      <c r="C261" s="420">
        <v>32</v>
      </c>
      <c r="D261" s="331" t="s">
        <v>711</v>
      </c>
      <c r="E261" s="329" t="s">
        <v>444</v>
      </c>
      <c r="F261" s="122"/>
    </row>
    <row r="262" spans="1:6">
      <c r="A262" s="122" t="str">
        <f>IF(AND('Register Configuration'!C31 = 334, 'Register Configuration'!G27&gt;1), "", "#")&amp;"freq1 set"</f>
        <v>freq1 set</v>
      </c>
      <c r="B262" s="329" t="s">
        <v>449</v>
      </c>
      <c r="C262" s="420">
        <v>32</v>
      </c>
      <c r="D262" s="331" t="s">
        <v>1037</v>
      </c>
      <c r="E262" s="329" t="s">
        <v>1038</v>
      </c>
      <c r="F262" s="122"/>
    </row>
    <row r="263" spans="1:6">
      <c r="A263" s="122" t="str">
        <f>IF(AND('Register Configuration'!C31 = 334, 'Register Configuration'!G27&gt;1), "", "#")&amp;"freq1 clrbit"</f>
        <v>freq1 clrbit</v>
      </c>
      <c r="B263" s="329" t="s">
        <v>450</v>
      </c>
      <c r="C263" s="420">
        <v>32</v>
      </c>
      <c r="D263" s="331" t="s">
        <v>451</v>
      </c>
      <c r="E263" s="329" t="s">
        <v>452</v>
      </c>
      <c r="F263" s="122"/>
    </row>
    <row r="264" spans="1:6">
      <c r="A264" s="122" t="str">
        <f>IF(AND('Register Configuration'!C31 = 334, 'Register Configuration'!G27&gt;1), "", "#")&amp;"freq1 setbit"</f>
        <v>freq1 setbit</v>
      </c>
      <c r="B264" s="329" t="s">
        <v>450</v>
      </c>
      <c r="C264" s="420">
        <v>32</v>
      </c>
      <c r="D264" s="331" t="s">
        <v>712</v>
      </c>
      <c r="E264" s="329" t="s">
        <v>453</v>
      </c>
      <c r="F264" s="122"/>
    </row>
    <row r="265" spans="1:6">
      <c r="A265" s="122" t="str">
        <f>IF(AND('Register Configuration'!C31 = 334, 'Register Configuration'!G27&gt;1), "", "#")&amp;"freq1 clrbit"</f>
        <v>freq1 clrbit</v>
      </c>
      <c r="B265" s="329" t="s">
        <v>450</v>
      </c>
      <c r="C265" s="420">
        <v>32</v>
      </c>
      <c r="D265" s="331" t="s">
        <v>711</v>
      </c>
      <c r="E265" s="329" t="s">
        <v>454</v>
      </c>
      <c r="F265" s="122"/>
    </row>
    <row r="266" spans="1:6">
      <c r="A266" s="122" t="str">
        <f>IF(AND('Register Configuration'!C31 = 334, 'Register Configuration'!G27&gt;1), "", "#")&amp;"freq1 clrbit"</f>
        <v>freq1 clrbit</v>
      </c>
      <c r="B266" s="329" t="s">
        <v>450</v>
      </c>
      <c r="C266" s="420">
        <v>32</v>
      </c>
      <c r="D266" s="331" t="s">
        <v>713</v>
      </c>
      <c r="E266" s="329" t="s">
        <v>455</v>
      </c>
      <c r="F266" s="122"/>
    </row>
    <row r="267" spans="1:6">
      <c r="A267" s="122" t="str">
        <f>IF(AND('Register Configuration'!C31 = 334, 'Register Configuration'!G27&gt;1), "", "#")&amp;"freq1 chkbit1"</f>
        <v>freq1 chkbit1</v>
      </c>
      <c r="B267" s="329" t="s">
        <v>450</v>
      </c>
      <c r="C267" s="420">
        <v>32</v>
      </c>
      <c r="D267" s="331" t="s">
        <v>404</v>
      </c>
      <c r="E267" s="329" t="s">
        <v>456</v>
      </c>
      <c r="F267" s="122"/>
    </row>
    <row r="268" spans="1:6">
      <c r="A268" s="122" t="str">
        <f>IF(AND('Register Configuration'!C31 = 334, 'Register Configuration'!G27&gt;1), "", "#")&amp;"freq1 set"</f>
        <v>freq1 set</v>
      </c>
      <c r="B268" s="329" t="s">
        <v>710</v>
      </c>
      <c r="C268" s="420">
        <v>32</v>
      </c>
      <c r="D268" s="331" t="s">
        <v>714</v>
      </c>
      <c r="E268" s="329" t="s">
        <v>716</v>
      </c>
      <c r="F268" s="122"/>
    </row>
    <row r="269" spans="1:6">
      <c r="D269" s="331"/>
      <c r="E269" s="329"/>
      <c r="F269" s="122"/>
    </row>
    <row r="270" spans="1:6">
      <c r="A270" s="122" t="str">
        <f>IF(AND('Register Configuration'!C31 = 200, 'Register Configuration'!G27&gt;1), "", "#")&amp;"ddrparam set"</f>
        <v>#ddrparam set</v>
      </c>
      <c r="B270" s="329" t="s">
        <v>727</v>
      </c>
      <c r="D270" s="331">
        <v>200</v>
      </c>
      <c r="E270" s="329"/>
      <c r="F270" s="122"/>
    </row>
    <row r="271" spans="1:6">
      <c r="A271" s="122" t="str">
        <f>IF(AND('Register Configuration'!C31 = 200, 'Register Configuration'!G27&gt;1), "", "#")&amp;"ddrparam set"</f>
        <v>#ddrparam set</v>
      </c>
      <c r="B271" s="329" t="s">
        <v>728</v>
      </c>
      <c r="D271" s="419">
        <v>1</v>
      </c>
      <c r="E271" s="329"/>
      <c r="F271" s="122"/>
    </row>
    <row r="272" spans="1:6">
      <c r="A272" s="122" t="str">
        <f>IF(AND('Register Configuration'!C31 = 200, 'Register Configuration'!G27&gt;1), "", "#")&amp;"freq1 set"</f>
        <v>#freq1 set</v>
      </c>
      <c r="B272" s="329" t="s">
        <v>718</v>
      </c>
      <c r="C272" s="321">
        <v>32</v>
      </c>
      <c r="D272" s="331" t="s">
        <v>434</v>
      </c>
      <c r="E272" s="329" t="s">
        <v>722</v>
      </c>
      <c r="F272" s="122"/>
    </row>
    <row r="273" spans="1:6">
      <c r="A273" s="122" t="str">
        <f>IF(AND('Register Configuration'!C31 = 200, 'Register Configuration'!G27&gt;1), "", "#")&amp;"freq1 set"</f>
        <v>#freq1 set</v>
      </c>
      <c r="B273" s="329" t="s">
        <v>719</v>
      </c>
      <c r="C273" s="321">
        <v>32</v>
      </c>
      <c r="D273" s="331" t="str">
        <f>IF(D270=334, "0x04030000", "0x05000000")</f>
        <v>0x05000000</v>
      </c>
      <c r="E273" s="329" t="s">
        <v>723</v>
      </c>
      <c r="F273" s="122"/>
    </row>
    <row r="274" spans="1:6">
      <c r="A274" s="122" t="str">
        <f>IF(AND('Register Configuration'!C31 = 200, 'Register Configuration'!G27&gt;1), "", "#")&amp;"freq1 set"</f>
        <v>#freq1 set</v>
      </c>
      <c r="B274" s="329" t="s">
        <v>433</v>
      </c>
      <c r="C274" s="321">
        <v>32</v>
      </c>
      <c r="D274" s="331" t="s">
        <v>434</v>
      </c>
      <c r="E274" s="329" t="s">
        <v>435</v>
      </c>
      <c r="F274" s="122"/>
    </row>
    <row r="275" spans="1:6">
      <c r="A275" s="122" t="str">
        <f>IF(AND('Register Configuration'!C31 = 200, 'Register Configuration'!G27&gt;1), "", "#")&amp;"freq1 set"</f>
        <v>#freq1 set</v>
      </c>
      <c r="B275" s="329" t="s">
        <v>436</v>
      </c>
      <c r="C275" s="321">
        <v>32</v>
      </c>
      <c r="D275" s="331" t="s">
        <v>721</v>
      </c>
      <c r="E275" s="329" t="s">
        <v>724</v>
      </c>
      <c r="F275" s="122"/>
    </row>
    <row r="276" spans="1:6">
      <c r="A276" s="122" t="str">
        <f>IF(AND('Register Configuration'!C31 = 200, 'Register Configuration'!G27&gt;1), "", "#")&amp;"freq1 set"</f>
        <v>#freq1 set</v>
      </c>
      <c r="B276" s="329" t="s">
        <v>441</v>
      </c>
      <c r="C276" s="321">
        <v>32</v>
      </c>
      <c r="D276" s="331" t="s">
        <v>439</v>
      </c>
      <c r="E276" s="329" t="s">
        <v>715</v>
      </c>
      <c r="F276" s="122"/>
    </row>
    <row r="277" spans="1:6">
      <c r="A277" s="122" t="str">
        <f>IF(AND('Register Configuration'!C31 = 200, 'Register Configuration'!G27&gt;1), "", "#")&amp;"freq1 setbit"</f>
        <v>#freq1 setbit</v>
      </c>
      <c r="B277" s="329" t="s">
        <v>442</v>
      </c>
      <c r="C277" s="321">
        <v>32</v>
      </c>
      <c r="D277" s="331" t="s">
        <v>711</v>
      </c>
      <c r="E277" s="329" t="s">
        <v>444</v>
      </c>
      <c r="F277" s="122"/>
    </row>
    <row r="278" spans="1:6">
      <c r="A278" s="122" t="str">
        <f>IF(AND('Register Configuration'!C31 = 200, 'Register Configuration'!G27&gt;1), "", "#")&amp;"freq1 set"</f>
        <v>#freq1 set</v>
      </c>
      <c r="B278" s="329" t="s">
        <v>720</v>
      </c>
      <c r="C278" s="321">
        <v>32</v>
      </c>
      <c r="D278" s="331" t="s">
        <v>714</v>
      </c>
      <c r="E278" s="329" t="s">
        <v>725</v>
      </c>
      <c r="F278" s="122"/>
    </row>
    <row r="279" spans="1:6">
      <c r="D279" s="331"/>
      <c r="E279" s="329"/>
      <c r="F279" s="122"/>
    </row>
    <row r="280" spans="1:6">
      <c r="A280" s="122" t="s">
        <v>726</v>
      </c>
      <c r="D280" s="331"/>
      <c r="E280" s="329"/>
      <c r="F280" s="122"/>
    </row>
    <row r="281" spans="1:6">
      <c r="A281" s="122" t="str">
        <f>IF('Register Configuration'!G27 = 3, "ddrparam set", "#ddrparam set")</f>
        <v>#ddrparam set</v>
      </c>
      <c r="B281" s="329" t="s">
        <v>729</v>
      </c>
      <c r="D281" s="330">
        <f>'Register Configuration'!C33</f>
        <v>50</v>
      </c>
      <c r="E281" s="329"/>
      <c r="F281" s="122"/>
    </row>
    <row r="282" spans="1:6">
      <c r="A282" s="122" t="str">
        <f>IF('Register Configuration'!G27 = 3, "ddrparam set", "#ddrparam set")</f>
        <v>#ddrparam set</v>
      </c>
      <c r="B282" s="329" t="s">
        <v>730</v>
      </c>
      <c r="D282" s="418">
        <f>IF(D281&lt;253, 1, 0)</f>
        <v>1</v>
      </c>
      <c r="E282" s="329"/>
      <c r="F282" s="122"/>
    </row>
    <row r="283" spans="1:6">
      <c r="A283" s="122" t="str">
        <f>IF('Register Configuration'!G27 = 3, "freq2 set", "#freq2 set")</f>
        <v>#freq2 set</v>
      </c>
      <c r="B283" s="329" t="s">
        <v>718</v>
      </c>
      <c r="C283" s="321">
        <v>32</v>
      </c>
      <c r="D283" s="331" t="s">
        <v>434</v>
      </c>
      <c r="E283" s="329" t="s">
        <v>722</v>
      </c>
      <c r="F283" s="122"/>
    </row>
    <row r="284" spans="1:6">
      <c r="A284" s="122" t="str">
        <f>IF('Register Configuration'!G27 = 3, "freq2 set", "#freq2 set")</f>
        <v>#freq2 set</v>
      </c>
      <c r="B284" s="329" t="s">
        <v>719</v>
      </c>
      <c r="C284" s="321">
        <v>32</v>
      </c>
      <c r="D284" s="331" t="s">
        <v>731</v>
      </c>
      <c r="E284" s="329" t="s">
        <v>732</v>
      </c>
      <c r="F284" s="122"/>
    </row>
    <row r="285" spans="1:6">
      <c r="A285" s="122" t="str">
        <f>IF('Register Configuration'!G27 = 3, "freq2 set", "#freq2 set")</f>
        <v>#freq2 set</v>
      </c>
      <c r="B285" s="329" t="s">
        <v>433</v>
      </c>
      <c r="C285" s="321">
        <v>32</v>
      </c>
      <c r="D285" s="331" t="s">
        <v>434</v>
      </c>
      <c r="E285" s="329" t="s">
        <v>435</v>
      </c>
      <c r="F285" s="122"/>
    </row>
    <row r="286" spans="1:6">
      <c r="A286" s="122" t="str">
        <f>IF('Register Configuration'!G27 = 3, "freq2 set", "#freq2 set")</f>
        <v>#freq2 set</v>
      </c>
      <c r="B286" s="329" t="s">
        <v>436</v>
      </c>
      <c r="C286" s="321">
        <v>32</v>
      </c>
      <c r="D286" s="331" t="s">
        <v>721</v>
      </c>
      <c r="E286" s="329" t="s">
        <v>724</v>
      </c>
      <c r="F286" s="122"/>
    </row>
    <row r="287" spans="1:6">
      <c r="A287" s="122" t="str">
        <f>IF('Register Configuration'!G27 = 3, "freq2 set", "#freq2 set")</f>
        <v>#freq2 set</v>
      </c>
      <c r="B287" s="329" t="s">
        <v>441</v>
      </c>
      <c r="C287" s="321">
        <v>32</v>
      </c>
      <c r="D287" s="331" t="s">
        <v>439</v>
      </c>
      <c r="E287" s="329" t="s">
        <v>715</v>
      </c>
      <c r="F287" s="122"/>
    </row>
    <row r="288" spans="1:6">
      <c r="A288" s="122" t="str">
        <f>IF('Register Configuration'!G27 = 3, "freq2 setbit", "#freq2 setbit")</f>
        <v>#freq2 setbit</v>
      </c>
      <c r="B288" s="329" t="s">
        <v>442</v>
      </c>
      <c r="C288" s="321">
        <v>32</v>
      </c>
      <c r="D288" s="331" t="s">
        <v>711</v>
      </c>
      <c r="E288" s="329" t="s">
        <v>444</v>
      </c>
      <c r="F288" s="122"/>
    </row>
    <row r="289" spans="1:6">
      <c r="A289" s="122" t="str">
        <f>IF('Register Configuration'!G27 = 3, "freq2 set", "#freq2 set")</f>
        <v>#freq2 set</v>
      </c>
      <c r="B289" s="329" t="s">
        <v>720</v>
      </c>
      <c r="C289" s="321">
        <v>32</v>
      </c>
      <c r="D289" s="331" t="s">
        <v>714</v>
      </c>
      <c r="E289" s="329" t="s">
        <v>725</v>
      </c>
      <c r="F289" s="122"/>
    </row>
    <row r="290" spans="1:6">
      <c r="D290" s="331"/>
      <c r="E290" s="329"/>
      <c r="F290" s="122"/>
    </row>
    <row r="291" spans="1:6">
      <c r="A291" s="122" t="s">
        <v>548</v>
      </c>
    </row>
    <row r="292" spans="1:6">
      <c r="A292" s="122" t="s">
        <v>468</v>
      </c>
      <c r="B292" s="329" t="s">
        <v>694</v>
      </c>
      <c r="D292" s="329" t="s">
        <v>472</v>
      </c>
      <c r="E292" s="122" t="s">
        <v>473</v>
      </c>
    </row>
    <row r="293" spans="1:6">
      <c r="E293" s="122" t="s">
        <v>474</v>
      </c>
    </row>
    <row r="294" spans="1:6">
      <c r="E294" s="122" t="s">
        <v>475</v>
      </c>
    </row>
    <row r="295" spans="1:6">
      <c r="E295" s="122" t="s">
        <v>476</v>
      </c>
    </row>
    <row r="296" spans="1:6">
      <c r="E296" s="122" t="s">
        <v>477</v>
      </c>
    </row>
    <row r="297" spans="1:6">
      <c r="E297" s="122" t="s">
        <v>478</v>
      </c>
    </row>
    <row r="298" spans="1:6">
      <c r="E298" s="122" t="s">
        <v>479</v>
      </c>
    </row>
    <row r="299" spans="1:6">
      <c r="E299" s="122" t="s">
        <v>480</v>
      </c>
    </row>
    <row r="300" spans="1:6">
      <c r="E300" s="122" t="s">
        <v>481</v>
      </c>
    </row>
    <row r="301" spans="1:6">
      <c r="E301" s="122" t="s">
        <v>482</v>
      </c>
    </row>
    <row r="302" spans="1:6">
      <c r="E302" s="122" t="s">
        <v>483</v>
      </c>
    </row>
    <row r="303" spans="1:6">
      <c r="E303" s="122" t="s">
        <v>484</v>
      </c>
    </row>
    <row r="304" spans="1:6">
      <c r="E304" s="122" t="s">
        <v>485</v>
      </c>
    </row>
    <row r="305" spans="1:5">
      <c r="A305" s="122" t="s">
        <v>468</v>
      </c>
      <c r="B305" s="329" t="s">
        <v>695</v>
      </c>
      <c r="D305" s="329" t="s">
        <v>697</v>
      </c>
    </row>
    <row r="306" spans="1:5">
      <c r="A306" s="122" t="s">
        <v>468</v>
      </c>
      <c r="B306" s="329" t="s">
        <v>696</v>
      </c>
      <c r="D306" s="329" t="s">
        <v>697</v>
      </c>
    </row>
    <row r="308" spans="1:5">
      <c r="A308" s="122" t="s">
        <v>549</v>
      </c>
    </row>
    <row r="309" spans="1:5">
      <c r="A309" s="122" t="s">
        <v>468</v>
      </c>
      <c r="B309" s="329" t="s">
        <v>486</v>
      </c>
      <c r="D309" s="329" t="s">
        <v>487</v>
      </c>
      <c r="E309" s="122" t="s">
        <v>488</v>
      </c>
    </row>
    <row r="310" spans="1:5">
      <c r="E310" s="122" t="s">
        <v>489</v>
      </c>
    </row>
    <row r="311" spans="1:5">
      <c r="E311" s="122" t="s">
        <v>490</v>
      </c>
    </row>
    <row r="312" spans="1:5">
      <c r="E312" s="122" t="s">
        <v>491</v>
      </c>
    </row>
    <row r="313" spans="1:5">
      <c r="E313" s="122" t="s">
        <v>492</v>
      </c>
    </row>
    <row r="314" spans="1:5">
      <c r="E314" s="122" t="s">
        <v>493</v>
      </c>
    </row>
    <row r="316" spans="1:5">
      <c r="A316" s="122" t="s">
        <v>468</v>
      </c>
      <c r="B316" s="329" t="s">
        <v>494</v>
      </c>
      <c r="D316" s="330" t="str">
        <f>'Register Configuration'!C593</f>
        <v>0xD4</v>
      </c>
    </row>
    <row r="317" spans="1:5">
      <c r="A317" s="122" t="s">
        <v>468</v>
      </c>
      <c r="B317" s="329" t="s">
        <v>495</v>
      </c>
      <c r="D317" s="330" t="str">
        <f>'Register Configuration'!C594</f>
        <v>0x2D</v>
      </c>
    </row>
    <row r="318" spans="1:5">
      <c r="A318" s="122" t="s">
        <v>468</v>
      </c>
      <c r="B318" s="329" t="s">
        <v>496</v>
      </c>
      <c r="D318" s="330" t="str">
        <f>'Register Configuration'!C595</f>
        <v>0x31</v>
      </c>
    </row>
    <row r="319" spans="1:5">
      <c r="A319" s="122" t="s">
        <v>468</v>
      </c>
      <c r="B319" s="329" t="s">
        <v>497</v>
      </c>
      <c r="D319" s="330" t="str">
        <f>'Register Configuration'!C596</f>
        <v>0x00</v>
      </c>
    </row>
    <row r="320" spans="1:5">
      <c r="A320" s="122" t="s">
        <v>468</v>
      </c>
      <c r="B320" s="329" t="s">
        <v>498</v>
      </c>
      <c r="D320" s="330" t="str">
        <f>'Register Configuration'!C597</f>
        <v>0x66</v>
      </c>
    </row>
    <row r="321" spans="1:4">
      <c r="A321" s="122" t="s">
        <v>468</v>
      </c>
      <c r="B321" s="329" t="s">
        <v>499</v>
      </c>
      <c r="D321" s="330" t="str">
        <f>'Register Configuration'!C598</f>
        <v>0x4A</v>
      </c>
    </row>
    <row r="322" spans="1:4">
      <c r="A322" s="122" t="s">
        <v>468</v>
      </c>
      <c r="B322" s="329" t="s">
        <v>500</v>
      </c>
      <c r="D322" s="330" t="str">
        <f>'Register Configuration'!C599</f>
        <v>0x08</v>
      </c>
    </row>
    <row r="323" spans="1:4">
      <c r="A323" s="122" t="s">
        <v>468</v>
      </c>
      <c r="B323" s="329" t="s">
        <v>501</v>
      </c>
      <c r="D323" s="330" t="str">
        <f>'Register Configuration'!C600</f>
        <v>0x4A</v>
      </c>
    </row>
    <row r="324" spans="1:4">
      <c r="A324" s="122" t="s">
        <v>468</v>
      </c>
      <c r="B324" s="329" t="s">
        <v>502</v>
      </c>
      <c r="D324" s="330" t="str">
        <f>'Register Configuration'!C601</f>
        <v>0x00</v>
      </c>
    </row>
    <row r="325" spans="1:4">
      <c r="A325" s="122" t="s">
        <v>468</v>
      </c>
      <c r="B325" s="329" t="s">
        <v>503</v>
      </c>
      <c r="D325" s="330" t="str">
        <f>'Register Configuration'!C602</f>
        <v>0x00</v>
      </c>
    </row>
    <row r="326" spans="1:4">
      <c r="A326" s="122" t="s">
        <v>468</v>
      </c>
      <c r="B326" s="329" t="s">
        <v>504</v>
      </c>
      <c r="D326" s="330" t="str">
        <f>'Register Configuration'!C603</f>
        <v>0x16</v>
      </c>
    </row>
    <row r="327" spans="1:4">
      <c r="A327" s="122" t="s">
        <v>468</v>
      </c>
      <c r="B327" s="329" t="s">
        <v>505</v>
      </c>
      <c r="D327" s="330" t="str">
        <f>'Register Configuration'!C604</f>
        <v>0x00</v>
      </c>
    </row>
    <row r="329" spans="1:4">
      <c r="A329" s="122" t="s">
        <v>468</v>
      </c>
      <c r="B329" s="329" t="s">
        <v>925</v>
      </c>
      <c r="D329" s="330" t="str">
        <f>'Register Configuration'!C606</f>
        <v>0x94</v>
      </c>
    </row>
    <row r="330" spans="1:4">
      <c r="A330" s="122" t="s">
        <v>468</v>
      </c>
      <c r="B330" s="329" t="s">
        <v>926</v>
      </c>
      <c r="D330" s="330" t="str">
        <f>'Register Configuration'!C607</f>
        <v>0x09</v>
      </c>
    </row>
    <row r="332" spans="1:4">
      <c r="A332" s="122" t="s">
        <v>468</v>
      </c>
      <c r="B332" s="329" t="s">
        <v>927</v>
      </c>
      <c r="D332" s="330" t="str">
        <f>'Register Configuration'!C609</f>
        <v>0x84</v>
      </c>
    </row>
    <row r="333" spans="1:4">
      <c r="A333" s="122" t="s">
        <v>468</v>
      </c>
      <c r="B333" s="329" t="s">
        <v>928</v>
      </c>
      <c r="D333" s="330" t="str">
        <f>'Register Configuration'!C610</f>
        <v>0x00</v>
      </c>
    </row>
    <row r="335" spans="1:4">
      <c r="A335" s="122" t="s">
        <v>468</v>
      </c>
      <c r="B335" s="329" t="s">
        <v>507</v>
      </c>
      <c r="D335" s="330">
        <f>'Register Configuration'!C612</f>
        <v>40</v>
      </c>
    </row>
    <row r="336" spans="1:4">
      <c r="A336" s="122" t="s">
        <v>468</v>
      </c>
      <c r="B336" s="329" t="s">
        <v>508</v>
      </c>
      <c r="D336" s="330">
        <f>'Register Configuration'!C613</f>
        <v>40</v>
      </c>
    </row>
    <row r="337" spans="1:4">
      <c r="A337" s="122" t="s">
        <v>468</v>
      </c>
      <c r="B337" s="329" t="s">
        <v>509</v>
      </c>
      <c r="D337" s="330">
        <f>'Register Configuration'!C614</f>
        <v>34</v>
      </c>
    </row>
    <row r="339" spans="1:4">
      <c r="A339" s="122" t="s">
        <v>468</v>
      </c>
      <c r="B339" s="329" t="s">
        <v>510</v>
      </c>
      <c r="D339" s="330" t="str">
        <f>'Register Configuration'!C616</f>
        <v>0x00</v>
      </c>
    </row>
    <row r="340" spans="1:4">
      <c r="A340" s="122" t="s">
        <v>468</v>
      </c>
      <c r="B340" s="329" t="s">
        <v>511</v>
      </c>
      <c r="D340" s="330" t="str">
        <f>'Register Configuration'!C617</f>
        <v>0x00</v>
      </c>
    </row>
    <row r="341" spans="1:4">
      <c r="A341" s="122" t="s">
        <v>468</v>
      </c>
      <c r="B341" s="329" t="s">
        <v>512</v>
      </c>
      <c r="D341" s="330" t="str">
        <f>'Register Configuration'!C618</f>
        <v>0x00</v>
      </c>
    </row>
    <row r="342" spans="1:4">
      <c r="A342" s="122" t="s">
        <v>468</v>
      </c>
      <c r="B342" s="329" t="s">
        <v>513</v>
      </c>
      <c r="D342" s="330" t="str">
        <f>'Register Configuration'!C619</f>
        <v>0x01</v>
      </c>
    </row>
    <row r="344" spans="1:4">
      <c r="A344" s="122" t="s">
        <v>468</v>
      </c>
      <c r="B344" s="329" t="s">
        <v>514</v>
      </c>
      <c r="D344" s="330" t="str">
        <f>'Register Configuration'!C621</f>
        <v>0x0f</v>
      </c>
    </row>
    <row r="345" spans="1:4">
      <c r="A345" s="122" t="s">
        <v>468</v>
      </c>
      <c r="B345" s="329" t="s">
        <v>515</v>
      </c>
      <c r="D345" s="330" t="str">
        <f>'Register Configuration'!C622</f>
        <v>0x0f</v>
      </c>
    </row>
    <row r="346" spans="1:4">
      <c r="A346" s="122" t="s">
        <v>468</v>
      </c>
      <c r="B346" s="329" t="s">
        <v>516</v>
      </c>
      <c r="D346" s="330" t="str">
        <f>'Register Configuration'!C623</f>
        <v>0x0f</v>
      </c>
    </row>
    <row r="347" spans="1:4">
      <c r="A347" s="122" t="s">
        <v>468</v>
      </c>
      <c r="B347" s="329" t="s">
        <v>517</v>
      </c>
      <c r="D347" s="330" t="str">
        <f>'Register Configuration'!C624</f>
        <v>0x0f</v>
      </c>
    </row>
    <row r="349" spans="1:4">
      <c r="A349" s="122" t="s">
        <v>468</v>
      </c>
      <c r="B349" s="329" t="s">
        <v>518</v>
      </c>
      <c r="D349" s="330" t="str">
        <f>'Register Configuration'!C626</f>
        <v>0x09</v>
      </c>
    </row>
    <row r="350" spans="1:4">
      <c r="A350" s="122" t="s">
        <v>468</v>
      </c>
      <c r="B350" s="329" t="s">
        <v>519</v>
      </c>
      <c r="D350" s="330" t="str">
        <f>'Register Configuration'!C627</f>
        <v>0x00</v>
      </c>
    </row>
    <row r="352" spans="1:4">
      <c r="A352" s="122" t="s">
        <v>468</v>
      </c>
      <c r="B352" s="329" t="s">
        <v>698</v>
      </c>
      <c r="D352" s="329" t="s">
        <v>506</v>
      </c>
    </row>
    <row r="353" spans="1:4">
      <c r="A353" s="122" t="s">
        <v>468</v>
      </c>
      <c r="B353" s="329" t="s">
        <v>699</v>
      </c>
      <c r="D353" s="329" t="s">
        <v>506</v>
      </c>
    </row>
    <row r="354" spans="1:4">
      <c r="A354" s="122" t="s">
        <v>468</v>
      </c>
      <c r="B354" s="329" t="s">
        <v>700</v>
      </c>
      <c r="D354" s="329" t="s">
        <v>842</v>
      </c>
    </row>
    <row r="355" spans="1:4">
      <c r="A355" s="122" t="s">
        <v>468</v>
      </c>
      <c r="B355" s="329" t="s">
        <v>701</v>
      </c>
      <c r="D355" s="329" t="s">
        <v>843</v>
      </c>
    </row>
    <row r="356" spans="1:4">
      <c r="A356" s="122" t="s">
        <v>468</v>
      </c>
      <c r="B356" s="329" t="s">
        <v>702</v>
      </c>
      <c r="D356" s="329" t="s">
        <v>844</v>
      </c>
    </row>
  </sheetData>
  <dataConsolidate/>
  <phoneticPr fontId="32" type="noConversion"/>
  <pageMargins left="0.7" right="0.7" top="0.75" bottom="0.75" header="0.3" footer="0.3"/>
  <pageSetup orientation="portrait" r:id="rId1"/>
  <ignoredErrors>
    <ignoredError sqref="A288 A261 A264 A277" formula="1"/>
  </ignoredError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5</vt:i4>
      </vt:variant>
      <vt:variant>
        <vt:lpstr>Named Ranges</vt:lpstr>
      </vt:variant>
      <vt:variant>
        <vt:i4>4</vt:i4>
      </vt:variant>
    </vt:vector>
  </HeadingPairs>
  <TitlesOfParts>
    <vt:vector size="9" baseType="lpstr">
      <vt:lpstr>How To Use</vt:lpstr>
      <vt:lpstr>Revision History</vt:lpstr>
      <vt:lpstr>Register Configuration</vt:lpstr>
      <vt:lpstr>BoardDataBusConfig</vt:lpstr>
      <vt:lpstr>DDR stress test file</vt:lpstr>
      <vt:lpstr>BusWidth</vt:lpstr>
      <vt:lpstr>DDRTypes</vt:lpstr>
      <vt:lpstr>'Register Configuration'!Print_Area</vt:lpstr>
      <vt:lpstr>RowBankInterleavingOption</vt:lpstr>
    </vt:vector>
  </TitlesOfParts>
  <Company>Freescale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ra7694</dc:creator>
  <cp:lastModifiedBy>Oliver Chen</cp:lastModifiedBy>
  <cp:lastPrinted>2009-11-19T19:37:47Z</cp:lastPrinted>
  <dcterms:created xsi:type="dcterms:W3CDTF">2008-07-23T13:35:02Z</dcterms:created>
  <dcterms:modified xsi:type="dcterms:W3CDTF">2020-06-24T07:26:33Z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ies>
</file>