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5  MAYO  2022\"/>
    </mc:Choice>
  </mc:AlternateContent>
  <bookViews>
    <workbookView xWindow="1560" yWindow="0" windowWidth="16605" windowHeight="10920" tabRatio="604" firstSheet="1" activeTab="1"/>
  </bookViews>
  <sheets>
    <sheet name="Gráfico1" sheetId="137" state="hidden" r:id="rId1"/>
    <sheet name="COMPRAS DEL MES " sheetId="38" r:id="rId2"/>
    <sheet name="PIERNA" sheetId="1" r:id="rId3"/>
    <sheet name="T A Q U E R A          " sheetId="57" r:id="rId4"/>
    <sheet name=" TAMPIQUEÑA     " sheetId="196" r:id="rId5"/>
    <sheet name="T E X A N A      " sheetId="197" r:id="rId6"/>
    <sheet name="CONTRA EXCEL   pulpa blanca" sheetId="129" r:id="rId7"/>
    <sheet name="PECHO  CON CUERO     " sheetId="179" state="hidden" r:id="rId8"/>
    <sheet name="PULPA    NEGRA     " sheetId="194" state="hidden" r:id="rId9"/>
    <sheet name="PULPA BLANCA S-CUETE       " sheetId="199" r:id="rId10"/>
    <sheet name="PULPAS DE PIERNA  " sheetId="159" r:id="rId11"/>
    <sheet name="PULPA    NEGRA    " sheetId="198" r:id="rId12"/>
    <sheet name="B U CH E      " sheetId="157" r:id="rId13"/>
    <sheet name="   MANTECA      " sheetId="154" state="hidden" r:id="rId14"/>
    <sheet name="PULPA DE RES         " sheetId="192" state="hidden" r:id="rId15"/>
    <sheet name="QUESOS    GOUDA   AMERLAND  " sheetId="164" state="hidden" r:id="rId16"/>
    <sheet name="PULPA ESPALDILLA " sheetId="185" state="hidden" r:id="rId17"/>
    <sheet name="RECORTE   80--20        " sheetId="130" r:id="rId18"/>
    <sheet name="SALMON          " sheetId="8" r:id="rId19"/>
    <sheet name="CUERO PANCETA " sheetId="128" state="hidden" r:id="rId20"/>
    <sheet name="      A T  U N         " sheetId="135" r:id="rId21"/>
    <sheet name="MENUDO EXCELL   I B P" sheetId="40" r:id="rId22"/>
    <sheet name="ESPALDILLA CARNERO Y CORDERO   " sheetId="54" r:id="rId23"/>
    <sheet name="CARNERO EN CANAL X  CAJA  " sheetId="193" r:id="rId24"/>
    <sheet name="ESPALDILLA     SH    " sheetId="187" r:id="rId25"/>
    <sheet name="QUESOS  GOUDA    " sheetId="14" state="hidden" r:id="rId26"/>
    <sheet name="PIERNA DE CARNERO Nal " sheetId="178" state="hidden" r:id="rId27"/>
    <sheet name="FILETE  TILAPIA   " sheetId="65" r:id="rId28"/>
    <sheet name="PUNTA      CHULETA      " sheetId="139" r:id="rId29"/>
    <sheet name="C A M A R O N E S      " sheetId="188" r:id="rId30"/>
    <sheet name="PUNTAS DE CAÑA DE LOMO " sheetId="117" r:id="rId31"/>
    <sheet name="SESOS    MARQUETA    " sheetId="191" r:id="rId32"/>
    <sheet name="LOMO DE CAÑA    " sheetId="163" state="hidden" r:id="rId33"/>
    <sheet name="PIERNA    SH      " sheetId="190" r:id="rId34"/>
    <sheet name="COSTILLA ESPECIAL DE CERDO  " sheetId="133" state="hidden" r:id="rId35"/>
    <sheet name="CHULETA DE CERDO   entrecot    " sheetId="150" state="hidden" r:id="rId36"/>
    <sheet name="CABEZA DE   LOMO    " sheetId="161" r:id="rId37"/>
    <sheet name="P A V O S           " sheetId="156" state="hidden" r:id="rId38"/>
    <sheet name="MANITAS DE CERDO " sheetId="177" r:id="rId39"/>
    <sheet name="  MAZOS    TRIPAS   " sheetId="181" r:id="rId40"/>
    <sheet name="TOCINO      NACIONAL        " sheetId="180" r:id="rId41"/>
    <sheet name="C O R B A T A        " sheetId="174" state="hidden" r:id="rId42"/>
    <sheet name="CUERO PANCETA    " sheetId="189" state="hidden" r:id="rId43"/>
    <sheet name="Hoja2" sheetId="195" r:id="rId44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4" i="38" l="1"/>
  <c r="Q33" i="38"/>
  <c r="Q30" i="38"/>
  <c r="Q29" i="38"/>
  <c r="Q28" i="38"/>
  <c r="Q31" i="38" l="1"/>
  <c r="Q32" i="38" l="1"/>
  <c r="Q35" i="38"/>
  <c r="H32" i="38" l="1"/>
  <c r="N36" i="157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Q11" i="130"/>
  <c r="U11" i="130" s="1"/>
  <c r="Q12" i="130"/>
  <c r="Q13" i="130"/>
  <c r="Q14" i="130"/>
  <c r="Q15" i="130"/>
  <c r="U15" i="130" s="1"/>
  <c r="Q16" i="130"/>
  <c r="Q17" i="130"/>
  <c r="Q18" i="130"/>
  <c r="Q19" i="130"/>
  <c r="U19" i="130" s="1"/>
  <c r="Q20" i="130"/>
  <c r="Q21" i="130"/>
  <c r="Q22" i="130"/>
  <c r="Q23" i="130"/>
  <c r="U23" i="130" s="1"/>
  <c r="Q24" i="130"/>
  <c r="Q25" i="130"/>
  <c r="Q26" i="130"/>
  <c r="Q27" i="130"/>
  <c r="U27" i="130" s="1"/>
  <c r="Q28" i="130"/>
  <c r="Q29" i="130"/>
  <c r="O30" i="130"/>
  <c r="L30" i="130"/>
  <c r="U28" i="130"/>
  <c r="U26" i="130"/>
  <c r="U25" i="130"/>
  <c r="U24" i="130"/>
  <c r="U22" i="130"/>
  <c r="U21" i="130"/>
  <c r="U20" i="130"/>
  <c r="U18" i="130"/>
  <c r="U17" i="130"/>
  <c r="U16" i="130"/>
  <c r="U14" i="130"/>
  <c r="U13" i="130"/>
  <c r="U12" i="130"/>
  <c r="Q10" i="130"/>
  <c r="U10" i="130" s="1"/>
  <c r="Q9" i="130"/>
  <c r="T9" i="130" s="1"/>
  <c r="T10" i="130" s="1"/>
  <c r="M9" i="130"/>
  <c r="M10" i="130" s="1"/>
  <c r="M11" i="130" s="1"/>
  <c r="M12" i="130" s="1"/>
  <c r="M13" i="130" s="1"/>
  <c r="M14" i="130" s="1"/>
  <c r="M15" i="130" s="1"/>
  <c r="M16" i="130" s="1"/>
  <c r="M17" i="130" s="1"/>
  <c r="M18" i="130" s="1"/>
  <c r="M19" i="130" s="1"/>
  <c r="M20" i="130" s="1"/>
  <c r="M21" i="130" s="1"/>
  <c r="M22" i="130" s="1"/>
  <c r="M23" i="130" s="1"/>
  <c r="M24" i="130" s="1"/>
  <c r="M25" i="130" s="1"/>
  <c r="M26" i="130" s="1"/>
  <c r="M27" i="130" s="1"/>
  <c r="M28" i="130" s="1"/>
  <c r="M29" i="130" s="1"/>
  <c r="N53" i="117"/>
  <c r="P54" i="117" s="1"/>
  <c r="Q52" i="117"/>
  <c r="Q5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T10" i="117"/>
  <c r="Q10" i="117"/>
  <c r="O39" i="161"/>
  <c r="L39" i="161"/>
  <c r="Q38" i="161"/>
  <c r="Q37" i="161"/>
  <c r="U37" i="161" s="1"/>
  <c r="Q36" i="161"/>
  <c r="U36" i="161" s="1"/>
  <c r="Q35" i="161"/>
  <c r="U35" i="161" s="1"/>
  <c r="Q34" i="161"/>
  <c r="U34" i="161" s="1"/>
  <c r="Q33" i="161"/>
  <c r="U33" i="161" s="1"/>
  <c r="Q32" i="161"/>
  <c r="U32" i="161" s="1"/>
  <c r="Q31" i="161"/>
  <c r="U31" i="161" s="1"/>
  <c r="Q30" i="161"/>
  <c r="U30" i="161" s="1"/>
  <c r="Q29" i="161"/>
  <c r="U29" i="161" s="1"/>
  <c r="Q28" i="161"/>
  <c r="U28" i="161" s="1"/>
  <c r="Q27" i="161"/>
  <c r="U27" i="161" s="1"/>
  <c r="Q26" i="161"/>
  <c r="U26" i="161" s="1"/>
  <c r="Q25" i="161"/>
  <c r="U25" i="161" s="1"/>
  <c r="Q24" i="161"/>
  <c r="U24" i="161" s="1"/>
  <c r="Q23" i="161"/>
  <c r="U23" i="161" s="1"/>
  <c r="Q22" i="161"/>
  <c r="U22" i="161" s="1"/>
  <c r="Q21" i="161"/>
  <c r="U21" i="161" s="1"/>
  <c r="Q20" i="161"/>
  <c r="U20" i="161" s="1"/>
  <c r="Q19" i="161"/>
  <c r="U19" i="161" s="1"/>
  <c r="Q18" i="161"/>
  <c r="U18" i="161" s="1"/>
  <c r="Q17" i="161"/>
  <c r="U17" i="161" s="1"/>
  <c r="Q16" i="161"/>
  <c r="U16" i="161" s="1"/>
  <c r="Q15" i="161"/>
  <c r="U15" i="161" s="1"/>
  <c r="Q14" i="161"/>
  <c r="U14" i="161" s="1"/>
  <c r="Q13" i="161"/>
  <c r="U13" i="161" s="1"/>
  <c r="Q12" i="161"/>
  <c r="U12" i="161" s="1"/>
  <c r="Q11" i="161"/>
  <c r="U11" i="161" s="1"/>
  <c r="Q10" i="161"/>
  <c r="U10" i="161" s="1"/>
  <c r="Q9" i="161"/>
  <c r="U9" i="161" s="1"/>
  <c r="M9" i="161"/>
  <c r="M10" i="161" s="1"/>
  <c r="M11" i="161" s="1"/>
  <c r="M12" i="161" s="1"/>
  <c r="M13" i="161" s="1"/>
  <c r="M14" i="161" s="1"/>
  <c r="M15" i="161" s="1"/>
  <c r="M16" i="161" s="1"/>
  <c r="M17" i="161" s="1"/>
  <c r="M18" i="161" s="1"/>
  <c r="M19" i="161" s="1"/>
  <c r="M20" i="161" s="1"/>
  <c r="M21" i="161" s="1"/>
  <c r="M22" i="161" s="1"/>
  <c r="M23" i="161" s="1"/>
  <c r="M24" i="161" s="1"/>
  <c r="M25" i="161" s="1"/>
  <c r="M26" i="161" s="1"/>
  <c r="M27" i="161" s="1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W108" i="40"/>
  <c r="P108" i="40"/>
  <c r="R108" i="40" s="1"/>
  <c r="R107" i="40"/>
  <c r="W107" i="40" s="1"/>
  <c r="P107" i="40"/>
  <c r="R106" i="40"/>
  <c r="W106" i="40" s="1"/>
  <c r="P106" i="40"/>
  <c r="R105" i="40"/>
  <c r="W105" i="40" s="1"/>
  <c r="P105" i="40"/>
  <c r="P104" i="40"/>
  <c r="R104" i="40" s="1"/>
  <c r="W104" i="40" s="1"/>
  <c r="W103" i="40"/>
  <c r="R103" i="40"/>
  <c r="P103" i="40"/>
  <c r="R102" i="40"/>
  <c r="W102" i="40" s="1"/>
  <c r="P102" i="40"/>
  <c r="R101" i="40"/>
  <c r="W101" i="40" s="1"/>
  <c r="P101" i="40"/>
  <c r="P100" i="40"/>
  <c r="R100" i="40" s="1"/>
  <c r="W100" i="40" s="1"/>
  <c r="P99" i="40"/>
  <c r="R99" i="40" s="1"/>
  <c r="W99" i="40" s="1"/>
  <c r="R98" i="40"/>
  <c r="W98" i="40" s="1"/>
  <c r="P98" i="40"/>
  <c r="R97" i="40"/>
  <c r="W97" i="40" s="1"/>
  <c r="P97" i="40"/>
  <c r="W96" i="40"/>
  <c r="P96" i="40"/>
  <c r="R96" i="40" s="1"/>
  <c r="P95" i="40"/>
  <c r="R95" i="40" s="1"/>
  <c r="W95" i="40" s="1"/>
  <c r="R94" i="40"/>
  <c r="W94" i="40" s="1"/>
  <c r="P94" i="40"/>
  <c r="R93" i="40"/>
  <c r="W93" i="40" s="1"/>
  <c r="P93" i="40"/>
  <c r="W92" i="40"/>
  <c r="P92" i="40"/>
  <c r="R92" i="40" s="1"/>
  <c r="R91" i="40"/>
  <c r="W91" i="40" s="1"/>
  <c r="P91" i="40"/>
  <c r="R90" i="40"/>
  <c r="W90" i="40" s="1"/>
  <c r="P90" i="40"/>
  <c r="R89" i="40"/>
  <c r="W89" i="40" s="1"/>
  <c r="P89" i="40"/>
  <c r="P88" i="40"/>
  <c r="R88" i="40" s="1"/>
  <c r="W88" i="40" s="1"/>
  <c r="W87" i="40"/>
  <c r="R87" i="40"/>
  <c r="P87" i="40"/>
  <c r="R86" i="40"/>
  <c r="W86" i="40" s="1"/>
  <c r="P86" i="40"/>
  <c r="R85" i="40"/>
  <c r="W85" i="40" s="1"/>
  <c r="P85" i="40"/>
  <c r="P84" i="40"/>
  <c r="R84" i="40" s="1"/>
  <c r="W84" i="40" s="1"/>
  <c r="W83" i="40"/>
  <c r="P83" i="40"/>
  <c r="R83" i="40" s="1"/>
  <c r="R82" i="40"/>
  <c r="W82" i="40" s="1"/>
  <c r="P82" i="40"/>
  <c r="R81" i="40"/>
  <c r="W81" i="40" s="1"/>
  <c r="P81" i="40"/>
  <c r="P80" i="40"/>
  <c r="R80" i="40" s="1"/>
  <c r="W80" i="40" s="1"/>
  <c r="R79" i="40"/>
  <c r="W79" i="40" s="1"/>
  <c r="P79" i="40"/>
  <c r="R78" i="40"/>
  <c r="W78" i="40" s="1"/>
  <c r="P78" i="40"/>
  <c r="R77" i="40"/>
  <c r="W77" i="40" s="1"/>
  <c r="P77" i="40"/>
  <c r="W76" i="40"/>
  <c r="P76" i="40"/>
  <c r="R76" i="40" s="1"/>
  <c r="W75" i="40"/>
  <c r="R75" i="40"/>
  <c r="P75" i="40"/>
  <c r="R74" i="40"/>
  <c r="W74" i="40" s="1"/>
  <c r="P74" i="40"/>
  <c r="R73" i="40"/>
  <c r="W73" i="40" s="1"/>
  <c r="P73" i="40"/>
  <c r="W72" i="40"/>
  <c r="P72" i="40"/>
  <c r="R72" i="40" s="1"/>
  <c r="R71" i="40"/>
  <c r="W71" i="40" s="1"/>
  <c r="P71" i="40"/>
  <c r="R70" i="40"/>
  <c r="W70" i="40" s="1"/>
  <c r="P70" i="40"/>
  <c r="R69" i="40"/>
  <c r="W69" i="40" s="1"/>
  <c r="P69" i="40"/>
  <c r="P68" i="40"/>
  <c r="R68" i="40" s="1"/>
  <c r="W68" i="40" s="1"/>
  <c r="P67" i="40"/>
  <c r="R67" i="40" s="1"/>
  <c r="W67" i="40" s="1"/>
  <c r="P66" i="40"/>
  <c r="R66" i="40" s="1"/>
  <c r="W66" i="40" s="1"/>
  <c r="R65" i="40"/>
  <c r="W65" i="40" s="1"/>
  <c r="P65" i="40"/>
  <c r="P64" i="40"/>
  <c r="R64" i="40" s="1"/>
  <c r="W64" i="40" s="1"/>
  <c r="P63" i="40"/>
  <c r="R63" i="40" s="1"/>
  <c r="W63" i="40" s="1"/>
  <c r="P62" i="40"/>
  <c r="R62" i="40" s="1"/>
  <c r="W62" i="40" s="1"/>
  <c r="R61" i="40"/>
  <c r="W61" i="40" s="1"/>
  <c r="P61" i="40"/>
  <c r="P60" i="40"/>
  <c r="R60" i="40" s="1"/>
  <c r="W60" i="40" s="1"/>
  <c r="P59" i="40"/>
  <c r="R59" i="40" s="1"/>
  <c r="W59" i="40" s="1"/>
  <c r="P58" i="40"/>
  <c r="R58" i="40" s="1"/>
  <c r="W58" i="40" s="1"/>
  <c r="R57" i="40"/>
  <c r="W57" i="40" s="1"/>
  <c r="P57" i="40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R45" i="40"/>
  <c r="W45" i="40" s="1"/>
  <c r="P45" i="40"/>
  <c r="P44" i="40"/>
  <c r="R44" i="40" s="1"/>
  <c r="W44" i="40" s="1"/>
  <c r="P43" i="40"/>
  <c r="R43" i="40" s="1"/>
  <c r="W43" i="40" s="1"/>
  <c r="P42" i="40"/>
  <c r="R42" i="40" s="1"/>
  <c r="W42" i="40" s="1"/>
  <c r="R41" i="40"/>
  <c r="W41" i="40" s="1"/>
  <c r="P41" i="40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R26" i="40"/>
  <c r="W26" i="40" s="1"/>
  <c r="P26" i="40"/>
  <c r="P25" i="40"/>
  <c r="R25" i="40" s="1"/>
  <c r="W25" i="40" s="1"/>
  <c r="P24" i="40"/>
  <c r="R24" i="40" s="1"/>
  <c r="W24" i="40" s="1"/>
  <c r="P23" i="40"/>
  <c r="R23" i="40" s="1"/>
  <c r="W23" i="40" s="1"/>
  <c r="R22" i="40"/>
  <c r="W22" i="40" s="1"/>
  <c r="P22" i="40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R10" i="40"/>
  <c r="W10" i="40" s="1"/>
  <c r="P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E38" i="199"/>
  <c r="D35" i="199"/>
  <c r="C35" i="199"/>
  <c r="F33" i="199"/>
  <c r="F32" i="199"/>
  <c r="F31" i="199"/>
  <c r="F30" i="199"/>
  <c r="F29" i="199"/>
  <c r="F28" i="199"/>
  <c r="F26" i="199"/>
  <c r="F25" i="199"/>
  <c r="F24" i="199"/>
  <c r="F23" i="199"/>
  <c r="F22" i="199"/>
  <c r="F21" i="199"/>
  <c r="F20" i="199"/>
  <c r="F19" i="199"/>
  <c r="F18" i="199"/>
  <c r="F17" i="199"/>
  <c r="F16" i="199"/>
  <c r="F15" i="199"/>
  <c r="F14" i="199"/>
  <c r="F13" i="199"/>
  <c r="F12" i="199"/>
  <c r="F11" i="199"/>
  <c r="F10" i="199"/>
  <c r="I10" i="199" s="1"/>
  <c r="I11" i="199" s="1"/>
  <c r="I12" i="199" s="1"/>
  <c r="I13" i="199" s="1"/>
  <c r="I14" i="199" s="1"/>
  <c r="I15" i="199" s="1"/>
  <c r="I16" i="199" s="1"/>
  <c r="I17" i="199" s="1"/>
  <c r="I18" i="199" s="1"/>
  <c r="I19" i="199" s="1"/>
  <c r="I20" i="199" s="1"/>
  <c r="I21" i="199" s="1"/>
  <c r="I22" i="199" s="1"/>
  <c r="I23" i="199" s="1"/>
  <c r="I24" i="199" s="1"/>
  <c r="I25" i="199" s="1"/>
  <c r="I26" i="199" s="1"/>
  <c r="I27" i="199" s="1"/>
  <c r="I28" i="199" s="1"/>
  <c r="I29" i="199" s="1"/>
  <c r="I30" i="199" s="1"/>
  <c r="B10" i="199"/>
  <c r="B11" i="199" s="1"/>
  <c r="B12" i="199" s="1"/>
  <c r="B13" i="199" s="1"/>
  <c r="B14" i="199" s="1"/>
  <c r="B15" i="199" s="1"/>
  <c r="B16" i="199" s="1"/>
  <c r="B17" i="199" s="1"/>
  <c r="B18" i="199" s="1"/>
  <c r="B19" i="199" s="1"/>
  <c r="B20" i="199" s="1"/>
  <c r="B21" i="199" s="1"/>
  <c r="B22" i="199" s="1"/>
  <c r="B23" i="199" s="1"/>
  <c r="B24" i="199" s="1"/>
  <c r="B25" i="199" s="1"/>
  <c r="B26" i="199" s="1"/>
  <c r="B27" i="199" s="1"/>
  <c r="B28" i="199" s="1"/>
  <c r="P36" i="157" l="1"/>
  <c r="P38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T11" i="130"/>
  <c r="T12" i="130" s="1"/>
  <c r="T13" i="130" s="1"/>
  <c r="T14" i="130" s="1"/>
  <c r="T15" i="130" s="1"/>
  <c r="T16" i="130" s="1"/>
  <c r="T17" i="130" s="1"/>
  <c r="T18" i="130" s="1"/>
  <c r="T19" i="130" s="1"/>
  <c r="T20" i="130" s="1"/>
  <c r="T21" i="130" s="1"/>
  <c r="T22" i="130" s="1"/>
  <c r="T23" i="130" s="1"/>
  <c r="T24" i="130" s="1"/>
  <c r="T25" i="130" s="1"/>
  <c r="T26" i="130" s="1"/>
  <c r="T27" i="130" s="1"/>
  <c r="T28" i="130" s="1"/>
  <c r="U9" i="130"/>
  <c r="U29" i="130" s="1"/>
  <c r="Q30" i="130"/>
  <c r="R5" i="130" s="1"/>
  <c r="Q53" i="117"/>
  <c r="P56" i="117" s="1"/>
  <c r="T11" i="117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U38" i="161"/>
  <c r="M37" i="161"/>
  <c r="M38" i="161" s="1"/>
  <c r="M28" i="161"/>
  <c r="M29" i="161" s="1"/>
  <c r="M30" i="161" s="1"/>
  <c r="M31" i="161" s="1"/>
  <c r="M32" i="161" s="1"/>
  <c r="M33" i="161" s="1"/>
  <c r="M34" i="161" s="1"/>
  <c r="M35" i="161" s="1"/>
  <c r="M36" i="161" s="1"/>
  <c r="T9" i="161"/>
  <c r="T10" i="161" s="1"/>
  <c r="T11" i="161" s="1"/>
  <c r="T12" i="161" s="1"/>
  <c r="T13" i="161" s="1"/>
  <c r="T14" i="161" s="1"/>
  <c r="T15" i="161" s="1"/>
  <c r="T16" i="161" s="1"/>
  <c r="T17" i="161" s="1"/>
  <c r="T18" i="161" s="1"/>
  <c r="T19" i="161" s="1"/>
  <c r="T20" i="161" s="1"/>
  <c r="T21" i="161" s="1"/>
  <c r="T22" i="161" s="1"/>
  <c r="T23" i="161" s="1"/>
  <c r="T24" i="161" s="1"/>
  <c r="T25" i="161" s="1"/>
  <c r="T26" i="161" s="1"/>
  <c r="T27" i="161" s="1"/>
  <c r="T28" i="161" s="1"/>
  <c r="T29" i="161" s="1"/>
  <c r="T30" i="161" s="1"/>
  <c r="T31" i="161" s="1"/>
  <c r="T32" i="161" s="1"/>
  <c r="T33" i="161" s="1"/>
  <c r="T34" i="161" s="1"/>
  <c r="T35" i="161" s="1"/>
  <c r="T36" i="161" s="1"/>
  <c r="T37" i="161" s="1"/>
  <c r="T38" i="161" s="1"/>
  <c r="Q39" i="161"/>
  <c r="R5" i="161" s="1"/>
  <c r="R9" i="40"/>
  <c r="P115" i="40"/>
  <c r="F35" i="199"/>
  <c r="Q27" i="38"/>
  <c r="Q5" i="157" l="1"/>
  <c r="R5" i="157" s="1"/>
  <c r="Q32" i="130"/>
  <c r="S5" i="130"/>
  <c r="R5" i="117"/>
  <c r="S5" i="117" s="1"/>
  <c r="Q41" i="161"/>
  <c r="S5" i="161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E40" i="199"/>
  <c r="G6" i="199"/>
  <c r="H6" i="199" s="1"/>
  <c r="V9" i="65"/>
  <c r="T5" i="65"/>
  <c r="Q32" i="191"/>
  <c r="Q36" i="191"/>
  <c r="Q37" i="191"/>
  <c r="Q38" i="191"/>
  <c r="Q39" i="191"/>
  <c r="O22" i="191"/>
  <c r="Q22" i="191" s="1"/>
  <c r="O23" i="191"/>
  <c r="Q23" i="191" s="1"/>
  <c r="O24" i="191"/>
  <c r="Q24" i="191" s="1"/>
  <c r="O25" i="191"/>
  <c r="Q25" i="191" s="1"/>
  <c r="O26" i="191"/>
  <c r="Q26" i="191" s="1"/>
  <c r="O27" i="191"/>
  <c r="Q27" i="191" s="1"/>
  <c r="O28" i="191"/>
  <c r="Q28" i="191" s="1"/>
  <c r="O29" i="191"/>
  <c r="Q29" i="191" s="1"/>
  <c r="O30" i="191"/>
  <c r="Q30" i="191" s="1"/>
  <c r="O31" i="191"/>
  <c r="Q31" i="191" s="1"/>
  <c r="O32" i="191"/>
  <c r="O33" i="191"/>
  <c r="Q33" i="191" s="1"/>
  <c r="O34" i="191"/>
  <c r="Q34" i="191" s="1"/>
  <c r="O35" i="191"/>
  <c r="Q35" i="191" s="1"/>
  <c r="O36" i="191"/>
  <c r="N39" i="191"/>
  <c r="P40" i="191" s="1"/>
  <c r="O21" i="191"/>
  <c r="Q21" i="191" s="1"/>
  <c r="O20" i="191"/>
  <c r="Q20" i="191" s="1"/>
  <c r="O19" i="191"/>
  <c r="Q19" i="191" s="1"/>
  <c r="O18" i="191"/>
  <c r="Q18" i="191" s="1"/>
  <c r="Q17" i="191"/>
  <c r="O17" i="191"/>
  <c r="O16" i="191"/>
  <c r="Q16" i="191" s="1"/>
  <c r="O15" i="191"/>
  <c r="Q15" i="191" s="1"/>
  <c r="O14" i="191"/>
  <c r="Q14" i="191" s="1"/>
  <c r="O13" i="191"/>
  <c r="Q13" i="191" s="1"/>
  <c r="O12" i="191"/>
  <c r="Q12" i="191" s="1"/>
  <c r="O11" i="191"/>
  <c r="Q11" i="191" s="1"/>
  <c r="U10" i="191"/>
  <c r="U11" i="191" s="1"/>
  <c r="U12" i="191" s="1"/>
  <c r="U13" i="191" s="1"/>
  <c r="U14" i="191" s="1"/>
  <c r="U15" i="191" s="1"/>
  <c r="U16" i="191" s="1"/>
  <c r="U17" i="191" s="1"/>
  <c r="U18" i="191" s="1"/>
  <c r="U19" i="191" s="1"/>
  <c r="U20" i="191" s="1"/>
  <c r="U21" i="191" s="1"/>
  <c r="U22" i="191" s="1"/>
  <c r="U23" i="191" s="1"/>
  <c r="U24" i="191" s="1"/>
  <c r="U25" i="191" s="1"/>
  <c r="U26" i="191" s="1"/>
  <c r="U27" i="191" s="1"/>
  <c r="U28" i="191" s="1"/>
  <c r="U29" i="191" s="1"/>
  <c r="U30" i="191" s="1"/>
  <c r="U31" i="191" s="1"/>
  <c r="U32" i="191" s="1"/>
  <c r="U33" i="191" s="1"/>
  <c r="U34" i="191" s="1"/>
  <c r="U35" i="191" s="1"/>
  <c r="U36" i="191" s="1"/>
  <c r="U37" i="191" s="1"/>
  <c r="O10" i="191"/>
  <c r="Q10" i="191" s="1"/>
  <c r="S5" i="191"/>
  <c r="L9" i="197"/>
  <c r="R6" i="197"/>
  <c r="L10" i="187"/>
  <c r="S10" i="187"/>
  <c r="R4" i="187"/>
  <c r="N35" i="159"/>
  <c r="M35" i="159"/>
  <c r="O38" i="159" s="1"/>
  <c r="P33" i="159"/>
  <c r="P32" i="159"/>
  <c r="P31" i="159"/>
  <c r="P30" i="159"/>
  <c r="P29" i="159"/>
  <c r="P28" i="159"/>
  <c r="P26" i="159"/>
  <c r="P25" i="159"/>
  <c r="P24" i="159"/>
  <c r="P23" i="159"/>
  <c r="P22" i="159"/>
  <c r="P21" i="159"/>
  <c r="P20" i="159"/>
  <c r="P19" i="159"/>
  <c r="P18" i="159"/>
  <c r="P17" i="159"/>
  <c r="P16" i="159"/>
  <c r="P15" i="159"/>
  <c r="P14" i="159"/>
  <c r="P13" i="159"/>
  <c r="P12" i="159"/>
  <c r="P11" i="159"/>
  <c r="P10" i="159"/>
  <c r="S10" i="159" s="1"/>
  <c r="L10" i="159"/>
  <c r="L11" i="159" s="1"/>
  <c r="L12" i="159" s="1"/>
  <c r="L13" i="159" s="1"/>
  <c r="L14" i="159" s="1"/>
  <c r="L15" i="159" s="1"/>
  <c r="L16" i="159" s="1"/>
  <c r="L17" i="159" s="1"/>
  <c r="L18" i="159" s="1"/>
  <c r="L19" i="159" s="1"/>
  <c r="L20" i="159" s="1"/>
  <c r="L21" i="159" s="1"/>
  <c r="L22" i="159" s="1"/>
  <c r="L23" i="159" s="1"/>
  <c r="L24" i="159" s="1"/>
  <c r="L25" i="159" s="1"/>
  <c r="L26" i="159" s="1"/>
  <c r="L27" i="159" s="1"/>
  <c r="L28" i="159" s="1"/>
  <c r="Q120" i="40" l="1"/>
  <c r="S5" i="40"/>
  <c r="T5" i="40" s="1"/>
  <c r="P42" i="191"/>
  <c r="T10" i="191"/>
  <c r="T11" i="191" s="1"/>
  <c r="T12" i="191" s="1"/>
  <c r="T13" i="191" s="1"/>
  <c r="T14" i="191" s="1"/>
  <c r="T15" i="191" s="1"/>
  <c r="T16" i="191" s="1"/>
  <c r="T17" i="191" s="1"/>
  <c r="T18" i="191" s="1"/>
  <c r="T19" i="191" s="1"/>
  <c r="T20" i="191" s="1"/>
  <c r="T21" i="191" s="1"/>
  <c r="T22" i="191" s="1"/>
  <c r="T23" i="191" s="1"/>
  <c r="T24" i="191" s="1"/>
  <c r="T25" i="191" s="1"/>
  <c r="T26" i="191" s="1"/>
  <c r="T27" i="191" s="1"/>
  <c r="T28" i="191" s="1"/>
  <c r="T29" i="191" s="1"/>
  <c r="T30" i="191" s="1"/>
  <c r="T31" i="191" s="1"/>
  <c r="T32" i="191" s="1"/>
  <c r="T33" i="191" s="1"/>
  <c r="T34" i="191" s="1"/>
  <c r="T35" i="191" s="1"/>
  <c r="T36" i="191" s="1"/>
  <c r="T37" i="191" s="1"/>
  <c r="S11" i="159"/>
  <c r="S12" i="159" s="1"/>
  <c r="S13" i="159" s="1"/>
  <c r="S14" i="159" s="1"/>
  <c r="S15" i="159" s="1"/>
  <c r="S16" i="159" s="1"/>
  <c r="S17" i="159" s="1"/>
  <c r="S18" i="159" s="1"/>
  <c r="S19" i="159" s="1"/>
  <c r="S20" i="159" s="1"/>
  <c r="S21" i="159" s="1"/>
  <c r="S22" i="159" s="1"/>
  <c r="S23" i="159" s="1"/>
  <c r="S24" i="159" s="1"/>
  <c r="S25" i="159" s="1"/>
  <c r="S26" i="159" s="1"/>
  <c r="S27" i="159" s="1"/>
  <c r="S28" i="159" s="1"/>
  <c r="S29" i="159" s="1"/>
  <c r="S30" i="159" s="1"/>
  <c r="P35" i="159"/>
  <c r="F28" i="161"/>
  <c r="F29" i="161"/>
  <c r="F30" i="161"/>
  <c r="F31" i="161"/>
  <c r="J31" i="161" s="1"/>
  <c r="F32" i="161"/>
  <c r="F33" i="161"/>
  <c r="F34" i="161"/>
  <c r="F35" i="161"/>
  <c r="J35" i="161" s="1"/>
  <c r="F36" i="161"/>
  <c r="J28" i="161"/>
  <c r="J29" i="161"/>
  <c r="J30" i="161"/>
  <c r="J32" i="161"/>
  <c r="J33" i="161"/>
  <c r="J34" i="161"/>
  <c r="J36" i="161"/>
  <c r="O40" i="159" l="1"/>
  <c r="Q6" i="159"/>
  <c r="R6" i="159" s="1"/>
  <c r="N10" i="177"/>
  <c r="M10" i="177"/>
  <c r="F35" i="191" l="1"/>
  <c r="F36" i="191"/>
  <c r="F37" i="191"/>
  <c r="F35" i="117" l="1"/>
  <c r="I35" i="117" s="1"/>
  <c r="F36" i="117"/>
  <c r="F37" i="117"/>
  <c r="F38" i="117"/>
  <c r="F39" i="117"/>
  <c r="F40" i="117"/>
  <c r="F41" i="117"/>
  <c r="F42" i="117"/>
  <c r="F43" i="117"/>
  <c r="F44" i="117"/>
  <c r="F45" i="117"/>
  <c r="F46" i="117"/>
  <c r="F47" i="117"/>
  <c r="F48" i="117"/>
  <c r="F49" i="117"/>
  <c r="F50" i="117"/>
  <c r="J35" i="117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I36" i="117" l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Q23" i="38"/>
  <c r="Q22" i="38"/>
  <c r="Q25" i="38" l="1"/>
  <c r="Q24" i="38"/>
  <c r="Q26" i="38"/>
  <c r="HT5" i="1" l="1"/>
  <c r="Q21" i="38" l="1"/>
  <c r="Q20" i="38" l="1"/>
  <c r="Q17" i="38" l="1"/>
  <c r="Q7" i="38" l="1"/>
  <c r="Q14" i="38"/>
  <c r="Q8" i="38"/>
  <c r="Q9" i="38"/>
  <c r="Q18" i="38"/>
  <c r="Q16" i="38"/>
  <c r="Q12" i="38"/>
  <c r="Q6" i="38" l="1"/>
  <c r="Q13" i="38"/>
  <c r="Q15" i="38"/>
  <c r="Q11" i="38" l="1"/>
  <c r="Q4" i="38" l="1"/>
  <c r="Q10" i="38"/>
  <c r="Q5" i="38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M10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AE1" i="188"/>
  <c r="D35" i="198"/>
  <c r="C35" i="198"/>
  <c r="E38" i="198" s="1"/>
  <c r="F33" i="198"/>
  <c r="F32" i="198"/>
  <c r="F31" i="198"/>
  <c r="F30" i="198"/>
  <c r="F29" i="198"/>
  <c r="F28" i="198"/>
  <c r="F26" i="198"/>
  <c r="F25" i="198"/>
  <c r="F24" i="198"/>
  <c r="F23" i="198"/>
  <c r="F22" i="198"/>
  <c r="F21" i="198"/>
  <c r="F20" i="198"/>
  <c r="F19" i="198"/>
  <c r="F18" i="198"/>
  <c r="F17" i="198"/>
  <c r="F1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N79" i="129"/>
  <c r="P15" i="129"/>
  <c r="P14" i="129"/>
  <c r="P13" i="129"/>
  <c r="P12" i="129"/>
  <c r="P11" i="129"/>
  <c r="P10" i="129"/>
  <c r="S10" i="129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P54" i="177"/>
  <c r="N5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P10" i="177"/>
  <c r="S10" i="177" s="1"/>
  <c r="S11" i="177" s="1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Y81" i="188"/>
  <c r="X78" i="188"/>
  <c r="W78" i="188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109" i="65"/>
  <c r="P111" i="65" s="1"/>
  <c r="P108" i="65"/>
  <c r="R108" i="65" s="1"/>
  <c r="P107" i="65"/>
  <c r="R107" i="65" s="1"/>
  <c r="W107" i="65" s="1"/>
  <c r="R106" i="65"/>
  <c r="P106" i="65"/>
  <c r="P105" i="65"/>
  <c r="R105" i="65" s="1"/>
  <c r="R104" i="65"/>
  <c r="P104" i="65"/>
  <c r="P103" i="65"/>
  <c r="R103" i="65" s="1"/>
  <c r="R102" i="65"/>
  <c r="P102" i="65"/>
  <c r="P101" i="65"/>
  <c r="R101" i="65" s="1"/>
  <c r="R100" i="65"/>
  <c r="P100" i="65"/>
  <c r="P99" i="65"/>
  <c r="R99" i="65" s="1"/>
  <c r="R98" i="65"/>
  <c r="P98" i="65"/>
  <c r="P97" i="65"/>
  <c r="R97" i="65" s="1"/>
  <c r="R96" i="65"/>
  <c r="P96" i="65"/>
  <c r="P95" i="65"/>
  <c r="R95" i="65" s="1"/>
  <c r="R94" i="65"/>
  <c r="P94" i="65"/>
  <c r="P93" i="65"/>
  <c r="R93" i="65" s="1"/>
  <c r="R92" i="65"/>
  <c r="P92" i="65"/>
  <c r="P91" i="65"/>
  <c r="R91" i="65" s="1"/>
  <c r="R90" i="65"/>
  <c r="P90" i="65"/>
  <c r="P89" i="65"/>
  <c r="R89" i="65" s="1"/>
  <c r="R88" i="65"/>
  <c r="P88" i="65"/>
  <c r="P87" i="65"/>
  <c r="R87" i="65" s="1"/>
  <c r="R86" i="65"/>
  <c r="P86" i="65"/>
  <c r="P85" i="65"/>
  <c r="R85" i="65" s="1"/>
  <c r="R84" i="65"/>
  <c r="P84" i="65"/>
  <c r="R83" i="65"/>
  <c r="W83" i="65" s="1"/>
  <c r="P83" i="65"/>
  <c r="R82" i="65"/>
  <c r="W82" i="65" s="1"/>
  <c r="P82" i="65"/>
  <c r="P81" i="65"/>
  <c r="R81" i="65" s="1"/>
  <c r="W81" i="65" s="1"/>
  <c r="P80" i="65"/>
  <c r="R80" i="65" s="1"/>
  <c r="W80" i="65" s="1"/>
  <c r="R79" i="65"/>
  <c r="W79" i="65" s="1"/>
  <c r="P79" i="65"/>
  <c r="R78" i="65"/>
  <c r="W78" i="65" s="1"/>
  <c r="P78" i="65"/>
  <c r="P77" i="65"/>
  <c r="R77" i="65" s="1"/>
  <c r="W77" i="65" s="1"/>
  <c r="P76" i="65"/>
  <c r="R76" i="65" s="1"/>
  <c r="W76" i="65" s="1"/>
  <c r="R75" i="65"/>
  <c r="W75" i="65" s="1"/>
  <c r="P75" i="65"/>
  <c r="R74" i="65"/>
  <c r="W74" i="65" s="1"/>
  <c r="P74" i="65"/>
  <c r="W73" i="65"/>
  <c r="P73" i="65"/>
  <c r="R73" i="65" s="1"/>
  <c r="P72" i="65"/>
  <c r="R72" i="65" s="1"/>
  <c r="W72" i="65" s="1"/>
  <c r="R71" i="65"/>
  <c r="W71" i="65" s="1"/>
  <c r="P71" i="65"/>
  <c r="R70" i="65"/>
  <c r="W70" i="65" s="1"/>
  <c r="P70" i="65"/>
  <c r="W69" i="65"/>
  <c r="P69" i="65"/>
  <c r="R69" i="65" s="1"/>
  <c r="R68" i="65"/>
  <c r="W68" i="65" s="1"/>
  <c r="P68" i="65"/>
  <c r="R67" i="65"/>
  <c r="W67" i="65" s="1"/>
  <c r="P67" i="65"/>
  <c r="P66" i="65"/>
  <c r="R66" i="65" s="1"/>
  <c r="W66" i="65" s="1"/>
  <c r="W65" i="65"/>
  <c r="P65" i="65"/>
  <c r="R65" i="65" s="1"/>
  <c r="R64" i="65"/>
  <c r="W64" i="65" s="1"/>
  <c r="P64" i="65"/>
  <c r="R63" i="65"/>
  <c r="W63" i="65" s="1"/>
  <c r="P63" i="65"/>
  <c r="P62" i="65"/>
  <c r="R62" i="65" s="1"/>
  <c r="W62" i="65" s="1"/>
  <c r="W61" i="65"/>
  <c r="P61" i="65"/>
  <c r="R61" i="65" s="1"/>
  <c r="R60" i="65"/>
  <c r="W60" i="65" s="1"/>
  <c r="P60" i="65"/>
  <c r="R59" i="65"/>
  <c r="W59" i="65" s="1"/>
  <c r="P59" i="65"/>
  <c r="P58" i="65"/>
  <c r="R58" i="65" s="1"/>
  <c r="W58" i="65" s="1"/>
  <c r="W57" i="65"/>
  <c r="P57" i="65"/>
  <c r="R57" i="65" s="1"/>
  <c r="R56" i="65"/>
  <c r="W56" i="65" s="1"/>
  <c r="P56" i="65"/>
  <c r="R55" i="65"/>
  <c r="W55" i="65" s="1"/>
  <c r="P55" i="65"/>
  <c r="P54" i="65"/>
  <c r="R54" i="65" s="1"/>
  <c r="W54" i="65" s="1"/>
  <c r="W53" i="65"/>
  <c r="P53" i="65"/>
  <c r="R53" i="65" s="1"/>
  <c r="R52" i="65"/>
  <c r="W52" i="65" s="1"/>
  <c r="P52" i="65"/>
  <c r="R51" i="65"/>
  <c r="W51" i="65" s="1"/>
  <c r="P51" i="65"/>
  <c r="P50" i="65"/>
  <c r="R50" i="65" s="1"/>
  <c r="W50" i="65" s="1"/>
  <c r="W49" i="65"/>
  <c r="P49" i="65"/>
  <c r="R49" i="65" s="1"/>
  <c r="R48" i="65"/>
  <c r="W48" i="65" s="1"/>
  <c r="P48" i="65"/>
  <c r="R47" i="65"/>
  <c r="W47" i="65" s="1"/>
  <c r="P47" i="65"/>
  <c r="P46" i="65"/>
  <c r="R46" i="65" s="1"/>
  <c r="W46" i="65" s="1"/>
  <c r="W45" i="65"/>
  <c r="P45" i="65"/>
  <c r="R45" i="65" s="1"/>
  <c r="R44" i="65"/>
  <c r="W44" i="65" s="1"/>
  <c r="P44" i="65"/>
  <c r="R43" i="65"/>
  <c r="W43" i="65" s="1"/>
  <c r="P43" i="65"/>
  <c r="P42" i="65"/>
  <c r="R42" i="65" s="1"/>
  <c r="W42" i="65" s="1"/>
  <c r="W41" i="65"/>
  <c r="P41" i="65"/>
  <c r="R41" i="65" s="1"/>
  <c r="R40" i="65"/>
  <c r="W40" i="65" s="1"/>
  <c r="P40" i="65"/>
  <c r="R39" i="65"/>
  <c r="W39" i="65" s="1"/>
  <c r="P39" i="65"/>
  <c r="P38" i="65"/>
  <c r="R38" i="65" s="1"/>
  <c r="W38" i="65" s="1"/>
  <c r="W37" i="65"/>
  <c r="P37" i="65"/>
  <c r="R37" i="65" s="1"/>
  <c r="R36" i="65"/>
  <c r="W36" i="65" s="1"/>
  <c r="P36" i="65"/>
  <c r="R35" i="65"/>
  <c r="W35" i="65" s="1"/>
  <c r="P35" i="65"/>
  <c r="P34" i="65"/>
  <c r="R34" i="65" s="1"/>
  <c r="W34" i="65" s="1"/>
  <c r="W33" i="65"/>
  <c r="P33" i="65"/>
  <c r="R33" i="65" s="1"/>
  <c r="R32" i="65"/>
  <c r="W32" i="65" s="1"/>
  <c r="P32" i="65"/>
  <c r="R31" i="65"/>
  <c r="W31" i="65" s="1"/>
  <c r="P31" i="65"/>
  <c r="P30" i="65"/>
  <c r="R30" i="65" s="1"/>
  <c r="W30" i="65" s="1"/>
  <c r="W29" i="65"/>
  <c r="P29" i="65"/>
  <c r="R29" i="65" s="1"/>
  <c r="R28" i="65"/>
  <c r="W28" i="65" s="1"/>
  <c r="P28" i="65"/>
  <c r="R27" i="65"/>
  <c r="W27" i="65" s="1"/>
  <c r="P27" i="65"/>
  <c r="P26" i="65"/>
  <c r="R26" i="65" s="1"/>
  <c r="W26" i="65" s="1"/>
  <c r="W25" i="65"/>
  <c r="P25" i="65"/>
  <c r="R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R9" i="65" s="1"/>
  <c r="S11" i="129" l="1"/>
  <c r="S12" i="129" s="1"/>
  <c r="S13" i="129" s="1"/>
  <c r="S14" i="129" s="1"/>
  <c r="S15" i="129" s="1"/>
  <c r="AM11" i="188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78" i="188"/>
  <c r="I11" i="198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P16" i="129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S12" i="177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P52" i="177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10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W9" i="65"/>
  <c r="P109" i="65"/>
  <c r="X78" i="196"/>
  <c r="W78" i="196"/>
  <c r="Y81" i="196" s="1"/>
  <c r="Z76" i="196"/>
  <c r="Z75" i="196"/>
  <c r="Z74" i="196"/>
  <c r="Z73" i="196"/>
  <c r="Z72" i="196"/>
  <c r="Z71" i="196"/>
  <c r="Z70" i="196"/>
  <c r="Z69" i="196"/>
  <c r="Z68" i="196"/>
  <c r="Z67" i="196"/>
  <c r="Z66" i="196"/>
  <c r="Z65" i="196"/>
  <c r="Z64" i="196"/>
  <c r="Z63" i="196"/>
  <c r="Z62" i="196"/>
  <c r="Z61" i="196"/>
  <c r="Z60" i="196"/>
  <c r="Z59" i="196"/>
  <c r="Z58" i="196"/>
  <c r="Z57" i="196"/>
  <c r="Z56" i="196"/>
  <c r="Z55" i="196"/>
  <c r="Z54" i="196"/>
  <c r="Z53" i="196"/>
  <c r="Z52" i="196"/>
  <c r="Z51" i="196"/>
  <c r="Z50" i="196"/>
  <c r="Z49" i="196"/>
  <c r="Z48" i="196"/>
  <c r="Z47" i="196"/>
  <c r="Z46" i="196"/>
  <c r="Z45" i="196"/>
  <c r="Z44" i="196"/>
  <c r="Z43" i="196"/>
  <c r="Z42" i="196"/>
  <c r="Z41" i="196"/>
  <c r="Z40" i="196"/>
  <c r="Z39" i="196"/>
  <c r="Z38" i="196"/>
  <c r="Z37" i="196"/>
  <c r="Z36" i="196"/>
  <c r="Z35" i="196"/>
  <c r="Z34" i="196"/>
  <c r="Z33" i="196"/>
  <c r="Z32" i="196"/>
  <c r="Z31" i="196"/>
  <c r="Z30" i="196"/>
  <c r="Z29" i="196"/>
  <c r="Z28" i="196"/>
  <c r="Z27" i="196"/>
  <c r="Z26" i="196"/>
  <c r="Z25" i="196"/>
  <c r="Z24" i="196"/>
  <c r="Z23" i="196"/>
  <c r="Z22" i="196"/>
  <c r="Z21" i="196"/>
  <c r="Z20" i="196"/>
  <c r="Z19" i="196"/>
  <c r="Z18" i="196"/>
  <c r="Z17" i="196"/>
  <c r="Z16" i="196"/>
  <c r="Z15" i="196"/>
  <c r="Z14" i="196"/>
  <c r="Z13" i="196"/>
  <c r="Z12" i="196"/>
  <c r="Z11" i="196"/>
  <c r="Z10" i="196"/>
  <c r="Z9" i="196"/>
  <c r="AC9" i="196" s="1"/>
  <c r="AC10" i="196" s="1"/>
  <c r="AC11" i="196" s="1"/>
  <c r="AC12" i="196" s="1"/>
  <c r="AC13" i="196" s="1"/>
  <c r="AC14" i="196" s="1"/>
  <c r="AC15" i="196" s="1"/>
  <c r="AC16" i="196" s="1"/>
  <c r="AC17" i="196" s="1"/>
  <c r="AC18" i="196" s="1"/>
  <c r="AC19" i="196" s="1"/>
  <c r="AC20" i="196" s="1"/>
  <c r="AC21" i="196" s="1"/>
  <c r="AC22" i="196" s="1"/>
  <c r="AC23" i="196" s="1"/>
  <c r="AC24" i="196" s="1"/>
  <c r="AC25" i="196" s="1"/>
  <c r="AC26" i="196" s="1"/>
  <c r="AC27" i="196" s="1"/>
  <c r="AC28" i="196" s="1"/>
  <c r="AC29" i="196" s="1"/>
  <c r="AC30" i="196" s="1"/>
  <c r="AC31" i="196" s="1"/>
  <c r="AC32" i="196" s="1"/>
  <c r="AC33" i="196" s="1"/>
  <c r="AC34" i="196" s="1"/>
  <c r="AC35" i="196" s="1"/>
  <c r="AC36" i="196" s="1"/>
  <c r="AC37" i="196" s="1"/>
  <c r="AC38" i="196" s="1"/>
  <c r="AC39" i="196" s="1"/>
  <c r="AC40" i="196" s="1"/>
  <c r="AC41" i="196" s="1"/>
  <c r="AC42" i="196" s="1"/>
  <c r="AC43" i="196" s="1"/>
  <c r="AC44" i="196" s="1"/>
  <c r="AC45" i="196" s="1"/>
  <c r="AC46" i="196" s="1"/>
  <c r="AC47" i="196" s="1"/>
  <c r="AC48" i="196" s="1"/>
  <c r="AC49" i="196" s="1"/>
  <c r="AC50" i="196" s="1"/>
  <c r="AC51" i="196" s="1"/>
  <c r="AC52" i="196" s="1"/>
  <c r="AC53" i="196" s="1"/>
  <c r="AC54" i="196" s="1"/>
  <c r="AC55" i="196" s="1"/>
  <c r="AC56" i="196" s="1"/>
  <c r="AC57" i="196" s="1"/>
  <c r="AC58" i="196" s="1"/>
  <c r="AC59" i="196" s="1"/>
  <c r="AC60" i="196" s="1"/>
  <c r="AC61" i="196" s="1"/>
  <c r="AC62" i="196" s="1"/>
  <c r="AC63" i="196" s="1"/>
  <c r="AC64" i="196" s="1"/>
  <c r="AC65" i="196" s="1"/>
  <c r="AC66" i="196" s="1"/>
  <c r="AC67" i="196" s="1"/>
  <c r="AC68" i="196" s="1"/>
  <c r="AC69" i="196" s="1"/>
  <c r="AC70" i="196" s="1"/>
  <c r="AC71" i="196" s="1"/>
  <c r="AC72" i="196" s="1"/>
  <c r="AC73" i="196" s="1"/>
  <c r="AC74" i="196" s="1"/>
  <c r="AC75" i="196" s="1"/>
  <c r="AC76" i="196" s="1"/>
  <c r="V9" i="196"/>
  <c r="V10" i="196" s="1"/>
  <c r="V11" i="196" s="1"/>
  <c r="V12" i="196" s="1"/>
  <c r="V13" i="196" s="1"/>
  <c r="V14" i="196" s="1"/>
  <c r="V15" i="196" s="1"/>
  <c r="V16" i="196" s="1"/>
  <c r="V17" i="196" s="1"/>
  <c r="V18" i="196" s="1"/>
  <c r="V19" i="196" s="1"/>
  <c r="V20" i="196" s="1"/>
  <c r="V21" i="196" s="1"/>
  <c r="V22" i="196" s="1"/>
  <c r="V23" i="196" s="1"/>
  <c r="V24" i="196" s="1"/>
  <c r="V25" i="196" s="1"/>
  <c r="V26" i="196" s="1"/>
  <c r="V27" i="196" s="1"/>
  <c r="V28" i="196" s="1"/>
  <c r="V29" i="196" s="1"/>
  <c r="V30" i="196" s="1"/>
  <c r="V31" i="196" s="1"/>
  <c r="V32" i="196" s="1"/>
  <c r="V33" i="196" s="1"/>
  <c r="V34" i="196" s="1"/>
  <c r="V35" i="196" s="1"/>
  <c r="V36" i="196" s="1"/>
  <c r="V37" i="196" s="1"/>
  <c r="V38" i="196" s="1"/>
  <c r="V39" i="196" s="1"/>
  <c r="V40" i="196" s="1"/>
  <c r="V41" i="196" s="1"/>
  <c r="V42" i="196" s="1"/>
  <c r="V43" i="196" s="1"/>
  <c r="V44" i="196" s="1"/>
  <c r="V45" i="196" s="1"/>
  <c r="V46" i="196" s="1"/>
  <c r="V47" i="196" s="1"/>
  <c r="V48" i="196" s="1"/>
  <c r="V49" i="196" s="1"/>
  <c r="V50" i="196" s="1"/>
  <c r="V51" i="196" s="1"/>
  <c r="V52" i="196" s="1"/>
  <c r="V53" i="196" s="1"/>
  <c r="V54" i="196" s="1"/>
  <c r="V55" i="196" s="1"/>
  <c r="V56" i="196" s="1"/>
  <c r="V57" i="196" s="1"/>
  <c r="V58" i="196" s="1"/>
  <c r="V59" i="196" s="1"/>
  <c r="V60" i="196" s="1"/>
  <c r="V61" i="196" s="1"/>
  <c r="V62" i="196" s="1"/>
  <c r="V63" i="196" s="1"/>
  <c r="V64" i="196" s="1"/>
  <c r="V65" i="196" s="1"/>
  <c r="V66" i="196" s="1"/>
  <c r="V67" i="196" s="1"/>
  <c r="V68" i="196" s="1"/>
  <c r="V69" i="196" s="1"/>
  <c r="V70" i="196" s="1"/>
  <c r="V71" i="196" s="1"/>
  <c r="V72" i="196" s="1"/>
  <c r="V73" i="196" s="1"/>
  <c r="V74" i="196" s="1"/>
  <c r="V75" i="196" s="1"/>
  <c r="P79" i="129" l="1"/>
  <c r="AI83" i="188"/>
  <c r="AK6" i="188"/>
  <c r="AL6" i="188" s="1"/>
  <c r="E40" i="198"/>
  <c r="G6" i="198"/>
  <c r="H6" i="198" s="1"/>
  <c r="O84" i="129"/>
  <c r="Q6" i="129"/>
  <c r="R6" i="129" s="1"/>
  <c r="P53" i="177"/>
  <c r="Q5" i="177"/>
  <c r="R5" i="177" s="1"/>
  <c r="Y83" i="188"/>
  <c r="AA6" i="188"/>
  <c r="AB6" i="188" s="1"/>
  <c r="Q112" i="65"/>
  <c r="S5" i="65"/>
  <c r="Z78" i="196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S10" i="57" s="1"/>
  <c r="S11" i="57" s="1"/>
  <c r="S12" i="57" s="1"/>
  <c r="S13" i="57" s="1"/>
  <c r="S14" i="57" s="1"/>
  <c r="S15" i="57" s="1"/>
  <c r="S16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S9" i="197" s="1"/>
  <c r="L10" i="197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N56" i="187"/>
  <c r="M56" i="187"/>
  <c r="O59" i="187" s="1"/>
  <c r="P55" i="187"/>
  <c r="P54" i="187"/>
  <c r="P53" i="187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6" i="187"/>
  <c r="P15" i="187"/>
  <c r="P14" i="187"/>
  <c r="P13" i="187"/>
  <c r="P12" i="187"/>
  <c r="P11" i="187"/>
  <c r="P10" i="187"/>
  <c r="L11" i="187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L52" i="187" s="1"/>
  <c r="L53" i="187" s="1"/>
  <c r="L54" i="187" s="1"/>
  <c r="S11" i="187" l="1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S53" i="187" s="1"/>
  <c r="S54" i="187" s="1"/>
  <c r="S55" i="187" s="1"/>
  <c r="Y83" i="196"/>
  <c r="AA6" i="196"/>
  <c r="AB6" i="196" s="1"/>
  <c r="S17" i="57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P78" i="57"/>
  <c r="S10" i="197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78" i="197"/>
  <c r="P56" i="187"/>
  <c r="O61" i="187" s="1"/>
  <c r="S105" i="38"/>
  <c r="T105" i="38" s="1"/>
  <c r="K1" i="196"/>
  <c r="N78" i="196"/>
  <c r="M78" i="196"/>
  <c r="O81" i="196" s="1"/>
  <c r="P76" i="196"/>
  <c r="P75" i="196"/>
  <c r="P74" i="196"/>
  <c r="P73" i="196"/>
  <c r="P72" i="196"/>
  <c r="P71" i="196"/>
  <c r="P70" i="196"/>
  <c r="P69" i="196"/>
  <c r="P68" i="196"/>
  <c r="P67" i="196"/>
  <c r="P66" i="196"/>
  <c r="P65" i="196"/>
  <c r="P64" i="196"/>
  <c r="P63" i="196"/>
  <c r="P62" i="196"/>
  <c r="P61" i="196"/>
  <c r="P60" i="196"/>
  <c r="P59" i="196"/>
  <c r="P58" i="196"/>
  <c r="P57" i="196"/>
  <c r="P56" i="196"/>
  <c r="P55" i="196"/>
  <c r="P54" i="196"/>
  <c r="P53" i="196"/>
  <c r="P52" i="196"/>
  <c r="P51" i="196"/>
  <c r="P50" i="196"/>
  <c r="P49" i="196"/>
  <c r="P48" i="196"/>
  <c r="P47" i="196"/>
  <c r="P46" i="196"/>
  <c r="P45" i="196"/>
  <c r="P44" i="196"/>
  <c r="P43" i="196"/>
  <c r="P42" i="196"/>
  <c r="P41" i="196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S9" i="196" s="1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S41" i="196" s="1"/>
  <c r="S42" i="196" s="1"/>
  <c r="S43" i="196" s="1"/>
  <c r="S44" i="196" s="1"/>
  <c r="S45" i="196" s="1"/>
  <c r="S46" i="196" s="1"/>
  <c r="S47" i="196" s="1"/>
  <c r="S48" i="196" s="1"/>
  <c r="S49" i="196" s="1"/>
  <c r="S50" i="196" s="1"/>
  <c r="S51" i="196" s="1"/>
  <c r="S52" i="196" s="1"/>
  <c r="S53" i="196" s="1"/>
  <c r="S54" i="196" s="1"/>
  <c r="S55" i="196" s="1"/>
  <c r="S56" i="196" s="1"/>
  <c r="S57" i="196" s="1"/>
  <c r="S58" i="196" s="1"/>
  <c r="S59" i="196" s="1"/>
  <c r="S60" i="196" s="1"/>
  <c r="S61" i="196" s="1"/>
  <c r="S62" i="196" s="1"/>
  <c r="S63" i="196" s="1"/>
  <c r="S64" i="196" s="1"/>
  <c r="S65" i="196" s="1"/>
  <c r="S66" i="196" s="1"/>
  <c r="S67" i="196" s="1"/>
  <c r="S68" i="196" s="1"/>
  <c r="S69" i="196" s="1"/>
  <c r="S70" i="196" s="1"/>
  <c r="S71" i="196" s="1"/>
  <c r="S72" i="196" s="1"/>
  <c r="S73" i="196" s="1"/>
  <c r="S74" i="196" s="1"/>
  <c r="S75" i="196" s="1"/>
  <c r="S76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L41" i="196" s="1"/>
  <c r="L42" i="196" s="1"/>
  <c r="L43" i="196" s="1"/>
  <c r="L44" i="196" s="1"/>
  <c r="L45" i="196" s="1"/>
  <c r="L46" i="196" s="1"/>
  <c r="L47" i="196" s="1"/>
  <c r="L48" i="196" s="1"/>
  <c r="L49" i="196" s="1"/>
  <c r="L50" i="196" s="1"/>
  <c r="L51" i="196" s="1"/>
  <c r="L52" i="196" s="1"/>
  <c r="L53" i="196" s="1"/>
  <c r="L54" i="196" s="1"/>
  <c r="L55" i="196" s="1"/>
  <c r="L56" i="196" s="1"/>
  <c r="L57" i="196" s="1"/>
  <c r="L58" i="196" s="1"/>
  <c r="L59" i="196" s="1"/>
  <c r="L60" i="196" s="1"/>
  <c r="L61" i="196" s="1"/>
  <c r="L62" i="196" s="1"/>
  <c r="L63" i="196" s="1"/>
  <c r="L64" i="196" s="1"/>
  <c r="L65" i="196" s="1"/>
  <c r="L66" i="196" s="1"/>
  <c r="L67" i="196" s="1"/>
  <c r="L68" i="196" s="1"/>
  <c r="L69" i="196" s="1"/>
  <c r="L70" i="196" s="1"/>
  <c r="L71" i="196" s="1"/>
  <c r="L72" i="196" s="1"/>
  <c r="L73" i="196" s="1"/>
  <c r="L74" i="196" s="1"/>
  <c r="L75" i="196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I10" i="197" s="1"/>
  <c r="I11" i="197" s="1"/>
  <c r="I12" i="197" s="1"/>
  <c r="I13" i="197" s="1"/>
  <c r="I14" i="197" s="1"/>
  <c r="I15" i="197" s="1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D78" i="196"/>
  <c r="C78" i="196"/>
  <c r="E81" i="196" s="1"/>
  <c r="F76" i="196"/>
  <c r="F75" i="196"/>
  <c r="F74" i="196"/>
  <c r="F73" i="196"/>
  <c r="F72" i="196"/>
  <c r="F71" i="196"/>
  <c r="F70" i="196"/>
  <c r="F69" i="196"/>
  <c r="F68" i="196"/>
  <c r="F67" i="196"/>
  <c r="F66" i="196"/>
  <c r="F65" i="196"/>
  <c r="F64" i="196"/>
  <c r="F63" i="196"/>
  <c r="F62" i="196"/>
  <c r="F61" i="196"/>
  <c r="F60" i="196"/>
  <c r="F59" i="196"/>
  <c r="F58" i="196"/>
  <c r="F57" i="196"/>
  <c r="F56" i="196"/>
  <c r="F55" i="196"/>
  <c r="F54" i="196"/>
  <c r="F53" i="196"/>
  <c r="F52" i="196"/>
  <c r="F51" i="196"/>
  <c r="F50" i="196"/>
  <c r="F49" i="196"/>
  <c r="F48" i="196"/>
  <c r="F47" i="196"/>
  <c r="F46" i="196"/>
  <c r="F45" i="196"/>
  <c r="F44" i="196"/>
  <c r="F43" i="196"/>
  <c r="F42" i="196"/>
  <c r="F41" i="196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I9" i="196" s="1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I41" i="196" s="1"/>
  <c r="I42" i="196" s="1"/>
  <c r="I43" i="196" s="1"/>
  <c r="I44" i="196" s="1"/>
  <c r="I45" i="196" s="1"/>
  <c r="I46" i="196" s="1"/>
  <c r="I47" i="196" s="1"/>
  <c r="I48" i="196" s="1"/>
  <c r="I49" i="196" s="1"/>
  <c r="I50" i="196" s="1"/>
  <c r="I51" i="196" s="1"/>
  <c r="I52" i="196" s="1"/>
  <c r="I53" i="196" s="1"/>
  <c r="I54" i="196" s="1"/>
  <c r="I55" i="196" s="1"/>
  <c r="I56" i="196" s="1"/>
  <c r="I57" i="196" s="1"/>
  <c r="I58" i="196" s="1"/>
  <c r="I59" i="196" s="1"/>
  <c r="I60" i="196" s="1"/>
  <c r="I61" i="196" s="1"/>
  <c r="I62" i="196" s="1"/>
  <c r="I63" i="196" s="1"/>
  <c r="I64" i="196" s="1"/>
  <c r="I65" i="196" s="1"/>
  <c r="I66" i="196" s="1"/>
  <c r="I67" i="196" s="1"/>
  <c r="I68" i="196" s="1"/>
  <c r="I69" i="196" s="1"/>
  <c r="I70" i="196" s="1"/>
  <c r="I71" i="196" s="1"/>
  <c r="I72" i="196" s="1"/>
  <c r="I73" i="196" s="1"/>
  <c r="I74" i="196" s="1"/>
  <c r="I75" i="196" s="1"/>
  <c r="I76" i="196" s="1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B41" i="196" s="1"/>
  <c r="B42" i="196" s="1"/>
  <c r="B43" i="196" s="1"/>
  <c r="B44" i="196" s="1"/>
  <c r="B45" i="196" s="1"/>
  <c r="B46" i="196" s="1"/>
  <c r="B47" i="196" s="1"/>
  <c r="B48" i="196" s="1"/>
  <c r="B49" i="196" s="1"/>
  <c r="B50" i="196" s="1"/>
  <c r="B51" i="196" s="1"/>
  <c r="B52" i="196" s="1"/>
  <c r="B53" i="196" s="1"/>
  <c r="B54" i="196" s="1"/>
  <c r="B55" i="196" s="1"/>
  <c r="B56" i="196" s="1"/>
  <c r="B57" i="196" s="1"/>
  <c r="B58" i="196" s="1"/>
  <c r="B59" i="196" s="1"/>
  <c r="B60" i="196" s="1"/>
  <c r="B61" i="196" s="1"/>
  <c r="B62" i="196" s="1"/>
  <c r="B63" i="196" s="1"/>
  <c r="B64" i="196" s="1"/>
  <c r="B65" i="196" s="1"/>
  <c r="B66" i="196" s="1"/>
  <c r="B67" i="196" s="1"/>
  <c r="B68" i="196" s="1"/>
  <c r="B69" i="196" s="1"/>
  <c r="B70" i="196" s="1"/>
  <c r="B71" i="196" s="1"/>
  <c r="B72" i="196" s="1"/>
  <c r="B73" i="196" s="1"/>
  <c r="B74" i="196" s="1"/>
  <c r="B75" i="196" s="1"/>
  <c r="Q4" i="187" l="1"/>
  <c r="I16" i="197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O83" i="57"/>
  <c r="Q6" i="57"/>
  <c r="R6" i="57" s="1"/>
  <c r="O83" i="197"/>
  <c r="Q6" i="197"/>
  <c r="P78" i="196"/>
  <c r="F78" i="197"/>
  <c r="F78" i="196"/>
  <c r="J9" i="65"/>
  <c r="O83" i="196" l="1"/>
  <c r="Q6" i="196"/>
  <c r="R6" i="196" s="1"/>
  <c r="E83" i="197"/>
  <c r="G6" i="197"/>
  <c r="H6" i="197" s="1"/>
  <c r="E83" i="196"/>
  <c r="G6" i="196"/>
  <c r="H6" i="196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9" i="130"/>
  <c r="B9" i="188" l="1"/>
  <c r="D36" i="157" l="1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F69" i="65"/>
  <c r="K69" i="65" s="1"/>
  <c r="F73" i="65"/>
  <c r="K73" i="65" s="1"/>
  <c r="F77" i="65"/>
  <c r="K77" i="65" s="1"/>
  <c r="F81" i="65"/>
  <c r="K81" i="65" s="1"/>
  <c r="F85" i="65"/>
  <c r="F89" i="65"/>
  <c r="F93" i="65"/>
  <c r="F97" i="65"/>
  <c r="F101" i="65"/>
  <c r="F105" i="65"/>
  <c r="D84" i="65"/>
  <c r="F84" i="65" s="1"/>
  <c r="D85" i="65"/>
  <c r="D86" i="65"/>
  <c r="F86" i="65" s="1"/>
  <c r="D87" i="65"/>
  <c r="F87" i="65" s="1"/>
  <c r="D88" i="65"/>
  <c r="F88" i="65" s="1"/>
  <c r="D89" i="65"/>
  <c r="D90" i="65"/>
  <c r="F90" i="65" s="1"/>
  <c r="D91" i="65"/>
  <c r="F91" i="65" s="1"/>
  <c r="D92" i="65"/>
  <c r="F92" i="65" s="1"/>
  <c r="D93" i="65"/>
  <c r="D94" i="65"/>
  <c r="F94" i="65" s="1"/>
  <c r="D95" i="65"/>
  <c r="F95" i="65" s="1"/>
  <c r="D96" i="65"/>
  <c r="F96" i="65" s="1"/>
  <c r="D97" i="65"/>
  <c r="D98" i="65"/>
  <c r="F98" i="65" s="1"/>
  <c r="D99" i="65"/>
  <c r="F99" i="65" s="1"/>
  <c r="D100" i="65"/>
  <c r="F100" i="65" s="1"/>
  <c r="D101" i="65"/>
  <c r="D102" i="65"/>
  <c r="F102" i="65" s="1"/>
  <c r="D103" i="65"/>
  <c r="F103" i="65" s="1"/>
  <c r="D104" i="65"/>
  <c r="F104" i="65" s="1"/>
  <c r="D105" i="65"/>
  <c r="D106" i="65"/>
  <c r="F106" i="65" s="1"/>
  <c r="D67" i="65"/>
  <c r="F67" i="65" s="1"/>
  <c r="K67" i="65" s="1"/>
  <c r="D68" i="65"/>
  <c r="F68" i="65" s="1"/>
  <c r="K68" i="65" s="1"/>
  <c r="D69" i="65"/>
  <c r="D70" i="65"/>
  <c r="F70" i="65" s="1"/>
  <c r="K70" i="65" s="1"/>
  <c r="D71" i="65"/>
  <c r="F71" i="65" s="1"/>
  <c r="K71" i="65" s="1"/>
  <c r="D72" i="65"/>
  <c r="F72" i="65" s="1"/>
  <c r="K72" i="65" s="1"/>
  <c r="D73" i="65"/>
  <c r="D74" i="65"/>
  <c r="F74" i="65" s="1"/>
  <c r="K74" i="65" s="1"/>
  <c r="D75" i="65"/>
  <c r="F75" i="65" s="1"/>
  <c r="K75" i="65" s="1"/>
  <c r="D76" i="65"/>
  <c r="F76" i="65" s="1"/>
  <c r="K76" i="65" s="1"/>
  <c r="D77" i="65"/>
  <c r="D78" i="65"/>
  <c r="F78" i="65" s="1"/>
  <c r="K78" i="65" s="1"/>
  <c r="D79" i="65"/>
  <c r="F79" i="65" s="1"/>
  <c r="K79" i="65" s="1"/>
  <c r="D80" i="65"/>
  <c r="F80" i="65" s="1"/>
  <c r="K80" i="65" s="1"/>
  <c r="D81" i="65"/>
  <c r="D82" i="65"/>
  <c r="F82" i="65" s="1"/>
  <c r="K82" i="65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D16" i="129" l="1"/>
  <c r="F11" i="187"/>
  <c r="F10" i="187"/>
  <c r="I105" i="38"/>
  <c r="S109" i="38" l="1"/>
  <c r="L9" i="188" l="1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B10" i="188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C39" i="191"/>
  <c r="E40" i="191" s="1"/>
  <c r="F38" i="191"/>
  <c r="F34" i="191"/>
  <c r="F33" i="191"/>
  <c r="F32" i="191"/>
  <c r="F31" i="191"/>
  <c r="F30" i="191"/>
  <c r="F29" i="191"/>
  <c r="D28" i="191"/>
  <c r="F28" i="191" s="1"/>
  <c r="D27" i="191"/>
  <c r="F27" i="191" s="1"/>
  <c r="D26" i="191"/>
  <c r="F26" i="191" s="1"/>
  <c r="D25" i="191"/>
  <c r="F25" i="191" s="1"/>
  <c r="D24" i="191"/>
  <c r="F24" i="191" s="1"/>
  <c r="D23" i="191"/>
  <c r="F23" i="191" s="1"/>
  <c r="D22" i="191"/>
  <c r="F22" i="191" s="1"/>
  <c r="D21" i="191"/>
  <c r="F21" i="191" s="1"/>
  <c r="D20" i="191"/>
  <c r="F20" i="191" s="1"/>
  <c r="D19" i="191"/>
  <c r="F19" i="191" s="1"/>
  <c r="D18" i="191"/>
  <c r="F18" i="191" s="1"/>
  <c r="D17" i="191"/>
  <c r="F17" i="191" s="1"/>
  <c r="D16" i="191"/>
  <c r="F16" i="191" s="1"/>
  <c r="D15" i="191"/>
  <c r="F15" i="191" s="1"/>
  <c r="D14" i="191"/>
  <c r="F14" i="191" s="1"/>
  <c r="D13" i="191"/>
  <c r="F13" i="191" s="1"/>
  <c r="D12" i="191"/>
  <c r="F12" i="191" s="1"/>
  <c r="D11" i="191"/>
  <c r="F11" i="191" s="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J36" i="191" s="1"/>
  <c r="J37" i="191" s="1"/>
  <c r="D10" i="191"/>
  <c r="F10" i="191" s="1"/>
  <c r="H5" i="191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K1" i="188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C109" i="65"/>
  <c r="D111" i="65" s="1"/>
  <c r="D108" i="65"/>
  <c r="F108" i="65" s="1"/>
  <c r="D107" i="65"/>
  <c r="F107" i="65" s="1"/>
  <c r="K107" i="65" s="1"/>
  <c r="D83" i="65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D9" i="65"/>
  <c r="F9" i="65" s="1"/>
  <c r="I9" i="65" s="1"/>
  <c r="C53" i="117"/>
  <c r="E54" i="117" s="1"/>
  <c r="F52" i="117"/>
  <c r="F51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F10" i="117"/>
  <c r="F83" i="65" l="1"/>
  <c r="K83" i="65" s="1"/>
  <c r="J67" i="65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P78" i="188"/>
  <c r="O83" i="188" s="1"/>
  <c r="F53" i="117"/>
  <c r="E56" i="117" s="1"/>
  <c r="D109" i="65"/>
  <c r="F39" i="191"/>
  <c r="E42" i="191" s="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I36" i="191" s="1"/>
  <c r="I37" i="191" s="1"/>
  <c r="F55" i="54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F10" i="65"/>
  <c r="K10" i="65" s="1"/>
  <c r="K9" i="65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F8" i="180"/>
  <c r="F9" i="180"/>
  <c r="F10" i="180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BD32" i="1"/>
  <c r="BD34" i="1" s="1"/>
  <c r="BB32" i="1"/>
  <c r="AT32" i="1"/>
  <c r="AT33" i="1" s="1"/>
  <c r="AR32" i="1"/>
  <c r="AJ32" i="1"/>
  <c r="AJ33" i="1" s="1"/>
  <c r="AH32" i="1"/>
  <c r="Z32" i="1"/>
  <c r="Z33" i="1" s="1"/>
  <c r="X32" i="1"/>
  <c r="BG29" i="1"/>
  <c r="AW29" i="1"/>
  <c r="AM29" i="1"/>
  <c r="BG28" i="1"/>
  <c r="AW28" i="1"/>
  <c r="AM28" i="1"/>
  <c r="AC28" i="1"/>
  <c r="BG27" i="1"/>
  <c r="AW27" i="1"/>
  <c r="AM27" i="1"/>
  <c r="AC27" i="1"/>
  <c r="BG26" i="1"/>
  <c r="AW26" i="1"/>
  <c r="AM26" i="1"/>
  <c r="AC26" i="1"/>
  <c r="BG25" i="1"/>
  <c r="AW25" i="1"/>
  <c r="AM25" i="1"/>
  <c r="AC25" i="1"/>
  <c r="BG24" i="1"/>
  <c r="AW24" i="1"/>
  <c r="AM24" i="1"/>
  <c r="AC24" i="1"/>
  <c r="BG23" i="1"/>
  <c r="AW23" i="1"/>
  <c r="AM23" i="1"/>
  <c r="AC23" i="1"/>
  <c r="BG22" i="1"/>
  <c r="AW22" i="1"/>
  <c r="AM22" i="1"/>
  <c r="AC22" i="1"/>
  <c r="BG21" i="1"/>
  <c r="AW21" i="1"/>
  <c r="AM21" i="1"/>
  <c r="AC21" i="1"/>
  <c r="BG20" i="1"/>
  <c r="AW20" i="1"/>
  <c r="AM20" i="1"/>
  <c r="AC20" i="1"/>
  <c r="BG19" i="1"/>
  <c r="AW19" i="1"/>
  <c r="AM19" i="1"/>
  <c r="AC19" i="1"/>
  <c r="BG18" i="1"/>
  <c r="AW18" i="1"/>
  <c r="AM18" i="1"/>
  <c r="AC18" i="1"/>
  <c r="BG17" i="1"/>
  <c r="AW17" i="1"/>
  <c r="AM17" i="1"/>
  <c r="AC17" i="1"/>
  <c r="BG16" i="1"/>
  <c r="AW16" i="1"/>
  <c r="AM16" i="1"/>
  <c r="AC16" i="1"/>
  <c r="BG15" i="1"/>
  <c r="AW15" i="1"/>
  <c r="AM15" i="1"/>
  <c r="AC15" i="1"/>
  <c r="BG14" i="1"/>
  <c r="AW14" i="1"/>
  <c r="AM14" i="1"/>
  <c r="AC14" i="1"/>
  <c r="BG13" i="1"/>
  <c r="AW13" i="1"/>
  <c r="AM13" i="1"/>
  <c r="AC13" i="1"/>
  <c r="BG12" i="1"/>
  <c r="AW12" i="1"/>
  <c r="AM12" i="1"/>
  <c r="AC12" i="1"/>
  <c r="BG11" i="1"/>
  <c r="AW11" i="1"/>
  <c r="AM11" i="1"/>
  <c r="AC11" i="1"/>
  <c r="BG10" i="1"/>
  <c r="AW10" i="1"/>
  <c r="AM10" i="1"/>
  <c r="AC10" i="1"/>
  <c r="BG9" i="1"/>
  <c r="AW9" i="1"/>
  <c r="AM9" i="1"/>
  <c r="AC9" i="1"/>
  <c r="BG8" i="1"/>
  <c r="AW8" i="1"/>
  <c r="AM8" i="1"/>
  <c r="AC8" i="1"/>
  <c r="BF5" i="1"/>
  <c r="AV5" i="1"/>
  <c r="AL5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C29" i="1" l="1"/>
  <c r="J107" i="65"/>
  <c r="Q6" i="188"/>
  <c r="R6" i="188" s="1"/>
  <c r="G5" i="117"/>
  <c r="H5" i="117" s="1"/>
  <c r="BG30" i="1"/>
  <c r="AW30" i="1"/>
  <c r="S29" i="1"/>
  <c r="AM30" i="1"/>
  <c r="G5" i="54"/>
  <c r="H5" i="54" s="1"/>
  <c r="E83" i="188"/>
  <c r="G6" i="188"/>
  <c r="H6" i="188" s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F109" i="65"/>
  <c r="G5" i="65" s="1"/>
  <c r="H5" i="65" s="1"/>
  <c r="B9" i="8"/>
  <c r="E112" i="65" l="1"/>
  <c r="F10" i="130"/>
  <c r="F9" i="130"/>
  <c r="DO18" i="1" l="1"/>
  <c r="DO19" i="1"/>
  <c r="DO20" i="1"/>
  <c r="DO21" i="1"/>
  <c r="DO22" i="1"/>
  <c r="DO23" i="1"/>
  <c r="DO24" i="1"/>
  <c r="DO25" i="1"/>
  <c r="DO26" i="1"/>
  <c r="BQ21" i="1" l="1"/>
  <c r="F54" i="177" l="1"/>
  <c r="D52" i="177"/>
  <c r="F41" i="177"/>
  <c r="F40" i="177"/>
  <c r="F39" i="177"/>
  <c r="F38" i="177"/>
  <c r="F37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52" i="177" l="1"/>
  <c r="F53" i="17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D115" i="40"/>
  <c r="F9" i="40"/>
  <c r="S133" i="38"/>
  <c r="T133" i="38" s="1"/>
  <c r="S134" i="38"/>
  <c r="T134" i="38"/>
  <c r="S135" i="38"/>
  <c r="T135" i="38" s="1"/>
  <c r="S136" i="38"/>
  <c r="T136" i="38" s="1"/>
  <c r="S137" i="38"/>
  <c r="T137" i="38" s="1"/>
  <c r="S138" i="38"/>
  <c r="T138" i="38" s="1"/>
  <c r="S139" i="38"/>
  <c r="T139" i="38" s="1"/>
  <c r="G5" i="177" l="1"/>
  <c r="H5" i="177" s="1"/>
  <c r="F115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S30" i="38"/>
  <c r="E120" i="40" l="1"/>
  <c r="G5" i="40"/>
  <c r="H5" i="40" s="1"/>
  <c r="D28" i="135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U1" i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B9" i="57"/>
  <c r="G6" i="8" l="1"/>
  <c r="H6" i="8" s="1"/>
  <c r="F43" i="163" l="1"/>
  <c r="F44" i="163"/>
  <c r="F45" i="163"/>
  <c r="F46" i="163"/>
  <c r="F47" i="163"/>
  <c r="F48" i="163"/>
  <c r="F49" i="163"/>
  <c r="F50" i="163"/>
  <c r="F51" i="163"/>
  <c r="F52" i="163"/>
  <c r="F53" i="163"/>
  <c r="F54" i="163"/>
  <c r="F55" i="163"/>
  <c r="F56" i="163"/>
  <c r="F57" i="163"/>
  <c r="F58" i="163"/>
  <c r="F42" i="163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21" i="38" l="1"/>
  <c r="T121" i="38" s="1"/>
  <c r="S122" i="38"/>
  <c r="T122" i="38" s="1"/>
  <c r="S123" i="38"/>
  <c r="T123" i="38" s="1"/>
  <c r="S124" i="38"/>
  <c r="T124" i="38" s="1"/>
  <c r="S125" i="38"/>
  <c r="T125" i="38" s="1"/>
  <c r="S126" i="38"/>
  <c r="T126" i="38" s="1"/>
  <c r="D32" i="189" l="1"/>
  <c r="F33" i="189" s="1"/>
  <c r="C32" i="189"/>
  <c r="F34" i="189" s="1"/>
  <c r="F28" i="189"/>
  <c r="F27" i="189"/>
  <c r="F8" i="189"/>
  <c r="F32" i="189" s="1"/>
  <c r="G5" i="189" s="1"/>
  <c r="H5" i="189" s="1"/>
  <c r="S113" i="38" l="1"/>
  <c r="T113" i="38" s="1"/>
  <c r="S114" i="38"/>
  <c r="T114" i="38" s="1"/>
  <c r="S115" i="38"/>
  <c r="T115" i="38" s="1"/>
  <c r="S116" i="38"/>
  <c r="T116" i="38" s="1"/>
  <c r="I113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F35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1" i="129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D40" i="154"/>
  <c r="F8" i="154"/>
  <c r="E40" i="194"/>
  <c r="H6" i="194"/>
  <c r="F79" i="129"/>
  <c r="I58" i="129" l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J8" i="154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G6" i="129"/>
  <c r="H6" i="129" s="1"/>
  <c r="E84" i="129"/>
  <c r="F42" i="154" l="1"/>
  <c r="G5" i="154"/>
  <c r="H5" i="154" s="1"/>
  <c r="D78" i="57" l="1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8" i="57"/>
  <c r="F17" i="57"/>
  <c r="F16" i="57"/>
  <c r="F15" i="57"/>
  <c r="F14" i="57"/>
  <c r="F13" i="57"/>
  <c r="F11" i="57"/>
  <c r="F12" i="57"/>
  <c r="F10" i="57"/>
  <c r="F9" i="57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D55" i="193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9" i="57" l="1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I12" i="193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F78" i="57"/>
  <c r="G5" i="193" l="1"/>
  <c r="H5" i="193" s="1"/>
  <c r="E83" i="57"/>
  <c r="G6" i="57"/>
  <c r="H6" i="57" s="1"/>
  <c r="S107" i="38" l="1"/>
  <c r="T107" i="38" s="1"/>
  <c r="I107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F11" i="163" l="1"/>
  <c r="F10" i="163"/>
  <c r="F9" i="163"/>
  <c r="S112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B10" i="187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IX5" i="1" l="1"/>
  <c r="D39" i="161" l="1"/>
  <c r="A39" i="161"/>
  <c r="F38" i="161"/>
  <c r="F37" i="161"/>
  <c r="J37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37" i="161" l="1"/>
  <c r="B38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38" i="161"/>
  <c r="F39" i="161"/>
  <c r="G5" i="161" s="1"/>
  <c r="F41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l="1"/>
  <c r="I29" i="161" s="1"/>
  <c r="I30" i="161" s="1"/>
  <c r="I31" i="161" s="1"/>
  <c r="I32" i="161" s="1"/>
  <c r="I33" i="161" s="1"/>
  <c r="I34" i="161" s="1"/>
  <c r="I35" i="161" s="1"/>
  <c r="I36" i="161" s="1"/>
  <c r="I37" i="161" s="1"/>
  <c r="I38" i="161" s="1"/>
  <c r="H5" i="161"/>
  <c r="C98" i="163" l="1"/>
  <c r="E99" i="163" s="1"/>
  <c r="D97" i="163"/>
  <c r="F97" i="163" s="1"/>
  <c r="D96" i="163"/>
  <c r="F96" i="163" s="1"/>
  <c r="F41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l="1"/>
  <c r="D98" i="163"/>
  <c r="F40" i="163"/>
  <c r="F98" i="163" s="1"/>
  <c r="E101" i="163" s="1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HU18" i="1" l="1"/>
  <c r="S18" i="38" l="1"/>
  <c r="S23" i="38" l="1"/>
  <c r="S110" i="38" l="1"/>
  <c r="I123" i="38" l="1"/>
  <c r="I122" i="38"/>
  <c r="I121" i="38"/>
  <c r="S21" i="38" l="1"/>
  <c r="T109" i="38" l="1"/>
  <c r="T112" i="38"/>
  <c r="BP5" i="1" l="1"/>
  <c r="H4" i="1" l="1"/>
  <c r="G4" i="1"/>
  <c r="F4" i="1"/>
  <c r="E4" i="1"/>
  <c r="D4" i="1"/>
  <c r="B4" i="1"/>
  <c r="I112" i="38" l="1"/>
  <c r="I136" i="38" l="1"/>
  <c r="I109" i="38" l="1"/>
  <c r="EZ32" i="1" l="1"/>
  <c r="I135" i="38" l="1"/>
  <c r="I134" i="38"/>
  <c r="I133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6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D56" i="187" l="1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19" i="187"/>
  <c r="F18" i="187"/>
  <c r="F17" i="187"/>
  <c r="F14" i="187"/>
  <c r="F13" i="187"/>
  <c r="F12" i="187"/>
  <c r="F16" i="187"/>
  <c r="F15" i="187"/>
  <c r="I10" i="187"/>
  <c r="I11" i="187" s="1"/>
  <c r="B11" i="187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I12" i="187" l="1"/>
  <c r="I13" i="187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56" i="187"/>
  <c r="G4" i="187" s="1"/>
  <c r="H4" i="187" s="1"/>
  <c r="E61" i="187" l="1"/>
  <c r="JS18" i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2" i="38" l="1"/>
  <c r="T142" i="38" s="1"/>
  <c r="S143" i="38"/>
  <c r="T143" i="38" s="1"/>
  <c r="S144" i="38"/>
  <c r="T144" i="38" s="1"/>
  <c r="S145" i="38"/>
  <c r="T145" i="38" s="1"/>
  <c r="S146" i="38"/>
  <c r="T146" i="38" s="1"/>
  <c r="S147" i="38"/>
  <c r="T147" i="38" s="1"/>
  <c r="I144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8" i="38" l="1"/>
  <c r="I127" i="38"/>
  <c r="I126" i="38"/>
  <c r="I125" i="38"/>
  <c r="I124" i="38"/>
  <c r="I120" i="38"/>
  <c r="S118" i="38"/>
  <c r="T118" i="38" s="1"/>
  <c r="S119" i="38"/>
  <c r="T119" i="38" s="1"/>
  <c r="S120" i="38"/>
  <c r="T120" i="38" s="1"/>
  <c r="S127" i="38"/>
  <c r="T127" i="38" s="1"/>
  <c r="S128" i="38"/>
  <c r="T128" i="38" s="1"/>
  <c r="I119" i="38"/>
  <c r="I118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2" i="130"/>
  <c r="F13" i="130"/>
  <c r="F11" i="130"/>
  <c r="F14" i="130"/>
  <c r="F15" i="130"/>
  <c r="F16" i="130"/>
  <c r="F17" i="130"/>
  <c r="F18" i="130"/>
  <c r="F19" i="130"/>
  <c r="F20" i="130"/>
  <c r="F21" i="130"/>
  <c r="I21" i="130" s="1"/>
  <c r="I22" i="130" s="1"/>
  <c r="I23" i="130" s="1"/>
  <c r="I24" i="130" s="1"/>
  <c r="I25" i="130" s="1"/>
  <c r="I26" i="130" s="1"/>
  <c r="I27" i="130" s="1"/>
  <c r="I28" i="130" s="1"/>
  <c r="F22" i="130"/>
  <c r="F23" i="130"/>
  <c r="F24" i="130"/>
  <c r="F25" i="130"/>
  <c r="F26" i="130"/>
  <c r="F27" i="130"/>
  <c r="F28" i="130"/>
  <c r="F29" i="130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I102" i="38"/>
  <c r="F32" i="181" l="1"/>
  <c r="G5" i="181" s="1"/>
  <c r="H5" i="181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J20" i="130"/>
  <c r="J29" i="130" s="1"/>
  <c r="G5" i="130" l="1"/>
  <c r="H5" i="130" s="1"/>
  <c r="F32" i="130" l="1"/>
  <c r="S102" i="38" l="1"/>
  <c r="T102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ES30" i="1"/>
  <c r="FW30" i="1"/>
  <c r="HA29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28" i="180"/>
  <c r="F27" i="180"/>
  <c r="F32" i="180" l="1"/>
  <c r="G5" i="180" s="1"/>
  <c r="H5" i="180" s="1"/>
  <c r="S19" i="38" l="1"/>
  <c r="S14" i="38" l="1"/>
  <c r="S9" i="38" l="1"/>
  <c r="S15" i="38" l="1"/>
  <c r="S4" i="38"/>
  <c r="S5" i="38"/>
  <c r="I142" i="38" l="1"/>
  <c r="I143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I174" i="38"/>
  <c r="I175" i="38"/>
  <c r="I5" i="1" l="1"/>
  <c r="I93" i="38" l="1"/>
  <c r="I94" i="38"/>
  <c r="I95" i="38"/>
  <c r="I176" i="38" l="1"/>
  <c r="I177" i="38"/>
  <c r="I178" i="38"/>
  <c r="I179" i="38"/>
  <c r="I180" i="38"/>
  <c r="I181" i="38"/>
  <c r="I182" i="38"/>
  <c r="I183" i="38"/>
  <c r="I184" i="38"/>
  <c r="I185" i="38"/>
  <c r="I186" i="38"/>
  <c r="I187" i="38"/>
  <c r="S106" i="38" l="1"/>
  <c r="T106" i="38" s="1"/>
  <c r="I106" i="38" l="1"/>
  <c r="DN5" i="1" l="1"/>
  <c r="S99" i="38" l="1"/>
  <c r="S100" i="38"/>
  <c r="T100" i="38" s="1"/>
  <c r="S101" i="38"/>
  <c r="S103" i="38"/>
  <c r="S104" i="38"/>
  <c r="S108" i="38"/>
  <c r="T108" i="38" s="1"/>
  <c r="T110" i="38"/>
  <c r="S111" i="38"/>
  <c r="T111" i="38" s="1"/>
  <c r="S117" i="38"/>
  <c r="S129" i="38"/>
  <c r="S130" i="38"/>
  <c r="S131" i="38"/>
  <c r="S132" i="38"/>
  <c r="S140" i="38"/>
  <c r="S141" i="38"/>
  <c r="I104" i="38" l="1"/>
  <c r="T103" i="38" l="1"/>
  <c r="I99" i="38"/>
  <c r="HJ5" i="1" l="1"/>
  <c r="C31" i="139" l="1"/>
  <c r="CT5" i="1" l="1"/>
  <c r="B10" i="159" l="1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RV32" i="1" l="1"/>
  <c r="RV33" i="1" s="1"/>
  <c r="RT32" i="1"/>
  <c r="RM32" i="1"/>
  <c r="RM33" i="1" s="1"/>
  <c r="RK32" i="1"/>
  <c r="RX5" i="1"/>
  <c r="RO5" i="1"/>
  <c r="F11" i="159" l="1"/>
  <c r="F10" i="159"/>
  <c r="I10" i="159" s="1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I110" i="38" l="1"/>
  <c r="I100" i="38" l="1"/>
  <c r="AE1" i="1" l="1"/>
  <c r="F10" i="156" l="1"/>
  <c r="I115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E34" i="139" s="1"/>
  <c r="D31" i="139"/>
  <c r="T99" i="38"/>
  <c r="T101" i="38"/>
  <c r="I101" i="38"/>
  <c r="I108" i="38"/>
  <c r="H5" i="139" l="1"/>
  <c r="T104" i="38" l="1"/>
  <c r="I103" i="38"/>
  <c r="I111" i="38"/>
  <c r="I137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40" i="38" l="1"/>
  <c r="I140" i="38"/>
  <c r="S25" i="38" l="1"/>
  <c r="S26" i="38"/>
  <c r="S96" i="38" l="1"/>
  <c r="T96" i="38" s="1"/>
  <c r="S97" i="38"/>
  <c r="T97" i="38" s="1"/>
  <c r="T132" i="38"/>
  <c r="I131" i="38" l="1"/>
  <c r="GF5" i="1" l="1"/>
  <c r="FV5" i="1"/>
  <c r="EH5" i="1"/>
  <c r="DX5" i="1"/>
  <c r="I6" i="1"/>
  <c r="I114" i="38" l="1"/>
  <c r="I117" i="38"/>
  <c r="I129" i="38"/>
  <c r="I130" i="38"/>
  <c r="I132" i="38"/>
  <c r="I138" i="38"/>
  <c r="I139" i="38"/>
  <c r="I141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29" i="38" l="1"/>
  <c r="S6" i="38" l="1"/>
  <c r="S8" i="38"/>
  <c r="S16" i="38"/>
  <c r="S20" i="38"/>
  <c r="S7" i="38"/>
  <c r="S11" i="38"/>
  <c r="T130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31" i="38" l="1"/>
  <c r="T141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8" i="38"/>
  <c r="M188" i="38"/>
  <c r="K188" i="38"/>
  <c r="S187" i="38"/>
  <c r="T187" i="38" s="1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T117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T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HT1" i="1" l="1"/>
  <c r="ID1" i="1" s="1"/>
  <c r="IN1" i="1" s="1"/>
  <c r="IX1" i="1" s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27" i="38"/>
  <c r="T29" i="38"/>
  <c r="T21" i="38"/>
  <c r="T28" i="38"/>
  <c r="T35" i="38"/>
  <c r="F23" i="38"/>
  <c r="I23" i="1"/>
  <c r="I23" i="38" s="1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8" i="38"/>
  <c r="T68" i="38" l="1"/>
  <c r="T69" i="38"/>
  <c r="G188" i="38"/>
  <c r="I188" i="38"/>
  <c r="H188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<sst xmlns="http://schemas.openxmlformats.org/spreadsheetml/2006/main" count="3840" uniqueCount="611">
  <si>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</si>
  <si>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</si>
  <si>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</si>
  <si>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</si>
  <si>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</si>
  <si>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</si>
  <si>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</si>
  <si>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</si>
  <si>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</si>
  <si>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</si>
  <si>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</si>
  <si>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</si>
  <si>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</si>
  <si>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</si>
  <si>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</si>
  <si>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</si>
  <si>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</si>
  <si>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</si>
  <si>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</si>
  <si>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</si>
  <si>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</si>
  <si>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</si>
  <si>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</si>
  <si>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</si>
  <si>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</si>
  <si>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</si>
  <si>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</si>
  <si>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</si>
  <si>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</si>
  <si>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</si>
  <si>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</si>
  <si>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</si>
  <si>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</si>
  <si>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</si>
  <si>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</si>
  <si>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</si>
  <si>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</si>
  <si>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</si>
  <si>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</si>
  <si>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</si>
  <si>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</si>
  <si>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</si>
  <si>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</si>
  <si>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</si>
  <si>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</si>
  <si>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</si>
  <si>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</si>
  <si>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</si>
  <si>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</si>
  <si>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</si>
  <si>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</si>
  <si>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</si>
  <si>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</si>
  <si>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</si>
  <si>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</si>
  <si>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</si>
  <si>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RIBLETTS DE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</si>
  <si>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</si>
  <si>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</si>
  <si>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</si>
  <si>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</si>
  <si>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</si>
  <si>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</si>
  <si>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</si>
  <si>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</si>
  <si>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</si>
  <si>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</si>
  <si>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</si>
  <si>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 xml:space="preserve">ESPALDILLA 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</si>
  <si>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</si>
  <si>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</si>
  <si>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</si>
  <si>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</si>
  <si>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</si>
  <si>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</si>
  <si>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</si>
  <si>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ARRACHERA TAMPIQUEÑA</t>
  </si>
  <si>
    <t>CONTRA EXCEL 86K</t>
  </si>
  <si>
    <t>COSTILLA ESP DE CERDO</t>
  </si>
  <si>
    <t>MANTECA</t>
  </si>
  <si>
    <t>SALMON</t>
  </si>
  <si>
    <t>CHULETA</t>
  </si>
  <si>
    <t xml:space="preserve">QUESOS GOUDA </t>
  </si>
  <si>
    <t xml:space="preserve"> CAÑA DE LOMO  I B P </t>
  </si>
  <si>
    <t>PECHO  C/CUERO</t>
  </si>
  <si>
    <t>CABEZA DE LOMO</t>
  </si>
  <si>
    <t>PULPAS DE PIERNA</t>
  </si>
  <si>
    <t>S/H</t>
  </si>
  <si>
    <t>PIERNA S/H</t>
  </si>
  <si>
    <t>PULPA DE RES</t>
  </si>
  <si>
    <t xml:space="preserve">GRANJERO FELIZ </t>
  </si>
  <si>
    <t>BUCHE</t>
  </si>
  <si>
    <t>CORBATA AV</t>
  </si>
  <si>
    <t>EXCEL 86M</t>
  </si>
  <si>
    <t xml:space="preserve">CARNERO CANAL X CAJA </t>
  </si>
  <si>
    <t xml:space="preserve">CUERO PANCETA </t>
  </si>
  <si>
    <t xml:space="preserve">INDIANA </t>
  </si>
  <si>
    <t>BAK HERCA</t>
  </si>
  <si>
    <t>0121 Z</t>
  </si>
  <si>
    <t>RECORTE  80/20</t>
  </si>
  <si>
    <t>QUESOS GOUDA</t>
  </si>
  <si>
    <t>0311 Z</t>
  </si>
  <si>
    <t>0331 Z</t>
  </si>
  <si>
    <t>0333 Z</t>
  </si>
  <si>
    <t>0351 Z</t>
  </si>
  <si>
    <t>0353 Z</t>
  </si>
  <si>
    <t>0374 Z</t>
  </si>
  <si>
    <t>0398 Z</t>
  </si>
  <si>
    <t>0405 Z</t>
  </si>
  <si>
    <t>0434 Z</t>
  </si>
  <si>
    <t>0478 Z</t>
  </si>
  <si>
    <t>PERNIL con piel</t>
  </si>
  <si>
    <t>CAÑA DE LOMO</t>
  </si>
  <si>
    <t>PERNIL con cuero</t>
  </si>
  <si>
    <t>SESOS MARQUETA</t>
  </si>
  <si>
    <t>ALIMENTOS CERTIFICADOS PUEBLA I N N O V A</t>
  </si>
  <si>
    <t>0508 Z</t>
  </si>
  <si>
    <t>0511 Z</t>
  </si>
  <si>
    <t>0522 Z</t>
  </si>
  <si>
    <t>0514 z</t>
  </si>
  <si>
    <t>0549 Z</t>
  </si>
  <si>
    <t>0569 Z</t>
  </si>
  <si>
    <t>RYC ALIMENTOS</t>
  </si>
  <si>
    <t>0534 Z</t>
  </si>
  <si>
    <t>0537 Z</t>
  </si>
  <si>
    <t>0546 Z</t>
  </si>
  <si>
    <t>0547 Z</t>
  </si>
  <si>
    <t>0557 Z</t>
  </si>
  <si>
    <t>0558 Z</t>
  </si>
  <si>
    <t>0565 Z</t>
  </si>
  <si>
    <t>0566 Z</t>
  </si>
  <si>
    <t>0568 Z</t>
  </si>
  <si>
    <t>0573 Z</t>
  </si>
  <si>
    <t>0574 Z</t>
  </si>
  <si>
    <t>0575 Z</t>
  </si>
  <si>
    <t>0578 Z</t>
  </si>
  <si>
    <t>0581 Z</t>
  </si>
  <si>
    <t>0584 Z</t>
  </si>
  <si>
    <t>0588 Z</t>
  </si>
  <si>
    <t>0583 Z</t>
  </si>
  <si>
    <t>0595 Z</t>
  </si>
  <si>
    <t>0597 Z</t>
  </si>
  <si>
    <t>0601 Z</t>
  </si>
  <si>
    <t>0603 Z</t>
  </si>
  <si>
    <t>0667 Z</t>
  </si>
  <si>
    <t>0647 Z</t>
  </si>
  <si>
    <t>0608 Z</t>
  </si>
  <si>
    <t>0609 Z</t>
  </si>
  <si>
    <t>0616 Z</t>
  </si>
  <si>
    <t>0617 Z</t>
  </si>
  <si>
    <t>0618 Z</t>
  </si>
  <si>
    <t>0623 Z</t>
  </si>
  <si>
    <t>0628 Z</t>
  </si>
  <si>
    <t>ARRACHERA  TEXANA</t>
  </si>
  <si>
    <t>0633 Z</t>
  </si>
  <si>
    <t>0634 Z</t>
  </si>
  <si>
    <t>0635 Z</t>
  </si>
  <si>
    <t>0636 Z</t>
  </si>
  <si>
    <t>0638 Z</t>
  </si>
  <si>
    <t>0688 Z</t>
  </si>
  <si>
    <t>0643 Z</t>
  </si>
  <si>
    <t>0676 Z</t>
  </si>
  <si>
    <t>0644 Z</t>
  </si>
  <si>
    <t>0675 Z</t>
  </si>
  <si>
    <t>0649 Z</t>
  </si>
  <si>
    <t>0652 Z</t>
  </si>
  <si>
    <t>0659 Z</t>
  </si>
  <si>
    <t>0663 Z</t>
  </si>
  <si>
    <t>0665 Z</t>
  </si>
  <si>
    <t>0669 Z</t>
  </si>
  <si>
    <t>0671 Z</t>
  </si>
  <si>
    <t>0672 Z</t>
  </si>
  <si>
    <t>0677 Z</t>
  </si>
  <si>
    <t>0683 Z</t>
  </si>
  <si>
    <t>0691 Z</t>
  </si>
  <si>
    <t>0693 Z</t>
  </si>
  <si>
    <t>0694 Z</t>
  </si>
  <si>
    <t>0695 Z</t>
  </si>
  <si>
    <t>0696 Z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</si>
  <si>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</t>
  </si>
  <si>
    <t>0701 Z</t>
  </si>
  <si>
    <t>0702 Z</t>
  </si>
  <si>
    <t>0705 Z</t>
  </si>
  <si>
    <t>0707 Z</t>
  </si>
  <si>
    <t>0710 Z</t>
  </si>
  <si>
    <t>0722 Z</t>
  </si>
  <si>
    <t>0733 Z</t>
  </si>
  <si>
    <t>0713 Z</t>
  </si>
  <si>
    <t>0717 Z</t>
  </si>
  <si>
    <t>0719 Z</t>
  </si>
  <si>
    <t>0720 Z</t>
  </si>
  <si>
    <t>0721 Z</t>
  </si>
  <si>
    <t>0723 Z</t>
  </si>
  <si>
    <t>0724 Z</t>
  </si>
  <si>
    <t>0725 Z</t>
  </si>
  <si>
    <t>0726 Z</t>
  </si>
  <si>
    <t>0758 Z</t>
  </si>
  <si>
    <t>0768 Z</t>
  </si>
  <si>
    <t>0729 Z</t>
  </si>
  <si>
    <t>0730 Z</t>
  </si>
  <si>
    <t>0737 Z</t>
  </si>
  <si>
    <t>0741 Z</t>
  </si>
  <si>
    <t>0742 Z</t>
  </si>
  <si>
    <t>0743 Z</t>
  </si>
  <si>
    <t>0744 Z</t>
  </si>
  <si>
    <t>0745 Z</t>
  </si>
  <si>
    <t>0751 Z</t>
  </si>
  <si>
    <t>0752 Z</t>
  </si>
  <si>
    <t>0757 Z</t>
  </si>
  <si>
    <t>0760 Z</t>
  </si>
  <si>
    <t>0761 Z</t>
  </si>
  <si>
    <t>0763 Z</t>
  </si>
  <si>
    <t>0764 Z</t>
  </si>
  <si>
    <t>0765 Z</t>
  </si>
  <si>
    <t>ABASTECEDORA ROEL</t>
  </si>
  <si>
    <t>ENTRADAS DEL MES DE   MAYO  2022</t>
  </si>
  <si>
    <t>INVENTARIO DEL MES DE    ABRIL    2022</t>
  </si>
  <si>
    <t>INVENTARIO DEL MES DE ABRIL 2022</t>
  </si>
  <si>
    <t>INVENTARIO    DEL MES DE ABRIL 2022</t>
  </si>
  <si>
    <t>INVENTARIO     DEL MES DE  ABRIL  20222</t>
  </si>
  <si>
    <t>INVENTARIO    DEL MES DE  ABRIL 2022</t>
  </si>
  <si>
    <t>INVENTARIO   DEL MES DE    A B R I L       2022</t>
  </si>
  <si>
    <t>INVENTARIO   DEL MES DE    A B R I  L        2022</t>
  </si>
  <si>
    <t>INVENTARIO    DEL MES DE     ABRIL          2022</t>
  </si>
  <si>
    <t>INVENTARIO    DEL MES DE  ABRIL   2022</t>
  </si>
  <si>
    <t>INVENTARIO      DEL MES DE ABRIL 2022</t>
  </si>
  <si>
    <t>INVENTARIO     DEL MES DE ABRIL 2022</t>
  </si>
  <si>
    <t>INVENTARIO DEL MES DE ABRIL   2022</t>
  </si>
  <si>
    <t>INVENTARIO      DEL MES DE    ABRIL.     2022</t>
  </si>
  <si>
    <t>INVENTARIO     DEL MES DE  AB RIL  2022</t>
  </si>
  <si>
    <t>INVENTARIO      DEL MES DE    ABRIL   2022</t>
  </si>
  <si>
    <t>INVENTARIO      DEL MES DE  ABRIL   2022</t>
  </si>
  <si>
    <t>TOTAL DE ENTRADAS DEL MES    M A Y O          2022</t>
  </si>
  <si>
    <t>SEABOARD FOODS</t>
  </si>
  <si>
    <t>Seaboard</t>
  </si>
  <si>
    <t>PED. 81531128</t>
  </si>
  <si>
    <t>PED. 81531129</t>
  </si>
  <si>
    <t>TYSON FRESH MEATS</t>
  </si>
  <si>
    <t xml:space="preserve">I B P </t>
  </si>
  <si>
    <t>PED. 81605937</t>
  </si>
  <si>
    <t>ENTRADA DEL MES DE MAYO 2022</t>
  </si>
  <si>
    <t>PED. 81642490</t>
  </si>
  <si>
    <t>SEBOARD FOODS</t>
  </si>
  <si>
    <t>PED. 81678103</t>
  </si>
  <si>
    <t>PED. 81742875</t>
  </si>
  <si>
    <t>Seboard</t>
  </si>
  <si>
    <t>PED. 81744846</t>
  </si>
  <si>
    <t>PED. 81743574</t>
  </si>
  <si>
    <t>I B P</t>
  </si>
  <si>
    <t xml:space="preserve"> PED. 81744843</t>
  </si>
  <si>
    <t>INVENTARIO DEL MES DE ABRIL  2022</t>
  </si>
  <si>
    <t>ENTRADA DEL MES  DE MAYO 2022</t>
  </si>
  <si>
    <t>NLSE22-81</t>
  </si>
  <si>
    <t>NLSE22-82</t>
  </si>
  <si>
    <t xml:space="preserve">ALIMENTOS CERFICADOS PUEBLA  I N N O V A </t>
  </si>
  <si>
    <t>ESPALDILLA S/H</t>
  </si>
  <si>
    <t>NLSE22-70</t>
  </si>
  <si>
    <t>NLSE22-69</t>
  </si>
  <si>
    <t>NLSE22-83</t>
  </si>
  <si>
    <t>NLSE22-84</t>
  </si>
  <si>
    <t>GRANJERO FELIZ S DE RL</t>
  </si>
  <si>
    <t>ARRACHERA TEXANA</t>
  </si>
  <si>
    <t>TAQUERA</t>
  </si>
  <si>
    <t>TAMPIQUEÑA</t>
  </si>
  <si>
    <t>A14 25932</t>
  </si>
  <si>
    <t xml:space="preserve"> ENTRADA DEL MES DE M AYO 2022</t>
  </si>
  <si>
    <t>PED. 81837575</t>
  </si>
  <si>
    <t>PED. 81835787</t>
  </si>
  <si>
    <t>PED. 81836180</t>
  </si>
  <si>
    <t>PED. 81890999</t>
  </si>
  <si>
    <t xml:space="preserve">RYC ALIMENTOS </t>
  </si>
  <si>
    <t>PULPA NEGRA</t>
  </si>
  <si>
    <t>TYSON FRESH MEAT</t>
  </si>
  <si>
    <t>PED. 81951208</t>
  </si>
  <si>
    <t>PED. 819500332</t>
  </si>
  <si>
    <t>TREBOL FOODS</t>
  </si>
  <si>
    <t xml:space="preserve">Indiana </t>
  </si>
  <si>
    <t>PED. 81924160</t>
  </si>
  <si>
    <t>COMERCIAL MARIMEX</t>
  </si>
  <si>
    <t>CAMARON 100/200</t>
  </si>
  <si>
    <t>PLA-3956</t>
  </si>
  <si>
    <t>ALIMENTOS CERTIFICADOS PUEBLA    I N N O V A</t>
  </si>
  <si>
    <t>NLSE22-85</t>
  </si>
  <si>
    <t>NLSE22-86</t>
  </si>
  <si>
    <t>NLSE22-101</t>
  </si>
  <si>
    <t>CONTRA EXCEL</t>
  </si>
  <si>
    <t>A-9462</t>
  </si>
  <si>
    <t>A-9609</t>
  </si>
  <si>
    <t>TFL-1072</t>
  </si>
  <si>
    <t>CAMARAON  41/50</t>
  </si>
  <si>
    <t>Transfer S 26-Abr-22</t>
  </si>
  <si>
    <t>Transfer S 28-Abr-22</t>
  </si>
  <si>
    <t>Transfer B 26-Abr-22</t>
  </si>
  <si>
    <t>Transfer B 29-Abr-22</t>
  </si>
  <si>
    <t>Transfer S 3-May-22</t>
  </si>
  <si>
    <t>Transfer S 9-May-22</t>
  </si>
  <si>
    <t>Transfer S 4-May-22</t>
  </si>
  <si>
    <t>Transfer S 6-May-22</t>
  </si>
  <si>
    <t>A-9437</t>
  </si>
  <si>
    <t>Transfer S 12-May-22</t>
  </si>
  <si>
    <t>Transfer S 13-May-22</t>
  </si>
  <si>
    <t>Transfer B 2-May-22</t>
  </si>
  <si>
    <t>Transfer B 3-May-22</t>
  </si>
  <si>
    <t>Transfer B 4-May-22</t>
  </si>
  <si>
    <t>Transfer B 6-May-22</t>
  </si>
  <si>
    <t>Transfer B 9-May-22</t>
  </si>
  <si>
    <t>Transfer Bnte 2-May-22</t>
  </si>
  <si>
    <t>Transfer Bnte 3-May-22</t>
  </si>
  <si>
    <t>Transfer Bnte 4-May-22</t>
  </si>
  <si>
    <t>Transfer Bnte 5-May-22</t>
  </si>
  <si>
    <t>Transfer Bnte 6-May-22</t>
  </si>
  <si>
    <t>Transfer Bnte 9-May-22</t>
  </si>
  <si>
    <t>Transfer Bnte 10-May-22</t>
  </si>
  <si>
    <t>Transfer Bnte 11-May-22</t>
  </si>
  <si>
    <t>Transfer Bnte 12-May-22</t>
  </si>
  <si>
    <t>PED. 81950255</t>
  </si>
  <si>
    <t>PED. 81999518</t>
  </si>
  <si>
    <t>NLSE22-87</t>
  </si>
  <si>
    <t>NLSE22-88</t>
  </si>
  <si>
    <t>Transfer S 16-May-22</t>
  </si>
  <si>
    <t>Transfer B 16-May-22</t>
  </si>
  <si>
    <t>Transfer B 5-May-22</t>
  </si>
  <si>
    <t>Transfer B 13-May-22</t>
  </si>
  <si>
    <t>COMERCIALIZADORA INT MANSIVA</t>
  </si>
  <si>
    <t xml:space="preserve">PUNTA CHUELTA </t>
  </si>
  <si>
    <t>ENTRADA DEL MES DE MAYO   2022</t>
  </si>
  <si>
    <t>PED. 82131864</t>
  </si>
  <si>
    <t>PED. 82143475</t>
  </si>
  <si>
    <t>PED. 82197014</t>
  </si>
  <si>
    <t>PED. 82250071</t>
  </si>
  <si>
    <t>PED. 82249516</t>
  </si>
  <si>
    <t>PED. 82315099</t>
  </si>
  <si>
    <t>COMERCILIZADORA INT MANSIVA</t>
  </si>
  <si>
    <t xml:space="preserve">PUNTA CHULETA </t>
  </si>
  <si>
    <t>F-33225</t>
  </si>
  <si>
    <t>NLSE22-89</t>
  </si>
  <si>
    <t>NLSE22-90</t>
  </si>
  <si>
    <t>A-9614</t>
  </si>
  <si>
    <t>A-9621</t>
  </si>
  <si>
    <t>NLSE22-91</t>
  </si>
  <si>
    <t>A-9463</t>
  </si>
  <si>
    <t>Transfer B 20-May-22</t>
  </si>
  <si>
    <t>ODELPA</t>
  </si>
  <si>
    <t>Transfer B 12-May-22</t>
  </si>
  <si>
    <t>Transfer B 18-May-22</t>
  </si>
  <si>
    <t>Transfer B 19-May-22</t>
  </si>
  <si>
    <t>Transfer B 23-May-22</t>
  </si>
  <si>
    <t>Transfer Bnte 17-May-22</t>
  </si>
  <si>
    <t>Transfer Bnte 18-May-22</t>
  </si>
  <si>
    <t>Transfer Bnte 19-May-22</t>
  </si>
  <si>
    <t>Transfer Bnte 20-May-22</t>
  </si>
  <si>
    <t>Transfer B 10-May-22</t>
  </si>
  <si>
    <t>Transfer Bnte 16-May-22</t>
  </si>
  <si>
    <t>0771 Z</t>
  </si>
  <si>
    <t>0772 Z</t>
  </si>
  <si>
    <t>0773 Z</t>
  </si>
  <si>
    <t>0774 Z</t>
  </si>
  <si>
    <t>0775 Z</t>
  </si>
  <si>
    <t>0777 Z</t>
  </si>
  <si>
    <t>0778 Z</t>
  </si>
  <si>
    <t>0779 Z</t>
  </si>
  <si>
    <t>0780 Z</t>
  </si>
  <si>
    <t>0781 Z</t>
  </si>
  <si>
    <t>0782 Z</t>
  </si>
  <si>
    <t>0783 Z</t>
  </si>
  <si>
    <t>0784 Z</t>
  </si>
  <si>
    <t>0785 Z</t>
  </si>
  <si>
    <t>0787 z</t>
  </si>
  <si>
    <t>0787 Z</t>
  </si>
  <si>
    <t>0791 Z</t>
  </si>
  <si>
    <t>0788 Z</t>
  </si>
  <si>
    <t>0794 Z</t>
  </si>
  <si>
    <t>0789 Z</t>
  </si>
  <si>
    <t>0790 Z</t>
  </si>
  <si>
    <t>0792 Z</t>
  </si>
  <si>
    <t>0793 Z</t>
  </si>
  <si>
    <t>0796 Z</t>
  </si>
  <si>
    <t>0797 Z</t>
  </si>
  <si>
    <t>0798 Z</t>
  </si>
  <si>
    <t>0799 Z</t>
  </si>
  <si>
    <t>0800 Z</t>
  </si>
  <si>
    <t>0801 Z</t>
  </si>
  <si>
    <t>0803 Z</t>
  </si>
  <si>
    <t>0804 Z</t>
  </si>
  <si>
    <t>0805 Z</t>
  </si>
  <si>
    <t>0806 Z</t>
  </si>
  <si>
    <t>0807 Z</t>
  </si>
  <si>
    <t>0808 Z</t>
  </si>
  <si>
    <t>0810 Z</t>
  </si>
  <si>
    <t>0811 Z</t>
  </si>
  <si>
    <t>0812 Z</t>
  </si>
  <si>
    <t>0814 Z</t>
  </si>
  <si>
    <t>0815 Z</t>
  </si>
  <si>
    <t>0816 Z</t>
  </si>
  <si>
    <t>0820 Z</t>
  </si>
  <si>
    <t>0821 Z</t>
  </si>
  <si>
    <t>0813 Z</t>
  </si>
  <si>
    <t>0818 Z</t>
  </si>
  <si>
    <t>0819 Z</t>
  </si>
  <si>
    <t>0822 Z</t>
  </si>
  <si>
    <t>0823 Z</t>
  </si>
  <si>
    <t>0824 Z</t>
  </si>
  <si>
    <t>0825 Z</t>
  </si>
  <si>
    <t>0827 Z</t>
  </si>
  <si>
    <t>0828 Z</t>
  </si>
  <si>
    <t>0829 Z</t>
  </si>
  <si>
    <t>0832 Z</t>
  </si>
  <si>
    <t>0833 Z</t>
  </si>
  <si>
    <t>0834 Z</t>
  </si>
  <si>
    <t>0835 Z</t>
  </si>
  <si>
    <t>0836 Z</t>
  </si>
  <si>
    <t>0837 Z</t>
  </si>
  <si>
    <t>0838 Z</t>
  </si>
  <si>
    <t>0839 Z</t>
  </si>
  <si>
    <t>0840 Z</t>
  </si>
  <si>
    <t>0842 Z</t>
  </si>
  <si>
    <t>0843 Z</t>
  </si>
  <si>
    <t>0844 Z</t>
  </si>
  <si>
    <t>0845 Z</t>
  </si>
  <si>
    <t>0846 Z</t>
  </si>
  <si>
    <t>0847 Z</t>
  </si>
  <si>
    <t>0848 Z</t>
  </si>
  <si>
    <t>0849 Z</t>
  </si>
  <si>
    <t>0851 Z</t>
  </si>
  <si>
    <t>0852 Z</t>
  </si>
  <si>
    <t>0853 Z</t>
  </si>
  <si>
    <t>0854 Z</t>
  </si>
  <si>
    <t>0855 Z</t>
  </si>
  <si>
    <t>0856 Z</t>
  </si>
  <si>
    <t>0857 Z</t>
  </si>
  <si>
    <t>0858 Z</t>
  </si>
  <si>
    <t>0859 Z</t>
  </si>
  <si>
    <t>0860 Z</t>
  </si>
  <si>
    <t>0861 Z</t>
  </si>
  <si>
    <t>0864 Z</t>
  </si>
  <si>
    <t>0865 Z</t>
  </si>
  <si>
    <t>0866 Z</t>
  </si>
  <si>
    <t>0867 Z</t>
  </si>
  <si>
    <t>0868 Z</t>
  </si>
  <si>
    <t>0869 Z</t>
  </si>
  <si>
    <t>0870 Z</t>
  </si>
  <si>
    <t>0871 Z</t>
  </si>
  <si>
    <t>0891 Z</t>
  </si>
  <si>
    <t>0971 Z</t>
  </si>
  <si>
    <t>0872 Z</t>
  </si>
  <si>
    <t>0874 Z</t>
  </si>
  <si>
    <t>0875 Z</t>
  </si>
  <si>
    <t>0876 Z</t>
  </si>
  <si>
    <t>0877 Z</t>
  </si>
  <si>
    <t>0878 Z</t>
  </si>
  <si>
    <t>0879 Z</t>
  </si>
  <si>
    <t>0879 z</t>
  </si>
  <si>
    <t>0880 z</t>
  </si>
  <si>
    <t>0881 z</t>
  </si>
  <si>
    <t>0882 Z</t>
  </si>
  <si>
    <t>0912 Z</t>
  </si>
  <si>
    <t>0902 Z</t>
  </si>
  <si>
    <t>0922 Z</t>
  </si>
  <si>
    <t>0884 Z</t>
  </si>
  <si>
    <t>0887 Z</t>
  </si>
  <si>
    <t>0889 Z</t>
  </si>
  <si>
    <t>0885 Z</t>
  </si>
  <si>
    <t>0886 Z</t>
  </si>
  <si>
    <t>0890 Z</t>
  </si>
  <si>
    <t>0893 Z</t>
  </si>
  <si>
    <t>0894 Z</t>
  </si>
  <si>
    <t>0895 Z</t>
  </si>
  <si>
    <t>0896 Z</t>
  </si>
  <si>
    <t>0897 Z</t>
  </si>
  <si>
    <t>0899 Z</t>
  </si>
  <si>
    <t>0901 Z</t>
  </si>
  <si>
    <t>0904 Z</t>
  </si>
  <si>
    <t>0905 Z</t>
  </si>
  <si>
    <t>0906 Z</t>
  </si>
  <si>
    <t>0907 Z</t>
  </si>
  <si>
    <t>0863 Z</t>
  </si>
  <si>
    <t>0909 Z</t>
  </si>
  <si>
    <t>0910 Z</t>
  </si>
  <si>
    <t>0920 Z</t>
  </si>
  <si>
    <t>0930 Z</t>
  </si>
  <si>
    <t>0950 Z</t>
  </si>
  <si>
    <t>0960 Z</t>
  </si>
  <si>
    <t>0970 Z</t>
  </si>
  <si>
    <t>0911 Z</t>
  </si>
  <si>
    <t>0916 Z</t>
  </si>
  <si>
    <t>0921 Z</t>
  </si>
  <si>
    <t>0913 Z</t>
  </si>
  <si>
    <t>0914 Z</t>
  </si>
  <si>
    <t>0915 Z</t>
  </si>
  <si>
    <t>0917 Z</t>
  </si>
  <si>
    <t>0919 Z</t>
  </si>
  <si>
    <t>0925 Z</t>
  </si>
  <si>
    <t>0945 Z</t>
  </si>
  <si>
    <t>0940 Z</t>
  </si>
  <si>
    <t>0987 Z</t>
  </si>
  <si>
    <t>0977 Z</t>
  </si>
  <si>
    <t>0923 Z</t>
  </si>
  <si>
    <t>0926 Z</t>
  </si>
  <si>
    <t>0928 Z</t>
  </si>
  <si>
    <t>0929 Z</t>
  </si>
  <si>
    <t>0931 Z</t>
  </si>
  <si>
    <t>0951 Z</t>
  </si>
  <si>
    <t>0961 Z</t>
  </si>
  <si>
    <t xml:space="preserve">0931 Z </t>
  </si>
  <si>
    <t>0931 z</t>
  </si>
  <si>
    <t>0933 Z</t>
  </si>
  <si>
    <t>0934 Z</t>
  </si>
  <si>
    <t>0935 Z</t>
  </si>
  <si>
    <t>0936 Z</t>
  </si>
  <si>
    <t>0938 Z</t>
  </si>
  <si>
    <t>0939 Z</t>
  </si>
  <si>
    <t>0941 Z</t>
  </si>
  <si>
    <t>0981 Z</t>
  </si>
  <si>
    <t>0991 Z</t>
  </si>
  <si>
    <t>0947 Z</t>
  </si>
  <si>
    <t>0949 Z</t>
  </si>
  <si>
    <t>0942 Z</t>
  </si>
  <si>
    <t>0943 Z</t>
  </si>
  <si>
    <t>0946 Z</t>
  </si>
  <si>
    <t>0955 Z</t>
  </si>
  <si>
    <t>0956 Z</t>
  </si>
  <si>
    <t>0957 Z</t>
  </si>
  <si>
    <t>0958 Z</t>
  </si>
  <si>
    <t>0959 Z</t>
  </si>
  <si>
    <t>0960 z</t>
  </si>
  <si>
    <t>0962 z</t>
  </si>
  <si>
    <t>0962 Z</t>
  </si>
  <si>
    <t>0964 Z</t>
  </si>
  <si>
    <t>0965 Z</t>
  </si>
  <si>
    <t>0966 Z</t>
  </si>
  <si>
    <t>0967 Z</t>
  </si>
  <si>
    <t>0968 Z</t>
  </si>
  <si>
    <t>0969 Z</t>
  </si>
  <si>
    <t>0963 Z</t>
  </si>
  <si>
    <t>0989 Z</t>
  </si>
  <si>
    <t>0972 Z</t>
  </si>
  <si>
    <t>0973 Z</t>
  </si>
  <si>
    <t>0974 Z</t>
  </si>
  <si>
    <t>0976 Z</t>
  </si>
  <si>
    <t>0999 Z</t>
  </si>
  <si>
    <t>0978 Z</t>
  </si>
  <si>
    <t>0979 Z</t>
  </si>
  <si>
    <t>0982 Z</t>
  </si>
  <si>
    <t>0986 Z</t>
  </si>
  <si>
    <t>0993 Z</t>
  </si>
  <si>
    <t>0996 Z</t>
  </si>
  <si>
    <t>0992 Z</t>
  </si>
  <si>
    <t>0997 Z</t>
  </si>
  <si>
    <t>0998 Z</t>
  </si>
  <si>
    <t>1000 Z</t>
  </si>
  <si>
    <t>0001 A1</t>
  </si>
  <si>
    <t>0002 A1</t>
  </si>
  <si>
    <t>0003 A1</t>
  </si>
  <si>
    <t>0004 A1</t>
  </si>
  <si>
    <t>0005 A1</t>
  </si>
  <si>
    <t>0006 A1</t>
  </si>
  <si>
    <t>ENTRADA DEL MES DE  MAYO 2022</t>
  </si>
  <si>
    <t>ADAMS INT MORELIA</t>
  </si>
  <si>
    <t>ESPALDILLA   S/H</t>
  </si>
  <si>
    <t>GRNAJERO FELIZ</t>
  </si>
  <si>
    <t>ESPALDILLA DE CARNERO</t>
  </si>
  <si>
    <t>PU-102798</t>
  </si>
  <si>
    <t>SESOS</t>
  </si>
  <si>
    <t>A14-26084</t>
  </si>
  <si>
    <t>PLA-4363</t>
  </si>
  <si>
    <t>Transfer B 24-May-22</t>
  </si>
  <si>
    <t>PED. 82315466</t>
  </si>
  <si>
    <t xml:space="preserve">ATLANTIC MEAT DE MEXICO </t>
  </si>
  <si>
    <t>PULPA Blanca S/Cuete</t>
  </si>
  <si>
    <t>PED. 82445626</t>
  </si>
  <si>
    <t>PED. 82445322</t>
  </si>
  <si>
    <t>PED. 82489243</t>
  </si>
  <si>
    <t>PED. 82501744</t>
  </si>
  <si>
    <t>PED. 82557911</t>
  </si>
  <si>
    <t>ENTRADA DEL MES DE MAYO 2020</t>
  </si>
  <si>
    <t xml:space="preserve">DISTRIBUIDAORA PEPE FILETE </t>
  </si>
  <si>
    <t>PED. 82621458</t>
  </si>
  <si>
    <t xml:space="preserve"> I B P </t>
  </si>
  <si>
    <t>PED. 82621460</t>
  </si>
  <si>
    <t>NLSE22-92</t>
  </si>
  <si>
    <t>ATLANTIC MEAT DE MEXICO</t>
  </si>
  <si>
    <t xml:space="preserve">Pulpa Blanca S/ Cuete </t>
  </si>
  <si>
    <t>EFECTIVO</t>
  </si>
  <si>
    <t>NLSE22--93</t>
  </si>
  <si>
    <t>NLSE22-94</t>
  </si>
  <si>
    <t>B-2511</t>
  </si>
  <si>
    <t>A-9464</t>
  </si>
  <si>
    <t>NLSE22-95</t>
  </si>
  <si>
    <t>ABASTECEDORA DE CARNES FRESCAS ROEL</t>
  </si>
  <si>
    <t>MENUDO EXCEL</t>
  </si>
  <si>
    <t xml:space="preserve">RECORTE  80/20 </t>
  </si>
  <si>
    <t xml:space="preserve">DISTRIBUIDORA PEPE FILETE </t>
  </si>
  <si>
    <t>MAZOS   tripas</t>
  </si>
  <si>
    <t>NLSE22-96</t>
  </si>
  <si>
    <t>A-9465</t>
  </si>
  <si>
    <t>A14-26173</t>
  </si>
  <si>
    <t>Transfer S 27-May-22</t>
  </si>
  <si>
    <t>Transfer S 30-May-22</t>
  </si>
  <si>
    <t>Transfer B 27-May-22</t>
  </si>
  <si>
    <t>Transfer B 30-May-22</t>
  </si>
  <si>
    <t>Transfer 31-May-22</t>
  </si>
  <si>
    <t>Transfer S 25-May-22</t>
  </si>
  <si>
    <t>PLA-2452*/-------PLA-4156</t>
  </si>
  <si>
    <t>Transfer B 17-May-22</t>
  </si>
  <si>
    <t>Transfer Bnte 23-May-22</t>
  </si>
  <si>
    <t>Transfer Bnte 24-May-22</t>
  </si>
  <si>
    <t>x RECUPERAR CON  N/C</t>
  </si>
  <si>
    <t>Transfer Bnte 25-May-22</t>
  </si>
  <si>
    <t>Transfer Bnte 26-May-22</t>
  </si>
  <si>
    <t>Transfer Bnte 26-May-26</t>
  </si>
  <si>
    <t>Transfer Bnte 27-May-22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</si>
</sst>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0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</fills>
  <borders count="10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Dot">
        <color indexed="64"/>
      </left>
      <right style="mediumDashDot">
        <color indexed="64"/>
      </right>
      <top style="thin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 style="mediumDashed">
        <color indexed="64"/>
      </bottom>
      <diagonal/>
    </border>
    <border>
      <left style="thick">
        <color indexed="64"/>
      </left>
      <right style="thick">
        <color indexed="64"/>
      </right>
      <top style="mediumDashed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7" fillId="0" borderId="0"/>
  </cellStyleXfs>
  <cellXfs count="1279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58" fillId="0" borderId="0" xfId="0" applyNumberFormat="1" applyFont="1" applyAlignment="1">
      <alignment horizontal="right"/>
    </xf>
    <xf numFmtId="0" fontId="58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8" fillId="0" borderId="0" xfId="0" applyNumberFormat="1" applyFont="1" applyFill="1"/>
    <xf numFmtId="0" fontId="58" fillId="0" borderId="10" xfId="0" applyFont="1" applyBorder="1" applyAlignment="1">
      <alignment horizontal="right"/>
    </xf>
    <xf numFmtId="164" fontId="58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5" fillId="0" borderId="66" xfId="0" applyFont="1" applyBorder="1"/>
    <xf numFmtId="0" fontId="65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5" fillId="0" borderId="5" xfId="0" applyFont="1" applyBorder="1"/>
    <xf numFmtId="0" fontId="65" fillId="0" borderId="42" xfId="0" applyFont="1" applyBorder="1"/>
    <xf numFmtId="0" fontId="65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4" fillId="0" borderId="14" xfId="0" applyFont="1" applyFill="1" applyBorder="1" applyAlignment="1">
      <alignment horizontal="center"/>
    </xf>
    <xf numFmtId="0" fontId="66" fillId="0" borderId="40" xfId="0" applyFont="1" applyBorder="1"/>
    <xf numFmtId="0" fontId="66" fillId="3" borderId="26" xfId="0" applyFont="1" applyFill="1" applyBorder="1" applyAlignment="1">
      <alignment horizontal="center"/>
    </xf>
    <xf numFmtId="16" fontId="66" fillId="0" borderId="25" xfId="0" applyNumberFormat="1" applyFont="1" applyBorder="1" applyAlignment="1">
      <alignment horizontal="center"/>
    </xf>
    <xf numFmtId="0" fontId="66" fillId="0" borderId="23" xfId="0" applyFont="1" applyBorder="1" applyAlignment="1">
      <alignment horizontal="center"/>
    </xf>
    <xf numFmtId="0" fontId="64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4" fontId="10" fillId="0" borderId="81" xfId="0" applyNumberFormat="1" applyFont="1" applyBorder="1"/>
    <xf numFmtId="0" fontId="7" fillId="0" borderId="81" xfId="0" applyFont="1" applyBorder="1" applyAlignment="1">
      <alignment horizontal="center"/>
    </xf>
    <xf numFmtId="164" fontId="7" fillId="0" borderId="81" xfId="0" applyNumberFormat="1" applyFont="1" applyBorder="1"/>
    <xf numFmtId="0" fontId="7" fillId="0" borderId="81" xfId="0" applyFont="1" applyFill="1" applyBorder="1" applyAlignment="1">
      <alignment horizontal="center"/>
    </xf>
    <xf numFmtId="164" fontId="7" fillId="0" borderId="82" xfId="0" applyNumberFormat="1" applyFont="1" applyBorder="1"/>
    <xf numFmtId="0" fontId="28" fillId="0" borderId="0" xfId="0" applyFont="1" applyFill="1" applyAlignment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4" xfId="0" applyNumberFormat="1" applyFont="1" applyFill="1" applyBorder="1" applyAlignment="1">
      <alignment horizontal="right"/>
    </xf>
    <xf numFmtId="4" fontId="0" fillId="0" borderId="5" xfId="0" applyNumberFormat="1" applyFill="1" applyBorder="1"/>
    <xf numFmtId="164" fontId="10" fillId="0" borderId="85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6" xfId="0" applyNumberFormat="1" applyFont="1" applyBorder="1"/>
    <xf numFmtId="0" fontId="44" fillId="0" borderId="87" xfId="0" applyFont="1" applyBorder="1"/>
    <xf numFmtId="164" fontId="7" fillId="0" borderId="88" xfId="0" applyNumberFormat="1" applyFont="1" applyBorder="1"/>
    <xf numFmtId="164" fontId="7" fillId="0" borderId="89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5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3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0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50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15" fontId="7" fillId="0" borderId="15" xfId="0" applyNumberFormat="1" applyFont="1" applyFill="1" applyBorder="1"/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67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0" fontId="69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0" fillId="0" borderId="33" xfId="0" applyNumberFormat="1" applyFont="1" applyBorder="1" applyAlignment="1">
      <alignment vertical="center"/>
    </xf>
    <xf numFmtId="0" fontId="10" fillId="0" borderId="33" xfId="0" applyFont="1" applyFill="1" applyBorder="1" applyAlignment="1">
      <alignment vertical="center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2" fillId="0" borderId="33" xfId="0" applyFont="1" applyFill="1" applyBorder="1" applyAlignment="1">
      <alignment horizontal="center"/>
    </xf>
    <xf numFmtId="0" fontId="68" fillId="0" borderId="33" xfId="0" applyFont="1" applyFill="1" applyBorder="1" applyAlignment="1">
      <alignment vertical="center"/>
    </xf>
    <xf numFmtId="167" fontId="68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68" fillId="0" borderId="33" xfId="0" applyFont="1" applyFill="1" applyBorder="1" applyAlignment="1">
      <alignment horizontal="center" vertical="center"/>
    </xf>
    <xf numFmtId="2" fontId="7" fillId="0" borderId="83" xfId="0" applyNumberFormat="1" applyFont="1" applyFill="1" applyBorder="1"/>
    <xf numFmtId="164" fontId="22" fillId="0" borderId="90" xfId="0" applyNumberFormat="1" applyFont="1" applyFill="1" applyBorder="1" applyAlignment="1"/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91" xfId="0" applyBorder="1"/>
    <xf numFmtId="0" fontId="0" fillId="0" borderId="92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0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8" fillId="0" borderId="0" xfId="0" applyNumberFormat="1" applyFont="1" applyBorder="1"/>
    <xf numFmtId="164" fontId="58" fillId="0" borderId="0" xfId="0" applyNumberFormat="1" applyFont="1" applyFill="1" applyBorder="1"/>
    <xf numFmtId="2" fontId="58" fillId="0" borderId="0" xfId="0" applyNumberFormat="1" applyFont="1" applyFill="1" applyAlignment="1">
      <alignment horizontal="right"/>
    </xf>
    <xf numFmtId="15" fontId="58" fillId="0" borderId="0" xfId="0" applyNumberFormat="1" applyFont="1" applyFill="1"/>
    <xf numFmtId="2" fontId="58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1" fillId="0" borderId="0" xfId="0" applyNumberFormat="1" applyFont="1" applyFill="1" applyAlignment="1">
      <alignment horizontal="left"/>
    </xf>
    <xf numFmtId="167" fontId="71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15" fontId="7" fillId="0" borderId="0" xfId="0" applyNumberFormat="1" applyFont="1" applyFill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67" fontId="27" fillId="0" borderId="0" xfId="0" applyNumberFormat="1" applyFont="1" applyFill="1"/>
    <xf numFmtId="15" fontId="7" fillId="0" borderId="4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2" fillId="0" borderId="0" xfId="0" applyFont="1" applyFill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164" fontId="0" fillId="0" borderId="51" xfId="0" applyNumberFormat="1" applyFont="1" applyBorder="1"/>
    <xf numFmtId="16" fontId="40" fillId="0" borderId="51" xfId="0" applyNumberFormat="1" applyFont="1" applyBorder="1"/>
    <xf numFmtId="0" fontId="0" fillId="0" borderId="51" xfId="0" applyFont="1" applyBorder="1" applyAlignment="1">
      <alignment horizontal="right"/>
    </xf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Border="1" applyAlignment="1">
      <alignment horizontal="center"/>
    </xf>
    <xf numFmtId="167" fontId="35" fillId="0" borderId="0" xfId="0" applyNumberFormat="1" applyFont="1" applyFill="1"/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6" fillId="0" borderId="33" xfId="1" applyFont="1" applyFill="1" applyBorder="1" applyAlignment="1">
      <alignment horizontal="right"/>
    </xf>
    <xf numFmtId="0" fontId="73" fillId="0" borderId="33" xfId="0" applyFont="1" applyFill="1" applyBorder="1"/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164" fontId="18" fillId="0" borderId="77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164" fontId="18" fillId="0" borderId="77" xfId="0" applyNumberFormat="1" applyFont="1" applyFill="1" applyBorder="1" applyAlignment="1">
      <alignment horizontal="left"/>
    </xf>
    <xf numFmtId="164" fontId="17" fillId="0" borderId="77" xfId="0" applyNumberFormat="1" applyFont="1" applyFill="1" applyBorder="1" applyAlignment="1"/>
    <xf numFmtId="164" fontId="22" fillId="0" borderId="77" xfId="0" applyNumberFormat="1" applyFont="1" applyFill="1" applyBorder="1" applyAlignment="1">
      <alignment horizontal="left"/>
    </xf>
    <xf numFmtId="0" fontId="10" fillId="0" borderId="0" xfId="0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33" xfId="0" applyFont="1" applyFill="1" applyBorder="1" applyAlignment="1">
      <alignment horizontal="left" vertical="center"/>
    </xf>
    <xf numFmtId="0" fontId="28" fillId="0" borderId="33" xfId="0" applyFont="1" applyFill="1" applyBorder="1" applyAlignment="1">
      <alignment vertic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2" fontId="7" fillId="0" borderId="32" xfId="0" applyNumberFormat="1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1" fontId="70" fillId="0" borderId="33" xfId="0" applyNumberFormat="1" applyFont="1" applyFill="1" applyBorder="1" applyAlignment="1">
      <alignment vertical="center"/>
    </xf>
    <xf numFmtId="44" fontId="8" fillId="0" borderId="33" xfId="1" applyFont="1" applyFill="1" applyBorder="1"/>
    <xf numFmtId="0" fontId="7" fillId="0" borderId="11" xfId="0" applyFont="1" applyFill="1" applyBorder="1"/>
    <xf numFmtId="0" fontId="7" fillId="0" borderId="4" xfId="0" applyFont="1" applyFill="1" applyBorder="1"/>
    <xf numFmtId="1" fontId="54" fillId="0" borderId="33" xfId="0" applyNumberFormat="1" applyFont="1" applyFill="1" applyBorder="1" applyAlignment="1">
      <alignment horizontal="center"/>
    </xf>
    <xf numFmtId="15" fontId="58" fillId="0" borderId="4" xfId="0" applyNumberFormat="1" applyFont="1" applyFill="1" applyBorder="1"/>
    <xf numFmtId="2" fontId="58" fillId="0" borderId="5" xfId="0" applyNumberFormat="1" applyFont="1" applyFill="1" applyBorder="1" applyAlignment="1">
      <alignment horizontal="right"/>
    </xf>
    <xf numFmtId="15" fontId="58" fillId="0" borderId="4" xfId="0" applyNumberFormat="1" applyFont="1" applyBorder="1"/>
    <xf numFmtId="0" fontId="63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68" fontId="27" fillId="0" borderId="4" xfId="0" applyNumberFormat="1" applyFont="1" applyBorder="1"/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47" fillId="0" borderId="0" xfId="0" applyNumberFormat="1" applyFont="1" applyFill="1"/>
    <xf numFmtId="164" fontId="10" fillId="0" borderId="70" xfId="0" applyNumberFormat="1" applyFont="1" applyFill="1" applyBorder="1" applyAlignment="1"/>
    <xf numFmtId="4" fontId="7" fillId="0" borderId="33" xfId="0" applyNumberFormat="1" applyFont="1" applyFill="1" applyBorder="1" applyAlignment="1">
      <alignment vertical="center"/>
    </xf>
    <xf numFmtId="0" fontId="69" fillId="0" borderId="33" xfId="0" applyFont="1" applyFill="1" applyBorder="1" applyAlignment="1">
      <alignment vertical="center"/>
    </xf>
    <xf numFmtId="0" fontId="69" fillId="0" borderId="69" xfId="0" applyFont="1" applyFill="1" applyBorder="1" applyAlignment="1">
      <alignment vertical="center" wrapText="1"/>
    </xf>
    <xf numFmtId="0" fontId="67" fillId="0" borderId="69" xfId="0" applyFont="1" applyFill="1" applyBorder="1" applyAlignment="1">
      <alignment horizontal="left"/>
    </xf>
    <xf numFmtId="0" fontId="68" fillId="0" borderId="69" xfId="0" applyFont="1" applyFill="1" applyBorder="1" applyAlignment="1">
      <alignment horizontal="center" vertical="center"/>
    </xf>
    <xf numFmtId="167" fontId="68" fillId="0" borderId="69" xfId="0" applyNumberFormat="1" applyFont="1" applyFill="1" applyBorder="1" applyAlignment="1">
      <alignment horizontal="center" vertical="center"/>
    </xf>
    <xf numFmtId="4" fontId="40" fillId="0" borderId="69" xfId="0" applyNumberFormat="1" applyFont="1" applyFill="1" applyBorder="1" applyAlignment="1">
      <alignment horizontal="right"/>
    </xf>
    <xf numFmtId="4" fontId="45" fillId="0" borderId="69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2" fontId="68" fillId="0" borderId="33" xfId="1" applyNumberFormat="1" applyFont="1" applyFill="1" applyBorder="1" applyAlignment="1">
      <alignment horizontal="center" vertical="center"/>
    </xf>
    <xf numFmtId="2" fontId="68" fillId="0" borderId="69" xfId="1" applyNumberFormat="1" applyFont="1" applyFill="1" applyBorder="1" applyAlignment="1">
      <alignment horizontal="center" vertical="center"/>
    </xf>
    <xf numFmtId="2" fontId="56" fillId="0" borderId="33" xfId="1" applyNumberFormat="1" applyFont="1" applyFill="1" applyBorder="1" applyAlignment="1">
      <alignment horizontal="center" vertical="center"/>
    </xf>
    <xf numFmtId="164" fontId="7" fillId="0" borderId="70" xfId="0" applyNumberFormat="1" applyFont="1" applyFill="1" applyBorder="1" applyAlignment="1"/>
    <xf numFmtId="0" fontId="0" fillId="11" borderId="0" xfId="0" applyFill="1"/>
    <xf numFmtId="167" fontId="40" fillId="0" borderId="5" xfId="0" applyNumberFormat="1" applyFont="1" applyFill="1" applyBorder="1" applyAlignment="1">
      <alignment horizontal="right"/>
    </xf>
    <xf numFmtId="2" fontId="29" fillId="0" borderId="0" xfId="0" applyNumberFormat="1" applyFont="1" applyFill="1" applyAlignment="1">
      <alignment horizontal="right"/>
    </xf>
    <xf numFmtId="168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4" fontId="29" fillId="0" borderId="0" xfId="0" applyNumberFormat="1" applyFont="1" applyFill="1"/>
    <xf numFmtId="167" fontId="7" fillId="0" borderId="33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15" fillId="0" borderId="0" xfId="0" applyNumberFormat="1" applyFont="1" applyAlignment="1"/>
    <xf numFmtId="2" fontId="40" fillId="0" borderId="0" xfId="0" applyNumberFormat="1" applyFont="1"/>
    <xf numFmtId="2" fontId="40" fillId="0" borderId="0" xfId="0" applyNumberFormat="1" applyFont="1" applyFill="1"/>
    <xf numFmtId="2" fontId="0" fillId="0" borderId="0" xfId="0" applyNumberFormat="1" applyFont="1"/>
    <xf numFmtId="2" fontId="7" fillId="0" borderId="37" xfId="0" applyNumberFormat="1" applyFont="1" applyFill="1" applyBorder="1" applyAlignment="1">
      <alignment horizontal="right"/>
    </xf>
    <xf numFmtId="0" fontId="28" fillId="0" borderId="65" xfId="0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15" fontId="26" fillId="0" borderId="0" xfId="0" applyNumberFormat="1" applyFont="1" applyFill="1"/>
    <xf numFmtId="0" fontId="26" fillId="0" borderId="4" xfId="0" applyFont="1" applyFill="1" applyBorder="1" applyAlignment="1">
      <alignment horizontal="right"/>
    </xf>
    <xf numFmtId="44" fontId="28" fillId="2" borderId="0" xfId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7" fillId="0" borderId="33" xfId="0" applyNumberFormat="1" applyFont="1" applyFill="1" applyBorder="1" applyAlignment="1">
      <alignment vertical="center"/>
    </xf>
    <xf numFmtId="1" fontId="41" fillId="0" borderId="69" xfId="0" applyNumberFormat="1" applyFont="1" applyFill="1" applyBorder="1" applyAlignment="1">
      <alignment vertical="center"/>
    </xf>
    <xf numFmtId="164" fontId="1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44" fontId="8" fillId="0" borderId="33" xfId="1" applyFont="1" applyFill="1" applyBorder="1" applyAlignment="1"/>
    <xf numFmtId="1" fontId="17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horizontal="center"/>
    </xf>
    <xf numFmtId="1" fontId="41" fillId="0" borderId="78" xfId="0" applyNumberFormat="1" applyFont="1" applyFill="1" applyBorder="1" applyAlignment="1">
      <alignment horizontal="center" vertical="center"/>
    </xf>
    <xf numFmtId="0" fontId="28" fillId="22" borderId="0" xfId="0" applyFont="1" applyFill="1" applyAlignment="1">
      <alignment horizontal="center"/>
    </xf>
    <xf numFmtId="0" fontId="7" fillId="25" borderId="0" xfId="0" applyFont="1" applyFill="1" applyAlignment="1">
      <alignment horizontal="center"/>
    </xf>
    <xf numFmtId="0" fontId="28" fillId="0" borderId="70" xfId="0" applyFont="1" applyFill="1" applyBorder="1" applyAlignment="1">
      <alignment vertical="center"/>
    </xf>
    <xf numFmtId="0" fontId="7" fillId="0" borderId="70" xfId="0" applyFont="1" applyFill="1" applyBorder="1" applyAlignment="1">
      <alignment vertical="center"/>
    </xf>
    <xf numFmtId="0" fontId="74" fillId="0" borderId="0" xfId="0" applyFont="1" applyFill="1" applyAlignment="1">
      <alignment horizontal="left"/>
    </xf>
    <xf numFmtId="0" fontId="7" fillId="0" borderId="93" xfId="0" applyFont="1" applyFill="1" applyBorder="1" applyAlignment="1">
      <alignment horizontal="left" vertical="center" wrapText="1"/>
    </xf>
    <xf numFmtId="0" fontId="7" fillId="0" borderId="69" xfId="0" applyFont="1" applyFill="1" applyBorder="1" applyAlignment="1">
      <alignment vertical="center"/>
    </xf>
    <xf numFmtId="1" fontId="7" fillId="0" borderId="70" xfId="0" applyNumberFormat="1" applyFont="1" applyFill="1" applyBorder="1" applyAlignment="1">
      <alignment vertical="center"/>
    </xf>
    <xf numFmtId="1" fontId="41" fillId="0" borderId="93" xfId="0" applyNumberFormat="1" applyFont="1" applyFill="1" applyBorder="1" applyAlignment="1">
      <alignment horizontal="center" vertical="center"/>
    </xf>
    <xf numFmtId="0" fontId="75" fillId="0" borderId="33" xfId="0" applyFont="1" applyFill="1" applyBorder="1" applyAlignment="1">
      <alignment horizontal="left"/>
    </xf>
    <xf numFmtId="166" fontId="17" fillId="0" borderId="33" xfId="0" applyNumberFormat="1" applyFont="1" applyFill="1" applyBorder="1" applyAlignment="1">
      <alignment horizontal="left"/>
    </xf>
    <xf numFmtId="1" fontId="3" fillId="0" borderId="4" xfId="0" applyNumberFormat="1" applyFont="1" applyBorder="1" applyAlignment="1">
      <alignment horizontal="center"/>
    </xf>
    <xf numFmtId="0" fontId="7" fillId="11" borderId="33" xfId="0" applyFont="1" applyFill="1" applyBorder="1" applyAlignment="1">
      <alignment vertical="center"/>
    </xf>
    <xf numFmtId="0" fontId="7" fillId="4" borderId="33" xfId="0" applyFont="1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2" fontId="76" fillId="0" borderId="37" xfId="0" applyNumberFormat="1" applyFont="1" applyBorder="1" applyAlignment="1">
      <alignment horizontal="right"/>
    </xf>
    <xf numFmtId="15" fontId="76" fillId="0" borderId="0" xfId="0" applyNumberFormat="1" applyFont="1" applyBorder="1"/>
    <xf numFmtId="2" fontId="76" fillId="0" borderId="0" xfId="0" applyNumberFormat="1" applyFont="1" applyAlignment="1">
      <alignment horizontal="right"/>
    </xf>
    <xf numFmtId="0" fontId="76" fillId="0" borderId="10" xfId="0" applyFont="1" applyBorder="1" applyAlignment="1">
      <alignment horizontal="right"/>
    </xf>
    <xf numFmtId="164" fontId="76" fillId="0" borderId="0" xfId="0" applyNumberFormat="1" applyFont="1"/>
    <xf numFmtId="15" fontId="76" fillId="0" borderId="0" xfId="0" applyNumberFormat="1" applyFont="1"/>
    <xf numFmtId="0" fontId="76" fillId="0" borderId="10" xfId="0" applyFont="1" applyFill="1" applyBorder="1" applyAlignment="1">
      <alignment horizontal="right"/>
    </xf>
    <xf numFmtId="164" fontId="76" fillId="0" borderId="0" xfId="0" applyNumberFormat="1" applyFont="1" applyFill="1"/>
    <xf numFmtId="15" fontId="76" fillId="0" borderId="15" xfId="0" applyNumberFormat="1" applyFont="1" applyBorder="1"/>
    <xf numFmtId="168" fontId="76" fillId="0" borderId="4" xfId="0" applyNumberFormat="1" applyFont="1" applyBorder="1"/>
    <xf numFmtId="168" fontId="76" fillId="0" borderId="0" xfId="0" applyNumberFormat="1" applyFont="1" applyBorder="1"/>
    <xf numFmtId="168" fontId="76" fillId="0" borderId="0" xfId="0" applyNumberFormat="1" applyFont="1"/>
    <xf numFmtId="2" fontId="76" fillId="0" borderId="0" xfId="0" applyNumberFormat="1" applyFont="1" applyFill="1" applyAlignment="1">
      <alignment horizontal="right"/>
    </xf>
    <xf numFmtId="168" fontId="76" fillId="0" borderId="15" xfId="0" applyNumberFormat="1" applyFont="1" applyFill="1" applyBorder="1"/>
    <xf numFmtId="4" fontId="76" fillId="0" borderId="5" xfId="0" applyNumberFormat="1" applyFont="1" applyBorder="1" applyAlignment="1">
      <alignment horizontal="right"/>
    </xf>
    <xf numFmtId="2" fontId="76" fillId="0" borderId="51" xfId="0" applyNumberFormat="1" applyFont="1" applyBorder="1" applyAlignment="1">
      <alignment horizontal="right"/>
    </xf>
    <xf numFmtId="15" fontId="76" fillId="0" borderId="51" xfId="0" applyNumberFormat="1" applyFont="1" applyBorder="1"/>
    <xf numFmtId="2" fontId="76" fillId="0" borderId="51" xfId="0" applyNumberFormat="1" applyFont="1" applyFill="1" applyBorder="1" applyAlignment="1">
      <alignment horizontal="right"/>
    </xf>
    <xf numFmtId="0" fontId="76" fillId="0" borderId="51" xfId="0" applyFont="1" applyFill="1" applyBorder="1" applyAlignment="1">
      <alignment horizontal="right"/>
    </xf>
    <xf numFmtId="164" fontId="76" fillId="0" borderId="51" xfId="0" applyNumberFormat="1" applyFont="1" applyFill="1" applyBorder="1"/>
    <xf numFmtId="0" fontId="76" fillId="0" borderId="51" xfId="0" applyFont="1" applyBorder="1" applyAlignment="1">
      <alignment horizontal="right"/>
    </xf>
    <xf numFmtId="164" fontId="76" fillId="0" borderId="51" xfId="0" applyNumberFormat="1" applyFont="1" applyBorder="1"/>
    <xf numFmtId="15" fontId="76" fillId="0" borderId="15" xfId="0" applyNumberFormat="1" applyFont="1" applyFill="1" applyBorder="1"/>
    <xf numFmtId="168" fontId="76" fillId="0" borderId="15" xfId="0" applyNumberFormat="1" applyFont="1" applyBorder="1"/>
    <xf numFmtId="0" fontId="77" fillId="0" borderId="0" xfId="0" applyFont="1" applyFill="1" applyAlignment="1">
      <alignment horizontal="center"/>
    </xf>
    <xf numFmtId="0" fontId="78" fillId="0" borderId="0" xfId="0" applyFont="1"/>
    <xf numFmtId="0" fontId="79" fillId="0" borderId="0" xfId="0" applyFont="1" applyBorder="1" applyAlignment="1">
      <alignment horizontal="center"/>
    </xf>
    <xf numFmtId="0" fontId="79" fillId="0" borderId="0" xfId="0" applyFont="1" applyAlignment="1">
      <alignment horizontal="center"/>
    </xf>
    <xf numFmtId="2" fontId="78" fillId="0" borderId="0" xfId="0" applyNumberFormat="1" applyFont="1" applyFill="1"/>
    <xf numFmtId="0" fontId="78" fillId="0" borderId="0" xfId="0" applyFont="1" applyBorder="1"/>
    <xf numFmtId="2" fontId="76" fillId="7" borderId="0" xfId="0" applyNumberFormat="1" applyFont="1" applyFill="1" applyAlignment="1">
      <alignment horizontal="right"/>
    </xf>
    <xf numFmtId="0" fontId="76" fillId="7" borderId="10" xfId="0" applyFont="1" applyFill="1" applyBorder="1" applyAlignment="1">
      <alignment horizontal="right"/>
    </xf>
    <xf numFmtId="164" fontId="76" fillId="7" borderId="0" xfId="0" applyNumberFormat="1" applyFont="1" applyFill="1"/>
    <xf numFmtId="164" fontId="10" fillId="7" borderId="0" xfId="0" applyNumberFormat="1" applyFont="1" applyFill="1"/>
    <xf numFmtId="15" fontId="76" fillId="0" borderId="4" xfId="0" applyNumberFormat="1" applyFont="1" applyFill="1" applyBorder="1"/>
    <xf numFmtId="2" fontId="76" fillId="0" borderId="5" xfId="0" applyNumberFormat="1" applyFont="1" applyFill="1" applyBorder="1" applyAlignment="1">
      <alignment horizontal="right"/>
    </xf>
    <xf numFmtId="15" fontId="76" fillId="0" borderId="4" xfId="0" applyNumberFormat="1" applyFont="1" applyBorder="1"/>
    <xf numFmtId="44" fontId="7" fillId="7" borderId="0" xfId="1" applyFont="1" applyFill="1"/>
    <xf numFmtId="15" fontId="76" fillId="0" borderId="0" xfId="0" applyNumberFormat="1" applyFont="1" applyFill="1"/>
    <xf numFmtId="2" fontId="76" fillId="0" borderId="0" xfId="0" applyNumberFormat="1" applyFont="1" applyFill="1"/>
    <xf numFmtId="2" fontId="10" fillId="7" borderId="0" xfId="0" applyNumberFormat="1" applyFont="1" applyFill="1"/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7" fillId="7" borderId="0" xfId="0" applyNumberFormat="1" applyFont="1" applyFill="1"/>
    <xf numFmtId="0" fontId="7" fillId="0" borderId="51" xfId="0" applyFont="1" applyBorder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4" fontId="7" fillId="7" borderId="0" xfId="0" applyNumberFormat="1" applyFont="1" applyFill="1"/>
    <xf numFmtId="167" fontId="76" fillId="0" borderId="51" xfId="0" applyNumberFormat="1" applyFont="1" applyBorder="1"/>
    <xf numFmtId="167" fontId="40" fillId="0" borderId="51" xfId="0" applyNumberFormat="1" applyFont="1" applyBorder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76" fillId="4" borderId="51" xfId="0" applyNumberFormat="1" applyFont="1" applyFill="1" applyBorder="1" applyAlignment="1">
      <alignment horizontal="right"/>
    </xf>
    <xf numFmtId="0" fontId="76" fillId="4" borderId="51" xfId="0" applyFont="1" applyFill="1" applyBorder="1" applyAlignment="1">
      <alignment horizontal="right"/>
    </xf>
    <xf numFmtId="164" fontId="76" fillId="4" borderId="51" xfId="0" applyNumberFormat="1" applyFont="1" applyFill="1" applyBorder="1"/>
    <xf numFmtId="4" fontId="7" fillId="4" borderId="0" xfId="0" applyNumberFormat="1" applyFont="1" applyFill="1"/>
    <xf numFmtId="0" fontId="0" fillId="4" borderId="0" xfId="0" applyFill="1"/>
    <xf numFmtId="2" fontId="40" fillId="4" borderId="51" xfId="0" applyNumberFormat="1" applyFont="1" applyFill="1" applyBorder="1" applyAlignment="1">
      <alignment horizontal="right"/>
    </xf>
    <xf numFmtId="0" fontId="7" fillId="4" borderId="51" xfId="0" applyFont="1" applyFill="1" applyBorder="1" applyAlignment="1">
      <alignment horizontal="right"/>
    </xf>
    <xf numFmtId="164" fontId="7" fillId="4" borderId="51" xfId="0" applyNumberFormat="1" applyFont="1" applyFill="1" applyBorder="1"/>
    <xf numFmtId="0" fontId="0" fillId="7" borderId="0" xfId="0" applyFill="1"/>
    <xf numFmtId="0" fontId="7" fillId="0" borderId="0" xfId="0" applyFont="1" applyFill="1" applyAlignment="1">
      <alignment horizontal="center" wrapText="1"/>
    </xf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2" fontId="7" fillId="7" borderId="12" xfId="0" applyNumberFormat="1" applyFont="1" applyFill="1" applyBorder="1" applyAlignment="1">
      <alignment horizontal="right"/>
    </xf>
    <xf numFmtId="0" fontId="7" fillId="7" borderId="13" xfId="0" applyFont="1" applyFill="1" applyBorder="1" applyAlignment="1">
      <alignment horizontal="right"/>
    </xf>
    <xf numFmtId="1" fontId="52" fillId="0" borderId="78" xfId="0" applyNumberFormat="1" applyFont="1" applyFill="1" applyBorder="1" applyAlignment="1">
      <alignment horizontal="center" vertical="center"/>
    </xf>
    <xf numFmtId="1" fontId="28" fillId="0" borderId="69" xfId="0" applyNumberFormat="1" applyFont="1" applyFill="1" applyBorder="1" applyAlignment="1">
      <alignment horizontal="center" vertical="center"/>
    </xf>
    <xf numFmtId="0" fontId="7" fillId="0" borderId="93" xfId="0" applyFont="1" applyFill="1" applyBorder="1" applyAlignment="1">
      <alignment vertical="center"/>
    </xf>
    <xf numFmtId="1" fontId="7" fillId="0" borderId="70" xfId="0" applyNumberFormat="1" applyFont="1" applyFill="1" applyBorder="1" applyAlignment="1">
      <alignment horizontal="center" vertical="center"/>
    </xf>
    <xf numFmtId="1" fontId="28" fillId="0" borderId="93" xfId="0" applyNumberFormat="1" applyFont="1" applyFill="1" applyBorder="1" applyAlignment="1">
      <alignment horizontal="center" vertical="center"/>
    </xf>
    <xf numFmtId="0" fontId="7" fillId="0" borderId="93" xfId="0" applyFont="1" applyFill="1" applyBorder="1" applyAlignment="1">
      <alignment vertical="center" wrapText="1"/>
    </xf>
    <xf numFmtId="0" fontId="7" fillId="0" borderId="77" xfId="0" applyFont="1" applyFill="1" applyBorder="1" applyAlignment="1">
      <alignment vertical="center"/>
    </xf>
    <xf numFmtId="2" fontId="7" fillId="0" borderId="70" xfId="0" applyNumberFormat="1" applyFont="1" applyFill="1" applyBorder="1" applyAlignment="1">
      <alignment vertical="center"/>
    </xf>
    <xf numFmtId="168" fontId="7" fillId="0" borderId="78" xfId="0" applyNumberFormat="1" applyFont="1" applyFill="1" applyBorder="1" applyAlignment="1">
      <alignment vertical="center"/>
    </xf>
    <xf numFmtId="168" fontId="7" fillId="0" borderId="69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19" borderId="33" xfId="0" applyFont="1" applyFill="1" applyBorder="1" applyAlignment="1">
      <alignment horizontal="center"/>
    </xf>
    <xf numFmtId="164" fontId="28" fillId="0" borderId="0" xfId="0" applyNumberFormat="1" applyFont="1" applyAlignment="1">
      <alignment horizontal="center"/>
    </xf>
    <xf numFmtId="0" fontId="7" fillId="26" borderId="33" xfId="0" applyFont="1" applyFill="1" applyBorder="1" applyAlignment="1">
      <alignment vertical="center"/>
    </xf>
    <xf numFmtId="1" fontId="52" fillId="0" borderId="33" xfId="0" applyNumberFormat="1" applyFont="1" applyFill="1" applyBorder="1" applyAlignment="1">
      <alignment horizontal="center" vertical="center"/>
    </xf>
    <xf numFmtId="1" fontId="28" fillId="26" borderId="33" xfId="0" applyNumberFormat="1" applyFont="1" applyFill="1" applyBorder="1" applyAlignment="1">
      <alignment horizontal="center" vertical="center"/>
    </xf>
    <xf numFmtId="44" fontId="7" fillId="26" borderId="33" xfId="1" applyFont="1" applyFill="1" applyBorder="1" applyAlignment="1">
      <alignment vertical="center"/>
    </xf>
    <xf numFmtId="164" fontId="10" fillId="0" borderId="70" xfId="0" applyNumberFormat="1" applyFont="1" applyFill="1" applyBorder="1" applyAlignment="1">
      <alignment horizontal="center"/>
    </xf>
    <xf numFmtId="164" fontId="10" fillId="0" borderId="70" xfId="0" applyNumberFormat="1" applyFont="1" applyFill="1" applyBorder="1" applyAlignment="1">
      <alignment horizontal="center" vertical="center"/>
    </xf>
    <xf numFmtId="1" fontId="7" fillId="0" borderId="78" xfId="0" applyNumberFormat="1" applyFont="1" applyFill="1" applyBorder="1" applyAlignment="1">
      <alignment vertical="center"/>
    </xf>
    <xf numFmtId="0" fontId="7" fillId="0" borderId="78" xfId="0" applyFont="1" applyFill="1" applyBorder="1" applyAlignment="1">
      <alignment vertical="center" wrapText="1"/>
    </xf>
    <xf numFmtId="167" fontId="7" fillId="0" borderId="78" xfId="0" applyNumberFormat="1" applyFont="1" applyFill="1" applyBorder="1" applyAlignment="1">
      <alignment vertical="center"/>
    </xf>
    <xf numFmtId="167" fontId="7" fillId="0" borderId="69" xfId="0" applyNumberFormat="1" applyFont="1" applyFill="1" applyBorder="1" applyAlignment="1">
      <alignment vertical="center"/>
    </xf>
    <xf numFmtId="1" fontId="41" fillId="0" borderId="93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67" fontId="22" fillId="0" borderId="77" xfId="0" applyNumberFormat="1" applyFont="1" applyFill="1" applyBorder="1" applyAlignment="1">
      <alignment horizontal="left"/>
    </xf>
    <xf numFmtId="1" fontId="28" fillId="0" borderId="99" xfId="0" applyNumberFormat="1" applyFont="1" applyFill="1" applyBorder="1" applyAlignment="1">
      <alignment horizontal="center" vertical="center"/>
    </xf>
    <xf numFmtId="1" fontId="28" fillId="0" borderId="69" xfId="0" applyNumberFormat="1" applyFont="1" applyFill="1" applyBorder="1" applyAlignment="1">
      <alignment vertical="center" wrapText="1"/>
    </xf>
    <xf numFmtId="0" fontId="7" fillId="0" borderId="78" xfId="0" applyFont="1" applyFill="1" applyBorder="1" applyAlignment="1">
      <alignment horizontal="center" vertical="center" wrapText="1"/>
    </xf>
    <xf numFmtId="0" fontId="7" fillId="0" borderId="93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68" fontId="7" fillId="0" borderId="78" xfId="0" applyNumberFormat="1" applyFont="1" applyFill="1" applyBorder="1" applyAlignment="1">
      <alignment horizontal="center" vertical="center"/>
    </xf>
    <xf numFmtId="168" fontId="7" fillId="0" borderId="93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" fontId="7" fillId="0" borderId="48" xfId="0" applyNumberFormat="1" applyFont="1" applyFill="1" applyBorder="1" applyAlignment="1">
      <alignment horizontal="center" vertical="center"/>
    </xf>
    <xf numFmtId="1" fontId="7" fillId="0" borderId="51" xfId="0" applyNumberFormat="1" applyFont="1" applyFill="1" applyBorder="1" applyAlignment="1">
      <alignment horizontal="center" vertical="center"/>
    </xf>
    <xf numFmtId="1" fontId="7" fillId="0" borderId="49" xfId="0" applyNumberFormat="1" applyFont="1" applyFill="1" applyBorder="1" applyAlignment="1">
      <alignment horizontal="center" vertical="center"/>
    </xf>
    <xf numFmtId="0" fontId="7" fillId="0" borderId="73" xfId="0" applyFont="1" applyFill="1" applyBorder="1" applyAlignment="1">
      <alignment horizontal="center" vertical="center"/>
    </xf>
    <xf numFmtId="0" fontId="7" fillId="0" borderId="102" xfId="0" applyFont="1" applyFill="1" applyBorder="1" applyAlignment="1">
      <alignment horizontal="center" vertical="center"/>
    </xf>
    <xf numFmtId="0" fontId="7" fillId="0" borderId="74" xfId="0" applyFont="1" applyFill="1" applyBorder="1" applyAlignment="1">
      <alignment horizontal="center" vertical="center"/>
    </xf>
    <xf numFmtId="167" fontId="7" fillId="0" borderId="73" xfId="0" applyNumberFormat="1" applyFont="1" applyFill="1" applyBorder="1" applyAlignment="1">
      <alignment horizontal="center" vertical="center"/>
    </xf>
    <xf numFmtId="167" fontId="7" fillId="0" borderId="102" xfId="0" applyNumberFormat="1" applyFont="1" applyFill="1" applyBorder="1" applyAlignment="1">
      <alignment horizontal="center" vertical="center"/>
    </xf>
    <xf numFmtId="167" fontId="7" fillId="0" borderId="74" xfId="0" applyNumberFormat="1" applyFont="1" applyFill="1" applyBorder="1" applyAlignment="1">
      <alignment horizontal="center" vertical="center"/>
    </xf>
    <xf numFmtId="1" fontId="41" fillId="0" borderId="73" xfId="0" applyNumberFormat="1" applyFont="1" applyFill="1" applyBorder="1" applyAlignment="1">
      <alignment horizontal="center" vertical="center"/>
    </xf>
    <xf numFmtId="1" fontId="41" fillId="0" borderId="102" xfId="0" applyNumberFormat="1" applyFont="1" applyFill="1" applyBorder="1" applyAlignment="1">
      <alignment horizontal="center" vertical="center"/>
    </xf>
    <xf numFmtId="1" fontId="41" fillId="0" borderId="74" xfId="0" applyNumberFormat="1" applyFont="1" applyFill="1" applyBorder="1" applyAlignment="1">
      <alignment horizontal="center" vertical="center"/>
    </xf>
    <xf numFmtId="0" fontId="28" fillId="0" borderId="48" xfId="0" applyFont="1" applyFill="1" applyBorder="1" applyAlignment="1">
      <alignment horizontal="center" vertical="center"/>
    </xf>
    <xf numFmtId="0" fontId="28" fillId="0" borderId="49" xfId="0" applyFont="1" applyFill="1" applyBorder="1" applyAlignment="1">
      <alignment horizontal="center" vertical="center"/>
    </xf>
    <xf numFmtId="1" fontId="41" fillId="0" borderId="80" xfId="0" applyNumberFormat="1" applyFont="1" applyFill="1" applyBorder="1" applyAlignment="1">
      <alignment horizontal="center" vertical="center"/>
    </xf>
    <xf numFmtId="1" fontId="41" fillId="0" borderId="38" xfId="0" applyNumberFormat="1" applyFont="1" applyFill="1" applyBorder="1" applyAlignment="1">
      <alignment horizontal="center" vertical="center"/>
    </xf>
    <xf numFmtId="0" fontId="7" fillId="0" borderId="78" xfId="0" applyFont="1" applyFill="1" applyBorder="1" applyAlignment="1">
      <alignment horizontal="center" vertical="center"/>
    </xf>
    <xf numFmtId="0" fontId="7" fillId="0" borderId="93" xfId="0" applyFont="1" applyFill="1" applyBorder="1" applyAlignment="1">
      <alignment horizontal="center" vertical="center"/>
    </xf>
    <xf numFmtId="1" fontId="54" fillId="0" borderId="48" xfId="0" applyNumberFormat="1" applyFont="1" applyFill="1" applyBorder="1" applyAlignment="1">
      <alignment horizontal="center" vertical="center"/>
    </xf>
    <xf numFmtId="1" fontId="54" fillId="0" borderId="51" xfId="0" applyNumberFormat="1" applyFont="1" applyFill="1" applyBorder="1" applyAlignment="1">
      <alignment horizontal="center" vertical="center"/>
    </xf>
    <xf numFmtId="1" fontId="54" fillId="0" borderId="49" xfId="0" applyNumberFormat="1" applyFont="1" applyFill="1" applyBorder="1" applyAlignment="1">
      <alignment horizontal="center" vertical="center"/>
    </xf>
    <xf numFmtId="164" fontId="7" fillId="0" borderId="78" xfId="0" applyNumberFormat="1" applyFont="1" applyFill="1" applyBorder="1" applyAlignment="1">
      <alignment horizontal="center" vertical="center" wrapText="1"/>
    </xf>
    <xf numFmtId="164" fontId="7" fillId="0" borderId="93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/>
    </xf>
    <xf numFmtId="0" fontId="7" fillId="0" borderId="49" xfId="0" applyFont="1" applyFill="1" applyBorder="1" applyAlignment="1">
      <alignment horizontal="center" vertical="center"/>
    </xf>
    <xf numFmtId="1" fontId="41" fillId="0" borderId="96" xfId="0" applyNumberFormat="1" applyFont="1" applyFill="1" applyBorder="1" applyAlignment="1">
      <alignment horizontal="center" vertical="center"/>
    </xf>
    <xf numFmtId="1" fontId="7" fillId="0" borderId="78" xfId="0" applyNumberFormat="1" applyFont="1" applyFill="1" applyBorder="1" applyAlignment="1">
      <alignment horizontal="center" vertical="center" wrapText="1"/>
    </xf>
    <xf numFmtId="1" fontId="7" fillId="0" borderId="93" xfId="0" applyNumberFormat="1" applyFont="1" applyFill="1" applyBorder="1" applyAlignment="1">
      <alignment horizontal="center" vertical="center" wrapText="1"/>
    </xf>
    <xf numFmtId="1" fontId="7" fillId="0" borderId="69" xfId="0" applyNumberFormat="1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28" fillId="0" borderId="100" xfId="0" applyNumberFormat="1" applyFont="1" applyFill="1" applyBorder="1" applyAlignment="1">
      <alignment horizontal="center" vertical="center"/>
    </xf>
    <xf numFmtId="1" fontId="28" fillId="0" borderId="92" xfId="0" applyNumberFormat="1" applyFont="1" applyFill="1" applyBorder="1" applyAlignment="1">
      <alignment horizontal="center" vertical="center"/>
    </xf>
    <xf numFmtId="1" fontId="28" fillId="0" borderId="101" xfId="0" applyNumberFormat="1" applyFont="1" applyFill="1" applyBorder="1" applyAlignment="1">
      <alignment horizontal="center" vertical="center"/>
    </xf>
    <xf numFmtId="0" fontId="7" fillId="0" borderId="97" xfId="0" applyFont="1" applyFill="1" applyBorder="1" applyAlignment="1">
      <alignment horizontal="center" vertical="center" wrapText="1"/>
    </xf>
    <xf numFmtId="0" fontId="7" fillId="0" borderId="98" xfId="0" applyFont="1" applyFill="1" applyBorder="1" applyAlignment="1">
      <alignment horizontal="center" vertical="center" wrapText="1"/>
    </xf>
    <xf numFmtId="0" fontId="7" fillId="0" borderId="80" xfId="0" applyFont="1" applyFill="1" applyBorder="1" applyAlignment="1">
      <alignment horizontal="center" vertical="center" wrapText="1"/>
    </xf>
    <xf numFmtId="0" fontId="7" fillId="0" borderId="38" xfId="0" applyFont="1" applyFill="1" applyBorder="1" applyAlignment="1">
      <alignment horizontal="center" vertical="center" wrapText="1"/>
    </xf>
    <xf numFmtId="1" fontId="28" fillId="0" borderId="80" xfId="0" applyNumberFormat="1" applyFont="1" applyFill="1" applyBorder="1" applyAlignment="1">
      <alignment horizontal="center" vertical="center"/>
    </xf>
    <xf numFmtId="1" fontId="28" fillId="0" borderId="38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wrapText="1"/>
    </xf>
    <xf numFmtId="0" fontId="61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59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21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26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52" fillId="6" borderId="0" xfId="0" applyFont="1" applyFill="1" applyAlignment="1">
      <alignment horizontal="center"/>
    </xf>
    <xf numFmtId="0" fontId="7" fillId="18" borderId="48" xfId="0" applyFont="1" applyFill="1" applyBorder="1" applyAlignment="1">
      <alignment horizontal="center" vertical="center" wrapText="1"/>
    </xf>
    <xf numFmtId="0" fontId="7" fillId="18" borderId="49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5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6" fillId="13" borderId="0" xfId="0" applyFont="1" applyFill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0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20" borderId="95" xfId="0" applyFont="1" applyFill="1" applyBorder="1" applyAlignment="1">
      <alignment horizontal="center" wrapText="1"/>
    </xf>
    <xf numFmtId="0" fontId="7" fillId="20" borderId="94" xfId="0" applyFont="1" applyFill="1" applyBorder="1" applyAlignment="1">
      <alignment horizontal="center" wrapText="1"/>
    </xf>
    <xf numFmtId="0" fontId="7" fillId="0" borderId="69" xfId="0" applyFont="1" applyFill="1" applyBorder="1" applyAlignment="1">
      <alignment horizontal="center" vertical="center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7" borderId="33" xfId="0" applyFont="1" applyFill="1" applyBorder="1" applyAlignment="1">
      <alignment horizontal="center"/>
    </xf>
    <xf numFmtId="167" fontId="10" fillId="0" borderId="33" xfId="0" applyNumberFormat="1" applyFont="1" applyFill="1" applyBorder="1"/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CCCCFF"/>
      <color rgb="FF99FFCC"/>
      <color rgb="FF00FF00"/>
      <color rgb="FFCC99FF"/>
      <color rgb="FFFF3399"/>
      <color rgb="FFFFCCFF"/>
      <color rgb="FF66FFFF"/>
      <color rgb="FF66FF99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styles" Target="styles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M A Y O 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M A Y O 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M A Y O 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M A Y O 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44684</c:v>
                </c:pt>
                <c:pt idx="1">
                  <c:v>44684</c:v>
                </c:pt>
                <c:pt idx="2">
                  <c:v>44685</c:v>
                </c:pt>
                <c:pt idx="3">
                  <c:v>44686</c:v>
                </c:pt>
                <c:pt idx="4">
                  <c:v>44686</c:v>
                </c:pt>
                <c:pt idx="5">
                  <c:v>44688</c:v>
                </c:pt>
                <c:pt idx="6">
                  <c:v>44688</c:v>
                </c:pt>
                <c:pt idx="7">
                  <c:v>44688</c:v>
                </c:pt>
                <c:pt idx="8">
                  <c:v>44688</c:v>
                </c:pt>
                <c:pt idx="9">
                  <c:v>44691</c:v>
                </c:pt>
                <c:pt idx="10">
                  <c:v>44691</c:v>
                </c:pt>
                <c:pt idx="11">
                  <c:v>44691</c:v>
                </c:pt>
                <c:pt idx="12">
                  <c:v>44692</c:v>
                </c:pt>
                <c:pt idx="13">
                  <c:v>44693</c:v>
                </c:pt>
                <c:pt idx="14">
                  <c:v>44693</c:v>
                </c:pt>
                <c:pt idx="15">
                  <c:v>44693</c:v>
                </c:pt>
                <c:pt idx="16">
                  <c:v>44693</c:v>
                </c:pt>
                <c:pt idx="17">
                  <c:v>44695</c:v>
                </c:pt>
                <c:pt idx="18">
                  <c:v>44698</c:v>
                </c:pt>
                <c:pt idx="19">
                  <c:v>44698</c:v>
                </c:pt>
                <c:pt idx="20">
                  <c:v>44699</c:v>
                </c:pt>
                <c:pt idx="21">
                  <c:v>44700</c:v>
                </c:pt>
                <c:pt idx="22">
                  <c:v>44700</c:v>
                </c:pt>
                <c:pt idx="23">
                  <c:v>44701</c:v>
                </c:pt>
                <c:pt idx="24">
                  <c:v>44702</c:v>
                </c:pt>
                <c:pt idx="25">
                  <c:v>44705</c:v>
                </c:pt>
                <c:pt idx="26">
                  <c:v>44705</c:v>
                </c:pt>
                <c:pt idx="27">
                  <c:v>44705</c:v>
                </c:pt>
                <c:pt idx="28">
                  <c:v>44706</c:v>
                </c:pt>
                <c:pt idx="29">
                  <c:v>44707</c:v>
                </c:pt>
                <c:pt idx="30">
                  <c:v>44708</c:v>
                </c:pt>
                <c:pt idx="31">
                  <c:v>44708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M A Y O 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18989.62</c:v>
                </c:pt>
                <c:pt idx="1">
                  <c:v>18744.900000000001</c:v>
                </c:pt>
                <c:pt idx="2">
                  <c:v>18668.12</c:v>
                </c:pt>
                <c:pt idx="3">
                  <c:v>18620.82</c:v>
                </c:pt>
                <c:pt idx="4">
                  <c:v>18933.669999999998</c:v>
                </c:pt>
                <c:pt idx="5">
                  <c:v>18820.66</c:v>
                </c:pt>
                <c:pt idx="6">
                  <c:v>18368.66</c:v>
                </c:pt>
                <c:pt idx="7">
                  <c:v>18525.02</c:v>
                </c:pt>
                <c:pt idx="8">
                  <c:v>18324.73</c:v>
                </c:pt>
                <c:pt idx="9">
                  <c:v>18607.38</c:v>
                </c:pt>
                <c:pt idx="10">
                  <c:v>18890.990000000002</c:v>
                </c:pt>
                <c:pt idx="11">
                  <c:v>17859.43</c:v>
                </c:pt>
                <c:pt idx="12">
                  <c:v>18232.04</c:v>
                </c:pt>
                <c:pt idx="13">
                  <c:v>18333.689999999999</c:v>
                </c:pt>
                <c:pt idx="14">
                  <c:v>18562.439999999999</c:v>
                </c:pt>
                <c:pt idx="15">
                  <c:v>18557.990000000002</c:v>
                </c:pt>
                <c:pt idx="16">
                  <c:v>18873.71</c:v>
                </c:pt>
                <c:pt idx="17">
                  <c:v>18914.509999999998</c:v>
                </c:pt>
                <c:pt idx="18">
                  <c:v>18796.12</c:v>
                </c:pt>
                <c:pt idx="19">
                  <c:v>18690.79</c:v>
                </c:pt>
                <c:pt idx="20">
                  <c:v>18660.62</c:v>
                </c:pt>
                <c:pt idx="21">
                  <c:v>18800.28</c:v>
                </c:pt>
                <c:pt idx="22">
                  <c:v>18570.07</c:v>
                </c:pt>
                <c:pt idx="23">
                  <c:v>18885.68</c:v>
                </c:pt>
                <c:pt idx="24">
                  <c:v>18647.62</c:v>
                </c:pt>
                <c:pt idx="25">
                  <c:v>18758.22</c:v>
                </c:pt>
                <c:pt idx="26">
                  <c:v>19013.72</c:v>
                </c:pt>
                <c:pt idx="27">
                  <c:v>18733.169999999998</c:v>
                </c:pt>
                <c:pt idx="28">
                  <c:v>18848.919999999998</c:v>
                </c:pt>
                <c:pt idx="29">
                  <c:v>18889.72</c:v>
                </c:pt>
                <c:pt idx="30">
                  <c:v>18647.52</c:v>
                </c:pt>
                <c:pt idx="31">
                  <c:v>18284.37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M A Y O 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20</c:v>
                </c:pt>
                <c:pt idx="21">
                  <c:v>20</c:v>
                </c:pt>
                <c:pt idx="22" formatCode="0">
                  <c:v>21</c:v>
                </c:pt>
                <c:pt idx="23" formatCode="0">
                  <c:v>20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20</c:v>
                </c:pt>
                <c:pt idx="28" formatCode="0">
                  <c:v>20</c:v>
                </c:pt>
                <c:pt idx="29" formatCode="0">
                  <c:v>21</c:v>
                </c:pt>
                <c:pt idx="30" formatCode="0">
                  <c:v>21</c:v>
                </c:pt>
                <c:pt idx="31">
                  <c:v>20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M A Y O 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19064.3</c:v>
                </c:pt>
                <c:pt idx="1">
                  <c:v>18789.3</c:v>
                </c:pt>
                <c:pt idx="2">
                  <c:v>18676.11</c:v>
                </c:pt>
                <c:pt idx="3">
                  <c:v>18702.89</c:v>
                </c:pt>
                <c:pt idx="4">
                  <c:v>18928.8</c:v>
                </c:pt>
                <c:pt idx="5">
                  <c:v>18851.599999999999</c:v>
                </c:pt>
                <c:pt idx="6">
                  <c:v>18485.3</c:v>
                </c:pt>
                <c:pt idx="7">
                  <c:v>18631.2</c:v>
                </c:pt>
                <c:pt idx="8">
                  <c:v>18414.84</c:v>
                </c:pt>
                <c:pt idx="9">
                  <c:v>18764.8</c:v>
                </c:pt>
                <c:pt idx="10">
                  <c:v>18936.599999999999</c:v>
                </c:pt>
                <c:pt idx="11">
                  <c:v>17919.599999999999</c:v>
                </c:pt>
                <c:pt idx="12">
                  <c:v>18249.32</c:v>
                </c:pt>
                <c:pt idx="13">
                  <c:v>18354.080000000002</c:v>
                </c:pt>
                <c:pt idx="14">
                  <c:v>18680.169999999998</c:v>
                </c:pt>
                <c:pt idx="15">
                  <c:v>18497</c:v>
                </c:pt>
                <c:pt idx="16">
                  <c:v>18963.61</c:v>
                </c:pt>
                <c:pt idx="17">
                  <c:v>19007.3</c:v>
                </c:pt>
                <c:pt idx="18">
                  <c:v>18884.900000000001</c:v>
                </c:pt>
                <c:pt idx="19">
                  <c:v>18776.900000000001</c:v>
                </c:pt>
                <c:pt idx="20">
                  <c:v>18707.05</c:v>
                </c:pt>
                <c:pt idx="21">
                  <c:v>18873.580000000002</c:v>
                </c:pt>
                <c:pt idx="22">
                  <c:v>18649.3</c:v>
                </c:pt>
                <c:pt idx="23">
                  <c:v>18951.150000000001</c:v>
                </c:pt>
                <c:pt idx="24">
                  <c:v>18784.3</c:v>
                </c:pt>
                <c:pt idx="25">
                  <c:v>18794.900000000001</c:v>
                </c:pt>
                <c:pt idx="26">
                  <c:v>19065.5</c:v>
                </c:pt>
                <c:pt idx="27">
                  <c:v>18820.8</c:v>
                </c:pt>
                <c:pt idx="28">
                  <c:v>18884.77</c:v>
                </c:pt>
                <c:pt idx="29">
                  <c:v>18947.599999999999</c:v>
                </c:pt>
                <c:pt idx="30">
                  <c:v>18720.7</c:v>
                </c:pt>
                <c:pt idx="31">
                  <c:v>18296.16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M A Y O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-74.680000000000291</c:v>
                </c:pt>
                <c:pt idx="1">
                  <c:v>-44.399999999997817</c:v>
                </c:pt>
                <c:pt idx="2">
                  <c:v>-7.9900000000016007</c:v>
                </c:pt>
                <c:pt idx="3">
                  <c:v>-82.069999999999709</c:v>
                </c:pt>
                <c:pt idx="4">
                  <c:v>4.8699999999989814</c:v>
                </c:pt>
                <c:pt idx="5">
                  <c:v>-30.93999999999869</c:v>
                </c:pt>
                <c:pt idx="6">
                  <c:v>-116.63999999999942</c:v>
                </c:pt>
                <c:pt idx="7">
                  <c:v>-106.18000000000029</c:v>
                </c:pt>
                <c:pt idx="8">
                  <c:v>-90.110000000000582</c:v>
                </c:pt>
                <c:pt idx="9">
                  <c:v>-157.41999999999825</c:v>
                </c:pt>
                <c:pt idx="10">
                  <c:v>-45.609999999996944</c:v>
                </c:pt>
                <c:pt idx="11">
                  <c:v>-60.169999999998254</c:v>
                </c:pt>
                <c:pt idx="12">
                  <c:v>-17.279999999998836</c:v>
                </c:pt>
                <c:pt idx="13">
                  <c:v>-20.390000000003056</c:v>
                </c:pt>
                <c:pt idx="14">
                  <c:v>-117.72999999999956</c:v>
                </c:pt>
                <c:pt idx="15">
                  <c:v>60.990000000001601</c:v>
                </c:pt>
                <c:pt idx="16">
                  <c:v>-89.900000000001455</c:v>
                </c:pt>
                <c:pt idx="17">
                  <c:v>-92.790000000000873</c:v>
                </c:pt>
                <c:pt idx="18">
                  <c:v>-88.780000000002474</c:v>
                </c:pt>
                <c:pt idx="19">
                  <c:v>-86.110000000000582</c:v>
                </c:pt>
                <c:pt idx="20">
                  <c:v>-46.430000000000291</c:v>
                </c:pt>
                <c:pt idx="21">
                  <c:v>-73.30000000000291</c:v>
                </c:pt>
                <c:pt idx="22">
                  <c:v>-79.229999999999563</c:v>
                </c:pt>
                <c:pt idx="23">
                  <c:v>-65.470000000001164</c:v>
                </c:pt>
                <c:pt idx="24">
                  <c:v>-136.68000000000029</c:v>
                </c:pt>
                <c:pt idx="25">
                  <c:v>-36.680000000000291</c:v>
                </c:pt>
                <c:pt idx="26">
                  <c:v>-51.779999999998836</c:v>
                </c:pt>
                <c:pt idx="27">
                  <c:v>-87.630000000001019</c:v>
                </c:pt>
                <c:pt idx="28">
                  <c:v>-35.850000000002183</c:v>
                </c:pt>
                <c:pt idx="29">
                  <c:v>-57.879999999997381</c:v>
                </c:pt>
                <c:pt idx="30">
                  <c:v>-73.180000000000291</c:v>
                </c:pt>
                <c:pt idx="31">
                  <c:v>-11.790000000000873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M A Y O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35044</c:v>
                </c:pt>
                <c:pt idx="3">
                  <c:v>35089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35045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11151</c:v>
                </c:pt>
                <c:pt idx="1">
                  <c:v>12001</c:v>
                </c:pt>
                <c:pt idx="2" formatCode="&quot;$&quot;#,##0.00">
                  <c:v>12001</c:v>
                </c:pt>
                <c:pt idx="3" formatCode="&quot;$&quot;#,##0.00">
                  <c:v>12001</c:v>
                </c:pt>
                <c:pt idx="4" formatCode="&quot;$&quot;#,##0.00">
                  <c:v>11151</c:v>
                </c:pt>
                <c:pt idx="5" formatCode="&quot;$&quot;#,##0.00">
                  <c:v>11151</c:v>
                </c:pt>
                <c:pt idx="6" formatCode="&quot;$&quot;#,##0.00">
                  <c:v>12151</c:v>
                </c:pt>
                <c:pt idx="7" formatCode="&quot;$&quot;#,##0.00">
                  <c:v>9851</c:v>
                </c:pt>
                <c:pt idx="8" formatCode="&quot;$&quot;#,##0.00">
                  <c:v>11151</c:v>
                </c:pt>
                <c:pt idx="9" formatCode="&quot;$&quot;#,##0.00">
                  <c:v>9851</c:v>
                </c:pt>
                <c:pt idx="10" formatCode="&quot;$&quot;#,##0.00">
                  <c:v>12151</c:v>
                </c:pt>
                <c:pt idx="11" formatCode="&quot;$&quot;#,##0.00">
                  <c:v>11151</c:v>
                </c:pt>
                <c:pt idx="12" formatCode="&quot;$&quot;#,##0.00">
                  <c:v>11151</c:v>
                </c:pt>
                <c:pt idx="13" formatCode="&quot;$&quot;#,##0.00">
                  <c:v>12151</c:v>
                </c:pt>
                <c:pt idx="14">
                  <c:v>12001</c:v>
                </c:pt>
                <c:pt idx="16" formatCode="&quot;$&quot;#,##0.00">
                  <c:v>10101</c:v>
                </c:pt>
                <c:pt idx="17" formatCode="&quot;$&quot;#,##0.00">
                  <c:v>11511</c:v>
                </c:pt>
                <c:pt idx="18" formatCode="&quot;$&quot;#,##0.00">
                  <c:v>11151</c:v>
                </c:pt>
                <c:pt idx="19" formatCode="&quot;$&quot;#,##0.00">
                  <c:v>12001</c:v>
                </c:pt>
                <c:pt idx="20" formatCode="&quot;$&quot;#,##0.00">
                  <c:v>9851</c:v>
                </c:pt>
                <c:pt idx="21" formatCode="&quot;$&quot;#,##0.00">
                  <c:v>11151</c:v>
                </c:pt>
                <c:pt idx="22" formatCode="&quot;$&quot;#,##0.00">
                  <c:v>11151</c:v>
                </c:pt>
                <c:pt idx="23" formatCode="&quot;$&quot;#,##0.00">
                  <c:v>10101</c:v>
                </c:pt>
                <c:pt idx="24" formatCode="&quot;$&quot;#,##0.00">
                  <c:v>12161</c:v>
                </c:pt>
                <c:pt idx="25">
                  <c:v>11151</c:v>
                </c:pt>
                <c:pt idx="26" formatCode="&quot;$&quot;#,##0.00">
                  <c:v>11151</c:v>
                </c:pt>
                <c:pt idx="27" formatCode="&quot;$&quot;#,##0.00">
                  <c:v>11151</c:v>
                </c:pt>
                <c:pt idx="28" formatCode="&quot;$&quot;#,##0.00">
                  <c:v>9851</c:v>
                </c:pt>
                <c:pt idx="29">
                  <c:v>12151</c:v>
                </c:pt>
                <c:pt idx="30" formatCode="&quot;$&quot;#,##0.00">
                  <c:v>11151</c:v>
                </c:pt>
                <c:pt idx="31" formatCode="&quot;$&quot;#,##0.00">
                  <c:v>1151</c:v>
                </c:pt>
                <c:pt idx="34" formatCode="&quot;$&quot;#,##0.00">
                  <c:v>104440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33640</c:v>
                </c:pt>
                <c:pt idx="14">
                  <c:v>33640</c:v>
                </c:pt>
                <c:pt idx="16">
                  <c:v>33640</c:v>
                </c:pt>
                <c:pt idx="17">
                  <c:v>33640</c:v>
                </c:pt>
                <c:pt idx="18">
                  <c:v>33640</c:v>
                </c:pt>
                <c:pt idx="19">
                  <c:v>33640</c:v>
                </c:pt>
                <c:pt idx="20">
                  <c:v>33640</c:v>
                </c:pt>
                <c:pt idx="21">
                  <c:v>33640</c:v>
                </c:pt>
                <c:pt idx="22">
                  <c:v>33640</c:v>
                </c:pt>
                <c:pt idx="23">
                  <c:v>33640</c:v>
                </c:pt>
                <c:pt idx="24">
                  <c:v>33640</c:v>
                </c:pt>
                <c:pt idx="25">
                  <c:v>33640</c:v>
                </c:pt>
                <c:pt idx="26">
                  <c:v>33640</c:v>
                </c:pt>
                <c:pt idx="27">
                  <c:v>33640</c:v>
                </c:pt>
                <c:pt idx="28">
                  <c:v>33640</c:v>
                </c:pt>
                <c:pt idx="29">
                  <c:v>33640</c:v>
                </c:pt>
                <c:pt idx="30">
                  <c:v>33640</c:v>
                </c:pt>
                <c:pt idx="31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2034539</c:v>
                </c:pt>
                <c:pt idx="1">
                  <c:v>203540</c:v>
                </c:pt>
                <c:pt idx="2">
                  <c:v>903432</c:v>
                </c:pt>
                <c:pt idx="3">
                  <c:v>905937</c:v>
                </c:pt>
                <c:pt idx="4">
                  <c:v>2035234</c:v>
                </c:pt>
                <c:pt idx="5">
                  <c:v>2035233</c:v>
                </c:pt>
                <c:pt idx="6">
                  <c:v>2035329</c:v>
                </c:pt>
                <c:pt idx="7">
                  <c:v>2035370</c:v>
                </c:pt>
                <c:pt idx="8">
                  <c:v>910052</c:v>
                </c:pt>
                <c:pt idx="9">
                  <c:v>2037122</c:v>
                </c:pt>
                <c:pt idx="10">
                  <c:v>2037123</c:v>
                </c:pt>
                <c:pt idx="11">
                  <c:v>2037125</c:v>
                </c:pt>
                <c:pt idx="12">
                  <c:v>914168</c:v>
                </c:pt>
                <c:pt idx="13">
                  <c:v>919903</c:v>
                </c:pt>
                <c:pt idx="14">
                  <c:v>915976</c:v>
                </c:pt>
                <c:pt idx="15">
                  <c:v>0</c:v>
                </c:pt>
                <c:pt idx="16">
                  <c:v>2037124</c:v>
                </c:pt>
                <c:pt idx="17">
                  <c:v>2037945</c:v>
                </c:pt>
                <c:pt idx="18">
                  <c:v>2039914</c:v>
                </c:pt>
                <c:pt idx="19">
                  <c:v>2039915</c:v>
                </c:pt>
                <c:pt idx="20">
                  <c:v>925770</c:v>
                </c:pt>
                <c:pt idx="21">
                  <c:v>927952</c:v>
                </c:pt>
                <c:pt idx="22">
                  <c:v>2040333</c:v>
                </c:pt>
                <c:pt idx="23">
                  <c:v>929667</c:v>
                </c:pt>
                <c:pt idx="24">
                  <c:v>2041114</c:v>
                </c:pt>
                <c:pt idx="25">
                  <c:v>2042656</c:v>
                </c:pt>
                <c:pt idx="26">
                  <c:v>2042657</c:v>
                </c:pt>
                <c:pt idx="27">
                  <c:v>934165</c:v>
                </c:pt>
                <c:pt idx="28">
                  <c:v>936161</c:v>
                </c:pt>
                <c:pt idx="29">
                  <c:v>2043087</c:v>
                </c:pt>
                <c:pt idx="30">
                  <c:v>2043406</c:v>
                </c:pt>
                <c:pt idx="31">
                  <c:v>939702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15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869526.93344000005</c:v>
                </c:pt>
                <c:pt idx="1">
                  <c:v>856015.56840000011</c:v>
                </c:pt>
                <c:pt idx="2">
                  <c:v>851045.88870000001</c:v>
                </c:pt>
                <c:pt idx="3">
                  <c:v>834316.23330000008</c:v>
                </c:pt>
                <c:pt idx="4">
                  <c:v>868038.42090000003</c:v>
                </c:pt>
                <c:pt idx="5">
                  <c:v>864460.8378000001</c:v>
                </c:pt>
                <c:pt idx="6">
                  <c:v>844184.49344999995</c:v>
                </c:pt>
                <c:pt idx="7">
                  <c:v>853513.18800000008</c:v>
                </c:pt>
                <c:pt idx="8">
                  <c:v>842404.3345</c:v>
                </c:pt>
                <c:pt idx="9">
                  <c:v>862426.28220000002</c:v>
                </c:pt>
                <c:pt idx="10">
                  <c:v>870306.21300000011</c:v>
                </c:pt>
                <c:pt idx="11">
                  <c:v>979369.54240000003</c:v>
                </c:pt>
                <c:pt idx="12">
                  <c:v>835038.73440000007</c:v>
                </c:pt>
                <c:pt idx="13">
                  <c:v>811286.28559999994</c:v>
                </c:pt>
                <c:pt idx="14">
                  <c:v>871329.32250000001</c:v>
                </c:pt>
                <c:pt idx="15">
                  <c:v>841657.74</c:v>
                </c:pt>
                <c:pt idx="16">
                  <c:v>887801.24160000007</c:v>
                </c:pt>
                <c:pt idx="17">
                  <c:v>840575.25419999985</c:v>
                </c:pt>
                <c:pt idx="18">
                  <c:v>750624.9817</c:v>
                </c:pt>
                <c:pt idx="19">
                  <c:v>746334.07619999989</c:v>
                </c:pt>
                <c:pt idx="20">
                  <c:v>729080.68648999999</c:v>
                </c:pt>
                <c:pt idx="21">
                  <c:v>717816.85450000002</c:v>
                </c:pt>
                <c:pt idx="22">
                  <c:v>738537.94189999998</c:v>
                </c:pt>
                <c:pt idx="23">
                  <c:v>714802.49679999996</c:v>
                </c:pt>
                <c:pt idx="24">
                  <c:v>721693.1925</c:v>
                </c:pt>
                <c:pt idx="25">
                  <c:v>779145.29729999998</c:v>
                </c:pt>
                <c:pt idx="26">
                  <c:v>790389.71550000005</c:v>
                </c:pt>
                <c:pt idx="27">
                  <c:v>750614.47551999998</c:v>
                </c:pt>
                <c:pt idx="28">
                  <c:v>771907.34620999999</c:v>
                </c:pt>
                <c:pt idx="29">
                  <c:v>811915.65574999992</c:v>
                </c:pt>
                <c:pt idx="30">
                  <c:v>825669.89009999996</c:v>
                </c:pt>
                <c:pt idx="31">
                  <c:v>795210.7644000001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869526.93344000005</c:v>
                </c:pt>
                <c:pt idx="1">
                  <c:v>901656.56840000011</c:v>
                </c:pt>
                <c:pt idx="2">
                  <c:v>896686.88870000001</c:v>
                </c:pt>
                <c:pt idx="3">
                  <c:v>879957.23330000008</c:v>
                </c:pt>
                <c:pt idx="4">
                  <c:v>912829.42090000003</c:v>
                </c:pt>
                <c:pt idx="5">
                  <c:v>909251.8378000001</c:v>
                </c:pt>
                <c:pt idx="6">
                  <c:v>889975.49344999995</c:v>
                </c:pt>
                <c:pt idx="7">
                  <c:v>897004.18800000008</c:v>
                </c:pt>
                <c:pt idx="8">
                  <c:v>887195.3345</c:v>
                </c:pt>
                <c:pt idx="9">
                  <c:v>905917.28220000002</c:v>
                </c:pt>
                <c:pt idx="10">
                  <c:v>916097.21300000011</c:v>
                </c:pt>
                <c:pt idx="11">
                  <c:v>979369.54240000003</c:v>
                </c:pt>
                <c:pt idx="12">
                  <c:v>879829.73440000007</c:v>
                </c:pt>
                <c:pt idx="13">
                  <c:v>857077.28559999994</c:v>
                </c:pt>
                <c:pt idx="14">
                  <c:v>916970.32250000001</c:v>
                </c:pt>
                <c:pt idx="15">
                  <c:v>841657.74</c:v>
                </c:pt>
                <c:pt idx="16">
                  <c:v>931542.24160000007</c:v>
                </c:pt>
                <c:pt idx="17">
                  <c:v>885726.25419999985</c:v>
                </c:pt>
                <c:pt idx="18">
                  <c:v>795415.9817</c:v>
                </c:pt>
                <c:pt idx="19">
                  <c:v>791975.07619999989</c:v>
                </c:pt>
                <c:pt idx="20">
                  <c:v>772571.68648999999</c:v>
                </c:pt>
                <c:pt idx="21">
                  <c:v>762607.85450000002</c:v>
                </c:pt>
                <c:pt idx="22">
                  <c:v>783328.94189999998</c:v>
                </c:pt>
                <c:pt idx="23">
                  <c:v>758543.49679999996</c:v>
                </c:pt>
                <c:pt idx="24">
                  <c:v>767494.1925</c:v>
                </c:pt>
                <c:pt idx="25">
                  <c:v>823936.29729999998</c:v>
                </c:pt>
                <c:pt idx="26">
                  <c:v>835180.71550000005</c:v>
                </c:pt>
                <c:pt idx="27">
                  <c:v>795405.47551999998</c:v>
                </c:pt>
                <c:pt idx="28">
                  <c:v>815398.34620999999</c:v>
                </c:pt>
                <c:pt idx="29">
                  <c:v>857706.65574999992</c:v>
                </c:pt>
                <c:pt idx="30">
                  <c:v>870460.89009999996</c:v>
                </c:pt>
                <c:pt idx="31">
                  <c:v>830001.7644000001</c:v>
                </c:pt>
                <c:pt idx="32">
                  <c:v>0</c:v>
                </c:pt>
                <c:pt idx="33">
                  <c:v>0</c:v>
                </c:pt>
                <c:pt idx="34">
                  <c:v>104440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45.61022085468651</c:v>
                </c:pt>
                <c:pt idx="1">
                  <c:v>48.087767953037108</c:v>
                </c:pt>
                <c:pt idx="2">
                  <c:v>48.112508423863432</c:v>
                </c:pt>
                <c:pt idx="3">
                  <c:v>47.049265290016685</c:v>
                </c:pt>
                <c:pt idx="4">
                  <c:v>48.324368206119779</c:v>
                </c:pt>
                <c:pt idx="5">
                  <c:v>48.232077797110065</c:v>
                </c:pt>
                <c:pt idx="6">
                  <c:v>48.245039217648618</c:v>
                </c:pt>
                <c:pt idx="7">
                  <c:v>48.245271802138355</c:v>
                </c:pt>
                <c:pt idx="8">
                  <c:v>48.178280913654419</c:v>
                </c:pt>
                <c:pt idx="9">
                  <c:v>48.277481358714191</c:v>
                </c:pt>
                <c:pt idx="10">
                  <c:v>48.377069431682571</c:v>
                </c:pt>
                <c:pt idx="11">
                  <c:v>54.65353815933392</c:v>
                </c:pt>
                <c:pt idx="12">
                  <c:v>48.211644839369363</c:v>
                </c:pt>
                <c:pt idx="13">
                  <c:v>46.696826296932336</c:v>
                </c:pt>
                <c:pt idx="14">
                  <c:v>49.087900297481241</c:v>
                </c:pt>
                <c:pt idx="15">
                  <c:v>45.502391739200952</c:v>
                </c:pt>
                <c:pt idx="16">
                  <c:v>49.222621779292027</c:v>
                </c:pt>
                <c:pt idx="17">
                  <c:v>46.599267344651786</c:v>
                </c:pt>
                <c:pt idx="18">
                  <c:v>42.11915242865993</c:v>
                </c:pt>
                <c:pt idx="19">
                  <c:v>42.178159131699047</c:v>
                </c:pt>
                <c:pt idx="20">
                  <c:v>41.398424203174741</c:v>
                </c:pt>
                <c:pt idx="21">
                  <c:v>40.406104962598505</c:v>
                </c:pt>
                <c:pt idx="22">
                  <c:v>42.003128369429419</c:v>
                </c:pt>
                <c:pt idx="23">
                  <c:v>40.02625153618645</c:v>
                </c:pt>
                <c:pt idx="24">
                  <c:v>40.858280186112871</c:v>
                </c:pt>
                <c:pt idx="25">
                  <c:v>43.838291094924685</c:v>
                </c:pt>
                <c:pt idx="26">
                  <c:v>43.90586480816134</c:v>
                </c:pt>
                <c:pt idx="27">
                  <c:v>42.362043883363093</c:v>
                </c:pt>
                <c:pt idx="28">
                  <c:v>43.277562989117683</c:v>
                </c:pt>
                <c:pt idx="29">
                  <c:v>45.367298008718784</c:v>
                </c:pt>
                <c:pt idx="30">
                  <c:v>46.59724049314395</c:v>
                </c:pt>
                <c:pt idx="31">
                  <c:v>45.464806844714964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107</xdr:row>
      <xdr:rowOff>76200</xdr:rowOff>
    </xdr:from>
    <xdr:to>
      <xdr:col>15</xdr:col>
      <xdr:colOff>9525</xdr:colOff>
      <xdr:row>107</xdr:row>
      <xdr:rowOff>142875</xdr:rowOff>
    </xdr:to>
    <xdr:cxnSp macro="">
      <xdr:nvCxnSpPr>
        <xdr:cNvPr id="3" name="Conector recto 2"/>
        <xdr:cNvCxnSpPr/>
      </xdr:nvCxnSpPr>
      <xdr:spPr>
        <a:xfrm>
          <a:off x="13525500" y="17764125"/>
          <a:ext cx="1085850" cy="666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9"/>
  <sheetViews>
    <sheetView tabSelected="1" zoomScaleNormal="100" workbookViewId="0">
      <pane xSplit="1" ySplit="2" topLeftCell="G22" activePane="bottomRight" state="frozen"/>
      <selection pane="topRight" activeCell="B1" sqref="B1"/>
      <selection pane="bottomLeft" activeCell="A3" sqref="A3"/>
      <selection pane="bottomRight" activeCell="J36" sqref="J36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09" customWidth="1"/>
    <col min="13" max="13" width="14.140625" bestFit="1" customWidth="1"/>
    <col min="14" max="14" width="16" style="183" customWidth="1"/>
    <col min="15" max="15" width="16.28515625" style="554" customWidth="1"/>
    <col min="16" max="16" width="12.140625" style="95" customWidth="1"/>
    <col min="17" max="17" width="18.28515625" style="569" bestFit="1" customWidth="1"/>
    <col min="18" max="18" width="15.42578125" style="153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826" t="s">
        <v>232</v>
      </c>
      <c r="C1" s="827"/>
      <c r="D1" s="828"/>
      <c r="E1" s="829"/>
      <c r="F1" s="830"/>
      <c r="G1" s="831"/>
      <c r="H1" s="830"/>
      <c r="I1" s="832"/>
      <c r="J1" s="833"/>
      <c r="K1" s="1164" t="s">
        <v>26</v>
      </c>
      <c r="L1" s="603"/>
      <c r="M1" s="1166" t="s">
        <v>27</v>
      </c>
      <c r="N1" s="439"/>
      <c r="P1" s="97" t="s">
        <v>38</v>
      </c>
      <c r="Q1" s="1162" t="s">
        <v>28</v>
      </c>
      <c r="R1" s="149"/>
    </row>
    <row r="2" spans="1:29" ht="17.25" thickTop="1" thickBot="1" x14ac:dyDescent="0.3">
      <c r="A2" s="34"/>
      <c r="B2" s="517" t="s">
        <v>0</v>
      </c>
      <c r="C2" s="359" t="s">
        <v>10</v>
      </c>
      <c r="D2" s="25"/>
      <c r="E2" s="663" t="s">
        <v>25</v>
      </c>
      <c r="F2" s="54" t="s">
        <v>3</v>
      </c>
      <c r="G2" s="67" t="s">
        <v>8</v>
      </c>
      <c r="H2" s="506" t="s">
        <v>5</v>
      </c>
      <c r="I2" s="358" t="s">
        <v>6</v>
      </c>
      <c r="K2" s="1165"/>
      <c r="L2" s="604" t="s">
        <v>29</v>
      </c>
      <c r="M2" s="1167"/>
      <c r="N2" s="440" t="s">
        <v>29</v>
      </c>
      <c r="O2" s="555" t="s">
        <v>30</v>
      </c>
      <c r="P2" s="98" t="s">
        <v>39</v>
      </c>
      <c r="Q2" s="1163"/>
      <c r="R2" s="150" t="s">
        <v>29</v>
      </c>
    </row>
    <row r="3" spans="1:29" s="157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64">
        <f>PIERNA!E3</f>
        <v>0</v>
      </c>
      <c r="F3" s="657">
        <f>PIERNA!F3</f>
        <v>0</v>
      </c>
      <c r="G3" s="100">
        <f>PIERNA!G3</f>
        <v>0</v>
      </c>
      <c r="H3" s="507">
        <f>PIERNA!H3</f>
        <v>0</v>
      </c>
      <c r="I3" s="105">
        <f>PIERNA!I3</f>
        <v>0</v>
      </c>
      <c r="J3" s="463"/>
      <c r="K3" s="291"/>
      <c r="L3" s="605"/>
      <c r="M3" s="475"/>
      <c r="N3" s="476"/>
      <c r="O3" s="268"/>
      <c r="P3" s="289"/>
      <c r="Q3" s="322"/>
      <c r="R3" s="480"/>
      <c r="S3" s="65">
        <f t="shared" ref="S3:S31" si="0">Q3+M3+K3+P3</f>
        <v>0</v>
      </c>
      <c r="T3" s="65" t="e">
        <f>S3/H3</f>
        <v>#DIV/0!</v>
      </c>
    </row>
    <row r="4" spans="1:29" s="157" customFormat="1" ht="15.75" x14ac:dyDescent="0.25">
      <c r="A4" s="100">
        <v>1</v>
      </c>
      <c r="B4" s="553" t="str">
        <f>PIERNA!B4</f>
        <v>SEABOARD FOODS</v>
      </c>
      <c r="C4" s="242" t="str">
        <f>PIERNA!C4</f>
        <v>Seaboard</v>
      </c>
      <c r="D4" s="244" t="str">
        <f>PIERNA!D4</f>
        <v>PED. 81531128</v>
      </c>
      <c r="E4" s="248">
        <f>PIERNA!E4</f>
        <v>44684</v>
      </c>
      <c r="F4" s="657">
        <f>PIERNA!F4</f>
        <v>18989.62</v>
      </c>
      <c r="G4" s="100">
        <f>PIERNA!G4</f>
        <v>21</v>
      </c>
      <c r="H4" s="507">
        <f>PIERNA!H4</f>
        <v>19064.3</v>
      </c>
      <c r="I4" s="105">
        <f>PIERNA!I4</f>
        <v>-74.680000000000291</v>
      </c>
      <c r="J4" s="502" t="s">
        <v>252</v>
      </c>
      <c r="K4" s="541">
        <v>11151</v>
      </c>
      <c r="L4" s="542" t="s">
        <v>306</v>
      </c>
      <c r="M4" s="541">
        <v>33640</v>
      </c>
      <c r="N4" s="551" t="s">
        <v>307</v>
      </c>
      <c r="O4" s="558">
        <v>2034539</v>
      </c>
      <c r="P4" s="544"/>
      <c r="Q4" s="851">
        <f>42975.68*20.233</f>
        <v>869526.93344000005</v>
      </c>
      <c r="R4" s="527" t="s">
        <v>292</v>
      </c>
      <c r="S4" s="65">
        <f>Q4</f>
        <v>869526.93344000005</v>
      </c>
      <c r="T4" s="65">
        <f>S4/H4</f>
        <v>45.61022085468651</v>
      </c>
      <c r="U4" s="225"/>
    </row>
    <row r="5" spans="1:29" s="157" customFormat="1" ht="15.75" x14ac:dyDescent="0.25">
      <c r="A5" s="100">
        <v>2</v>
      </c>
      <c r="B5" s="552" t="str">
        <f>PIERNA!B5</f>
        <v>SEABOARD FOODS</v>
      </c>
      <c r="C5" s="242" t="str">
        <f>PIERNA!C5</f>
        <v>Seaboard</v>
      </c>
      <c r="D5" s="244" t="str">
        <f>PIERNA!D5</f>
        <v>PED. 81531129</v>
      </c>
      <c r="E5" s="134">
        <f>PIERNA!E5</f>
        <v>44684</v>
      </c>
      <c r="F5" s="657">
        <f>PIERNA!F5</f>
        <v>18744.900000000001</v>
      </c>
      <c r="G5" s="100">
        <f>PIERNA!G5</f>
        <v>21</v>
      </c>
      <c r="H5" s="507">
        <f>PIERNA!H5</f>
        <v>18789.3</v>
      </c>
      <c r="I5" s="105">
        <f>PIERNA!I5</f>
        <v>-44.399999999997817</v>
      </c>
      <c r="J5" s="502" t="s">
        <v>253</v>
      </c>
      <c r="K5" s="547">
        <v>12001</v>
      </c>
      <c r="L5" s="542" t="s">
        <v>306</v>
      </c>
      <c r="M5" s="541">
        <v>33640</v>
      </c>
      <c r="N5" s="551" t="s">
        <v>307</v>
      </c>
      <c r="O5" s="558">
        <v>203540</v>
      </c>
      <c r="P5" s="544"/>
      <c r="Q5" s="915">
        <f>42356.04*20.21</f>
        <v>856015.56840000011</v>
      </c>
      <c r="R5" s="1025" t="s">
        <v>290</v>
      </c>
      <c r="S5" s="65">
        <f>Q5+M5+K5+P5</f>
        <v>901656.56840000011</v>
      </c>
      <c r="T5" s="65">
        <f>S5/H5+0.1</f>
        <v>48.087767953037108</v>
      </c>
      <c r="U5" s="200"/>
    </row>
    <row r="6" spans="1:29" s="157" customFormat="1" ht="16.5" x14ac:dyDescent="0.25">
      <c r="A6" s="100">
        <v>3</v>
      </c>
      <c r="B6" s="798" t="str">
        <f>PIERNA!B6</f>
        <v>TYSON FRESH MEATS</v>
      </c>
      <c r="C6" s="242" t="str">
        <f>PIERNA!C6</f>
        <v xml:space="preserve">I B P </v>
      </c>
      <c r="D6" s="102" t="str">
        <f>PIERNA!D6</f>
        <v>PED. 81605937</v>
      </c>
      <c r="E6" s="134">
        <f>PIERNA!E6</f>
        <v>44685</v>
      </c>
      <c r="F6" s="657">
        <f>PIERNA!F6</f>
        <v>18668.12</v>
      </c>
      <c r="G6" s="100">
        <f>PIERNA!G6</f>
        <v>20</v>
      </c>
      <c r="H6" s="507">
        <f>PIERNA!H6</f>
        <v>18676.11</v>
      </c>
      <c r="I6" s="105">
        <f>PIERNA!I6</f>
        <v>-7.9900000000016007</v>
      </c>
      <c r="J6" s="502">
        <v>35044</v>
      </c>
      <c r="K6" s="541">
        <v>12001</v>
      </c>
      <c r="L6" s="542" t="s">
        <v>307</v>
      </c>
      <c r="M6" s="541">
        <v>33640</v>
      </c>
      <c r="N6" s="551" t="s">
        <v>308</v>
      </c>
      <c r="O6" s="948">
        <v>903432</v>
      </c>
      <c r="P6" s="544"/>
      <c r="Q6" s="852">
        <f>41894.55*20.314</f>
        <v>851045.88870000001</v>
      </c>
      <c r="R6" s="590" t="s">
        <v>296</v>
      </c>
      <c r="S6" s="65">
        <f t="shared" si="0"/>
        <v>896686.88870000001</v>
      </c>
      <c r="T6" s="65">
        <f>S6/H6+0.1</f>
        <v>48.112508423863432</v>
      </c>
      <c r="U6" s="225"/>
    </row>
    <row r="7" spans="1:29" s="157" customFormat="1" ht="15.75" customHeight="1" x14ac:dyDescent="0.25">
      <c r="A7" s="100">
        <v>4</v>
      </c>
      <c r="B7" s="323" t="str">
        <f>PIERNA!B7</f>
        <v>TYSON FRESH MEATS</v>
      </c>
      <c r="C7" s="242" t="str">
        <f>PIERNA!C7</f>
        <v xml:space="preserve">I B P </v>
      </c>
      <c r="D7" s="102" t="str">
        <f>PIERNA!D7</f>
        <v>PED. 81642490</v>
      </c>
      <c r="E7" s="134">
        <f>PIERNA!E7</f>
        <v>44686</v>
      </c>
      <c r="F7" s="657">
        <f>PIERNA!F7</f>
        <v>18620.82</v>
      </c>
      <c r="G7" s="100">
        <f>PIERNA!G7</f>
        <v>20</v>
      </c>
      <c r="H7" s="507">
        <f>PIERNA!H7</f>
        <v>18702.89</v>
      </c>
      <c r="I7" s="105">
        <f>PIERNA!I7</f>
        <v>-82.069999999999709</v>
      </c>
      <c r="J7" s="502">
        <v>35089</v>
      </c>
      <c r="K7" s="541">
        <v>12001</v>
      </c>
      <c r="L7" s="542" t="s">
        <v>308</v>
      </c>
      <c r="M7" s="541">
        <v>33640</v>
      </c>
      <c r="N7" s="551" t="s">
        <v>308</v>
      </c>
      <c r="O7" s="948">
        <v>905937</v>
      </c>
      <c r="P7" s="544"/>
      <c r="Q7" s="547">
        <f>41446.41*20.13</f>
        <v>834316.23330000008</v>
      </c>
      <c r="R7" s="527" t="s">
        <v>304</v>
      </c>
      <c r="S7" s="65">
        <f t="shared" si="0"/>
        <v>879957.23330000008</v>
      </c>
      <c r="T7" s="65">
        <f>S7/H7</f>
        <v>47.049265290016685</v>
      </c>
      <c r="U7" s="200"/>
      <c r="W7" s="73"/>
      <c r="X7" s="73"/>
      <c r="Y7" s="181"/>
      <c r="Z7" s="182">
        <v>5.0000000000000001E-3</v>
      </c>
      <c r="AA7" s="181">
        <f t="shared" ref="AA7:AA22" si="1">Y7*Z7</f>
        <v>0</v>
      </c>
      <c r="AB7" s="181">
        <f t="shared" ref="AB7:AB22" si="2">AA7*16%</f>
        <v>0</v>
      </c>
      <c r="AC7" s="181">
        <f t="shared" ref="AC7:AC22" si="3">AA7+AB7</f>
        <v>0</v>
      </c>
    </row>
    <row r="8" spans="1:29" s="157" customFormat="1" ht="16.5" x14ac:dyDescent="0.25">
      <c r="A8" s="100">
        <v>5</v>
      </c>
      <c r="B8" s="250" t="str">
        <f>PIERNA!B8</f>
        <v>SEBOARD FOODS</v>
      </c>
      <c r="C8" s="250" t="str">
        <f>PIERNA!C8</f>
        <v>Seaboard</v>
      </c>
      <c r="D8" s="102" t="str">
        <f>PIERNA!D8</f>
        <v>PED. 81678103</v>
      </c>
      <c r="E8" s="134">
        <f>PIERNA!E8</f>
        <v>44686</v>
      </c>
      <c r="F8" s="657">
        <f>PIERNA!F8</f>
        <v>18933.669999999998</v>
      </c>
      <c r="G8" s="100">
        <f>PIERNA!G8</f>
        <v>21</v>
      </c>
      <c r="H8" s="507">
        <f>PIERNA!H8</f>
        <v>18928.8</v>
      </c>
      <c r="I8" s="105">
        <f>PIERNA!I8</f>
        <v>4.8699999999989814</v>
      </c>
      <c r="J8" s="502" t="s">
        <v>256</v>
      </c>
      <c r="K8" s="541">
        <v>11151</v>
      </c>
      <c r="L8" s="542" t="s">
        <v>303</v>
      </c>
      <c r="M8" s="541">
        <v>33640</v>
      </c>
      <c r="N8" s="543" t="s">
        <v>309</v>
      </c>
      <c r="O8" s="948">
        <v>2035234</v>
      </c>
      <c r="P8" s="544"/>
      <c r="Q8" s="547">
        <f>42613.57*20.37</f>
        <v>868038.42090000003</v>
      </c>
      <c r="R8" s="551" t="s">
        <v>301</v>
      </c>
      <c r="S8" s="65">
        <f t="shared" si="0"/>
        <v>912829.42090000003</v>
      </c>
      <c r="T8" s="65">
        <f t="shared" ref="T8:T41" si="4">S8/H8+0.1</f>
        <v>48.324368206119779</v>
      </c>
      <c r="U8" s="225"/>
      <c r="W8" s="73"/>
      <c r="X8" s="73"/>
      <c r="Y8" s="181"/>
      <c r="Z8" s="182">
        <v>5.0000000000000001E-3</v>
      </c>
      <c r="AA8" s="181">
        <f t="shared" si="1"/>
        <v>0</v>
      </c>
      <c r="AB8" s="181">
        <f t="shared" si="2"/>
        <v>0</v>
      </c>
      <c r="AC8" s="181">
        <f t="shared" si="3"/>
        <v>0</v>
      </c>
    </row>
    <row r="9" spans="1:29" s="157" customFormat="1" ht="15.75" x14ac:dyDescent="0.25">
      <c r="A9" s="100">
        <v>6</v>
      </c>
      <c r="B9" s="552" t="str">
        <f>PIERNA!B9</f>
        <v>SEABOARD FOODS</v>
      </c>
      <c r="C9" s="242" t="str">
        <f>PIERNA!C9</f>
        <v>Seaboard</v>
      </c>
      <c r="D9" s="102" t="str">
        <f>PIERNA!D9</f>
        <v>PED. 81742875</v>
      </c>
      <c r="E9" s="134">
        <f>PIERNA!E9</f>
        <v>44688</v>
      </c>
      <c r="F9" s="657">
        <f>PIERNA!F9</f>
        <v>18820.66</v>
      </c>
      <c r="G9" s="100">
        <f>PIERNA!G9</f>
        <v>21</v>
      </c>
      <c r="H9" s="507">
        <f>PIERNA!H9</f>
        <v>18851.599999999999</v>
      </c>
      <c r="I9" s="105">
        <f>PIERNA!I9</f>
        <v>-30.93999999999869</v>
      </c>
      <c r="J9" s="502" t="s">
        <v>257</v>
      </c>
      <c r="K9" s="541">
        <v>11151</v>
      </c>
      <c r="L9" s="542" t="s">
        <v>309</v>
      </c>
      <c r="M9" s="541">
        <v>33640</v>
      </c>
      <c r="N9" s="543" t="s">
        <v>310</v>
      </c>
      <c r="O9" s="546">
        <v>2035233</v>
      </c>
      <c r="P9" s="544"/>
      <c r="Q9" s="851">
        <f>42437.94*20.37</f>
        <v>864460.8378000001</v>
      </c>
      <c r="R9" s="545" t="s">
        <v>301</v>
      </c>
      <c r="S9" s="65">
        <f>Q9+M9+K9</f>
        <v>909251.8378000001</v>
      </c>
      <c r="T9" s="65">
        <f>S9/H9</f>
        <v>48.232077797110065</v>
      </c>
      <c r="U9" s="225"/>
      <c r="W9" s="73"/>
      <c r="X9" s="73"/>
      <c r="Y9" s="181"/>
      <c r="Z9" s="182">
        <v>5.0000000000000001E-3</v>
      </c>
      <c r="AA9" s="181">
        <f t="shared" si="1"/>
        <v>0</v>
      </c>
      <c r="AB9" s="181">
        <f t="shared" si="2"/>
        <v>0</v>
      </c>
      <c r="AC9" s="181">
        <f t="shared" si="3"/>
        <v>0</v>
      </c>
    </row>
    <row r="10" spans="1:29" s="157" customFormat="1" ht="19.5" customHeight="1" x14ac:dyDescent="0.25">
      <c r="A10" s="100">
        <v>7</v>
      </c>
      <c r="B10" s="242" t="str">
        <f>PIERNA!B10</f>
        <v>SEABOARD FOODS</v>
      </c>
      <c r="C10" s="242" t="str">
        <f>PIERNA!C10</f>
        <v>Seboard</v>
      </c>
      <c r="D10" s="102" t="str">
        <f>PIERNA!D10</f>
        <v>PED. 81744846</v>
      </c>
      <c r="E10" s="134">
        <f>PIERNA!E10</f>
        <v>44688</v>
      </c>
      <c r="F10" s="657">
        <f>PIERNA!F10</f>
        <v>18368.66</v>
      </c>
      <c r="G10" s="100">
        <f>PIERNA!G10</f>
        <v>21</v>
      </c>
      <c r="H10" s="507">
        <f>PIERNA!H10</f>
        <v>18485.3</v>
      </c>
      <c r="I10" s="105">
        <f>PIERNA!I10</f>
        <v>-116.63999999999942</v>
      </c>
      <c r="J10" s="812" t="s">
        <v>258</v>
      </c>
      <c r="K10" s="541">
        <v>12151</v>
      </c>
      <c r="L10" s="542" t="s">
        <v>309</v>
      </c>
      <c r="M10" s="541">
        <v>33640</v>
      </c>
      <c r="N10" s="543" t="s">
        <v>297</v>
      </c>
      <c r="O10" s="546">
        <v>2035329</v>
      </c>
      <c r="P10" s="544"/>
      <c r="Q10" s="915">
        <f>41169.69*20.505</f>
        <v>844184.49344999995</v>
      </c>
      <c r="R10" s="916" t="s">
        <v>291</v>
      </c>
      <c r="S10" s="65">
        <f>Q10+M10+K10</f>
        <v>889975.49344999995</v>
      </c>
      <c r="T10" s="65">
        <f>S10/H10+0.1</f>
        <v>48.245039217648618</v>
      </c>
      <c r="U10" s="225"/>
      <c r="W10" s="73"/>
      <c r="X10" s="73"/>
      <c r="Y10" s="181"/>
      <c r="Z10" s="182">
        <v>5.0000000000000001E-3</v>
      </c>
      <c r="AA10" s="181">
        <f t="shared" si="1"/>
        <v>0</v>
      </c>
      <c r="AB10" s="181">
        <f t="shared" si="2"/>
        <v>0</v>
      </c>
      <c r="AC10" s="181">
        <f t="shared" si="3"/>
        <v>0</v>
      </c>
    </row>
    <row r="11" spans="1:29" s="157" customFormat="1" ht="17.25" customHeight="1" x14ac:dyDescent="0.25">
      <c r="A11" s="100">
        <v>8</v>
      </c>
      <c r="B11" s="250" t="str">
        <f>PIERNA!B11</f>
        <v>SEABOARD FOODS</v>
      </c>
      <c r="C11" s="242" t="str">
        <f>PIERNA!C11</f>
        <v>Seaboard</v>
      </c>
      <c r="D11" s="102" t="str">
        <f>PIERNA!D11</f>
        <v>PED. 81743574</v>
      </c>
      <c r="E11" s="134">
        <f>PIERNA!E11</f>
        <v>44688</v>
      </c>
      <c r="F11" s="657">
        <f>PIERNA!F11</f>
        <v>18525.02</v>
      </c>
      <c r="G11" s="100">
        <f>PIERNA!G11</f>
        <v>21</v>
      </c>
      <c r="H11" s="507">
        <f>PIERNA!H11</f>
        <v>18631.2</v>
      </c>
      <c r="I11" s="105">
        <f>PIERNA!I11</f>
        <v>-106.18000000000029</v>
      </c>
      <c r="J11" s="502" t="s">
        <v>259</v>
      </c>
      <c r="K11" s="541">
        <v>9851</v>
      </c>
      <c r="L11" s="542" t="s">
        <v>309</v>
      </c>
      <c r="M11" s="541">
        <v>33640</v>
      </c>
      <c r="N11" s="543" t="s">
        <v>297</v>
      </c>
      <c r="O11" s="557">
        <v>2035370</v>
      </c>
      <c r="P11" s="544"/>
      <c r="Q11" s="915">
        <f>41941.68*20.35</f>
        <v>853513.18800000008</v>
      </c>
      <c r="R11" s="916" t="s">
        <v>293</v>
      </c>
      <c r="S11" s="65">
        <f t="shared" si="0"/>
        <v>897004.18800000008</v>
      </c>
      <c r="T11" s="65">
        <f>S11/H11+0.1</f>
        <v>48.245271802138355</v>
      </c>
      <c r="U11" s="225"/>
      <c r="W11" s="73"/>
      <c r="X11" s="73"/>
      <c r="Y11" s="181"/>
      <c r="Z11" s="182">
        <v>5.0000000000000001E-3</v>
      </c>
      <c r="AA11" s="181">
        <f t="shared" si="1"/>
        <v>0</v>
      </c>
      <c r="AB11" s="181">
        <f t="shared" si="2"/>
        <v>0</v>
      </c>
      <c r="AC11" s="181">
        <f t="shared" si="3"/>
        <v>0</v>
      </c>
    </row>
    <row r="12" spans="1:29" s="157" customFormat="1" x14ac:dyDescent="0.25">
      <c r="A12" s="100">
        <v>9</v>
      </c>
      <c r="B12" s="242" t="str">
        <f>PIERNA!B12</f>
        <v>TYSON FRESH MEATS</v>
      </c>
      <c r="C12" s="242" t="str">
        <f>PIERNA!C12</f>
        <v>I B P</v>
      </c>
      <c r="D12" s="102" t="str">
        <f>PIERNA!D12</f>
        <v xml:space="preserve"> PED. 81744843</v>
      </c>
      <c r="E12" s="134">
        <f>PIERNA!E12</f>
        <v>44688</v>
      </c>
      <c r="F12" s="657">
        <f>PIERNA!F12</f>
        <v>18324.73</v>
      </c>
      <c r="G12" s="100">
        <f>PIERNA!G12</f>
        <v>20</v>
      </c>
      <c r="H12" s="507">
        <f>PIERNA!H12</f>
        <v>18414.84</v>
      </c>
      <c r="I12" s="105">
        <f>PIERNA!I12</f>
        <v>-90.110000000000582</v>
      </c>
      <c r="J12" s="502">
        <v>35045</v>
      </c>
      <c r="K12" s="541">
        <v>11151</v>
      </c>
      <c r="L12" s="542" t="s">
        <v>309</v>
      </c>
      <c r="M12" s="541">
        <v>33640</v>
      </c>
      <c r="N12" s="543" t="s">
        <v>310</v>
      </c>
      <c r="O12" s="557">
        <v>910052</v>
      </c>
      <c r="P12" s="544"/>
      <c r="Q12" s="851">
        <f>41365.3*20.365</f>
        <v>842404.3345</v>
      </c>
      <c r="R12" s="545" t="s">
        <v>295</v>
      </c>
      <c r="S12" s="65">
        <f>Q12+M12+K12</f>
        <v>887195.3345</v>
      </c>
      <c r="T12" s="65">
        <f t="shared" ref="T12:T18" si="5">S12/H12</f>
        <v>48.178280913654419</v>
      </c>
      <c r="U12" s="226"/>
      <c r="W12" s="73"/>
      <c r="X12" s="73"/>
      <c r="Y12" s="181"/>
      <c r="Z12" s="182">
        <v>5.0000000000000001E-3</v>
      </c>
      <c r="AA12" s="181">
        <f t="shared" si="1"/>
        <v>0</v>
      </c>
      <c r="AB12" s="181">
        <f t="shared" si="2"/>
        <v>0</v>
      </c>
      <c r="AC12" s="181">
        <f t="shared" si="3"/>
        <v>0</v>
      </c>
    </row>
    <row r="13" spans="1:29" s="157" customFormat="1" ht="15.75" x14ac:dyDescent="0.25">
      <c r="A13" s="100">
        <v>10</v>
      </c>
      <c r="B13" s="323" t="str">
        <f>PIERNA!B13</f>
        <v>SEABOARD FOODS</v>
      </c>
      <c r="C13" s="242" t="str">
        <f>PIERNA!C13</f>
        <v>Seaboard</v>
      </c>
      <c r="D13" s="102" t="str">
        <f>PIERNA!D13</f>
        <v>PED. 81837575</v>
      </c>
      <c r="E13" s="134">
        <f>PIERNA!E13</f>
        <v>44691</v>
      </c>
      <c r="F13" s="657">
        <f>PIERNA!F13</f>
        <v>18607.38</v>
      </c>
      <c r="G13" s="100">
        <f>PIERNA!G13</f>
        <v>21</v>
      </c>
      <c r="H13" s="507">
        <f>PIERNA!H13</f>
        <v>18764.8</v>
      </c>
      <c r="I13" s="105">
        <f>PIERNA!I13</f>
        <v>-157.41999999999825</v>
      </c>
      <c r="J13" s="548" t="s">
        <v>282</v>
      </c>
      <c r="K13" s="541">
        <v>9851</v>
      </c>
      <c r="L13" s="542" t="s">
        <v>311</v>
      </c>
      <c r="M13" s="541">
        <v>33640</v>
      </c>
      <c r="N13" s="543" t="s">
        <v>312</v>
      </c>
      <c r="O13" s="557">
        <v>2037122</v>
      </c>
      <c r="P13" s="544"/>
      <c r="Q13" s="547">
        <f>42338.06*20.37</f>
        <v>862426.28220000002</v>
      </c>
      <c r="R13" s="545" t="s">
        <v>294</v>
      </c>
      <c r="S13" s="65">
        <f t="shared" si="0"/>
        <v>905917.28220000002</v>
      </c>
      <c r="T13" s="65">
        <f t="shared" si="5"/>
        <v>48.277481358714191</v>
      </c>
      <c r="U13" s="200"/>
      <c r="W13" s="73"/>
      <c r="X13" s="73"/>
      <c r="Y13" s="181"/>
      <c r="Z13" s="182">
        <v>5.0000000000000001E-3</v>
      </c>
      <c r="AA13" s="181">
        <f t="shared" si="1"/>
        <v>0</v>
      </c>
      <c r="AB13" s="181">
        <f t="shared" si="2"/>
        <v>0</v>
      </c>
      <c r="AC13" s="181">
        <f t="shared" si="3"/>
        <v>0</v>
      </c>
    </row>
    <row r="14" spans="1:29" s="157" customFormat="1" x14ac:dyDescent="0.25">
      <c r="A14" s="100">
        <v>11</v>
      </c>
      <c r="B14" s="282" t="str">
        <f>PIERNA!B14</f>
        <v>SEABOARD FOODS</v>
      </c>
      <c r="C14" s="242" t="str">
        <f>PIERNA!C14</f>
        <v>Seaboard</v>
      </c>
      <c r="D14" s="102" t="str">
        <f>PIERNA!D14</f>
        <v>PED. 81835787</v>
      </c>
      <c r="E14" s="134">
        <f>PIERNA!E14</f>
        <v>44691</v>
      </c>
      <c r="F14" s="657">
        <f>PIERNA!F14</f>
        <v>18890.990000000002</v>
      </c>
      <c r="G14" s="100">
        <f>PIERNA!G14</f>
        <v>21</v>
      </c>
      <c r="H14" s="507">
        <f>PIERNA!H14</f>
        <v>18936.599999999999</v>
      </c>
      <c r="I14" s="105">
        <f>PIERNA!I14</f>
        <v>-45.609999999996944</v>
      </c>
      <c r="J14" s="502" t="s">
        <v>283</v>
      </c>
      <c r="K14" s="541">
        <v>12151</v>
      </c>
      <c r="L14" s="542" t="s">
        <v>311</v>
      </c>
      <c r="M14" s="541">
        <v>33640</v>
      </c>
      <c r="N14" s="543" t="s">
        <v>312</v>
      </c>
      <c r="O14" s="546">
        <v>2037123</v>
      </c>
      <c r="P14" s="544"/>
      <c r="Q14" s="547">
        <f>42724.9*20.37</f>
        <v>870306.21300000011</v>
      </c>
      <c r="R14" s="1026" t="s">
        <v>302</v>
      </c>
      <c r="S14" s="65">
        <f>Q14+M14+K14</f>
        <v>916097.21300000011</v>
      </c>
      <c r="T14" s="65">
        <f t="shared" si="5"/>
        <v>48.377069431682571</v>
      </c>
      <c r="U14" s="200"/>
      <c r="W14" s="73"/>
      <c r="X14" s="73"/>
      <c r="Y14" s="181"/>
      <c r="Z14" s="182">
        <v>5.0000000000000001E-3</v>
      </c>
      <c r="AA14" s="181">
        <f t="shared" si="1"/>
        <v>0</v>
      </c>
      <c r="AB14" s="181">
        <f t="shared" si="2"/>
        <v>0</v>
      </c>
      <c r="AC14" s="181">
        <f t="shared" si="3"/>
        <v>0</v>
      </c>
    </row>
    <row r="15" spans="1:29" s="157" customFormat="1" ht="15.75" x14ac:dyDescent="0.25">
      <c r="A15" s="100">
        <v>12</v>
      </c>
      <c r="B15" s="553" t="str">
        <f>PIERNA!B15</f>
        <v>SEABOARD FOODS</v>
      </c>
      <c r="C15" s="242" t="str">
        <f>PIERNA!C15</f>
        <v>Seaboard</v>
      </c>
      <c r="D15" s="102" t="str">
        <f>PIERNA!D15</f>
        <v>PED. 81836180</v>
      </c>
      <c r="E15" s="134">
        <f>PIERNA!E15</f>
        <v>44691</v>
      </c>
      <c r="F15" s="657">
        <f>PIERNA!F15</f>
        <v>17859.43</v>
      </c>
      <c r="G15" s="100">
        <f>PIERNA!G15</f>
        <v>20</v>
      </c>
      <c r="H15" s="507">
        <f>PIERNA!H15</f>
        <v>17919.599999999999</v>
      </c>
      <c r="I15" s="105">
        <f>PIERNA!I15</f>
        <v>-60.169999999998254</v>
      </c>
      <c r="J15" s="548" t="s">
        <v>284</v>
      </c>
      <c r="K15" s="541">
        <v>11151</v>
      </c>
      <c r="L15" s="542" t="s">
        <v>311</v>
      </c>
      <c r="M15" s="541">
        <v>33640</v>
      </c>
      <c r="N15" s="549" t="s">
        <v>312</v>
      </c>
      <c r="O15" s="556">
        <v>2037125</v>
      </c>
      <c r="P15" s="544"/>
      <c r="Q15" s="547">
        <f>48197.32*20.32</f>
        <v>979369.54240000003</v>
      </c>
      <c r="R15" s="550" t="s">
        <v>294</v>
      </c>
      <c r="S15" s="65">
        <f>Q15</f>
        <v>979369.54240000003</v>
      </c>
      <c r="T15" s="65">
        <f t="shared" si="5"/>
        <v>54.65353815933392</v>
      </c>
      <c r="U15" s="200"/>
      <c r="W15" s="73"/>
      <c r="X15" s="73"/>
      <c r="Y15" s="181"/>
      <c r="Z15" s="182">
        <v>5.0000000000000001E-3</v>
      </c>
      <c r="AA15" s="181">
        <f t="shared" si="1"/>
        <v>0</v>
      </c>
      <c r="AB15" s="181">
        <f t="shared" si="2"/>
        <v>0</v>
      </c>
      <c r="AC15" s="181">
        <f t="shared" si="3"/>
        <v>0</v>
      </c>
    </row>
    <row r="16" spans="1:29" s="157" customFormat="1" ht="15.75" x14ac:dyDescent="0.25">
      <c r="A16" s="100">
        <v>13</v>
      </c>
      <c r="B16" s="323" t="str">
        <f>PIERNA!B16</f>
        <v>TYSON FRESH MEATS</v>
      </c>
      <c r="C16" s="75" t="str">
        <f>PIERNA!C16</f>
        <v xml:space="preserve">I B P </v>
      </c>
      <c r="D16" s="102" t="str">
        <f>PIERNA!D16</f>
        <v>PED. 81890999</v>
      </c>
      <c r="E16" s="134">
        <f>PIERNA!E16</f>
        <v>44692</v>
      </c>
      <c r="F16" s="657">
        <f>PIERNA!F16</f>
        <v>18232.04</v>
      </c>
      <c r="G16" s="100">
        <f>PIERNA!G16</f>
        <v>20</v>
      </c>
      <c r="H16" s="507">
        <f>PIERNA!H16</f>
        <v>18249.32</v>
      </c>
      <c r="I16" s="105">
        <f>PIERNA!I16</f>
        <v>-17.279999999998836</v>
      </c>
      <c r="J16" s="765" t="s">
        <v>298</v>
      </c>
      <c r="K16" s="541">
        <v>11151</v>
      </c>
      <c r="L16" s="542" t="s">
        <v>312</v>
      </c>
      <c r="M16" s="541">
        <v>33640</v>
      </c>
      <c r="N16" s="549" t="s">
        <v>313</v>
      </c>
      <c r="O16" s="557">
        <v>914168</v>
      </c>
      <c r="P16" s="544"/>
      <c r="Q16" s="851">
        <f>41175.48*20.28</f>
        <v>835038.73440000007</v>
      </c>
      <c r="R16" s="545" t="s">
        <v>299</v>
      </c>
      <c r="S16" s="65">
        <f t="shared" si="0"/>
        <v>879829.73440000007</v>
      </c>
      <c r="T16" s="65">
        <f t="shared" si="5"/>
        <v>48.211644839369363</v>
      </c>
      <c r="U16" s="200"/>
      <c r="W16" s="73"/>
      <c r="X16" s="73"/>
      <c r="Y16" s="181"/>
      <c r="Z16" s="182">
        <v>5.0000000000000001E-3</v>
      </c>
      <c r="AA16" s="181">
        <f t="shared" si="1"/>
        <v>0</v>
      </c>
      <c r="AB16" s="181">
        <f t="shared" si="2"/>
        <v>0</v>
      </c>
      <c r="AC16" s="181">
        <f t="shared" si="3"/>
        <v>0</v>
      </c>
    </row>
    <row r="17" spans="1:29" s="157" customFormat="1" ht="15.75" x14ac:dyDescent="0.25">
      <c r="A17" s="100">
        <v>14</v>
      </c>
      <c r="B17" s="552" t="str">
        <f>PIERNA!B17</f>
        <v>TYSON FRESH MEAT</v>
      </c>
      <c r="C17" s="75" t="str">
        <f>PIERNA!C17</f>
        <v xml:space="preserve">I B P </v>
      </c>
      <c r="D17" s="102" t="str">
        <f>PIERNA!D17</f>
        <v>PED. 81951208</v>
      </c>
      <c r="E17" s="134">
        <f>PIERNA!E17</f>
        <v>44693</v>
      </c>
      <c r="F17" s="657">
        <f>PIERNA!F17</f>
        <v>18333.689999999999</v>
      </c>
      <c r="G17" s="100">
        <f>PIERNA!G17</f>
        <v>20</v>
      </c>
      <c r="H17" s="507">
        <f>PIERNA!H17</f>
        <v>18354.080000000002</v>
      </c>
      <c r="I17" s="105">
        <f>PIERNA!I17</f>
        <v>-20.390000000003056</v>
      </c>
      <c r="J17" s="502" t="s">
        <v>286</v>
      </c>
      <c r="K17" s="541">
        <v>12151</v>
      </c>
      <c r="L17" s="542" t="s">
        <v>313</v>
      </c>
      <c r="M17" s="541">
        <v>33640</v>
      </c>
      <c r="N17" s="549" t="s">
        <v>314</v>
      </c>
      <c r="O17" s="546">
        <v>919903</v>
      </c>
      <c r="P17" s="544"/>
      <c r="Q17" s="851">
        <f>40322.38*20.12</f>
        <v>811286.28559999994</v>
      </c>
      <c r="R17" s="1026" t="s">
        <v>320</v>
      </c>
      <c r="S17" s="65">
        <f>Q17+M17+K17</f>
        <v>857077.28559999994</v>
      </c>
      <c r="T17" s="65">
        <f t="shared" si="5"/>
        <v>46.696826296932336</v>
      </c>
      <c r="U17" s="224"/>
      <c r="W17" s="73"/>
      <c r="X17" s="73"/>
      <c r="Y17" s="181"/>
      <c r="Z17" s="182">
        <v>5.0000000000000001E-3</v>
      </c>
      <c r="AA17" s="181">
        <f t="shared" si="1"/>
        <v>0</v>
      </c>
      <c r="AB17" s="181">
        <f t="shared" si="2"/>
        <v>0</v>
      </c>
      <c r="AC17" s="181">
        <f t="shared" si="3"/>
        <v>0</v>
      </c>
    </row>
    <row r="18" spans="1:29" s="157" customFormat="1" ht="15.75" x14ac:dyDescent="0.25">
      <c r="A18" s="100">
        <v>15</v>
      </c>
      <c r="B18" s="552" t="str">
        <f>PIERNA!B18</f>
        <v>TYSON FRESH MEATS</v>
      </c>
      <c r="C18" s="75" t="str">
        <f>PIERNA!C18</f>
        <v xml:space="preserve">I B P </v>
      </c>
      <c r="D18" s="102" t="str">
        <f>PIERNA!D18</f>
        <v>PED. 819500332</v>
      </c>
      <c r="E18" s="134">
        <f>PIERNA!E18</f>
        <v>44693</v>
      </c>
      <c r="F18" s="657">
        <f>PIERNA!F18</f>
        <v>18562.439999999999</v>
      </c>
      <c r="G18" s="100">
        <f>PIERNA!G18</f>
        <v>20</v>
      </c>
      <c r="H18" s="507">
        <f>PIERNA!H18</f>
        <v>18680.169999999998</v>
      </c>
      <c r="I18" s="105">
        <f>PIERNA!I18</f>
        <v>-117.72999999999956</v>
      </c>
      <c r="J18" s="502" t="s">
        <v>287</v>
      </c>
      <c r="K18" s="547">
        <v>12001</v>
      </c>
      <c r="L18" s="542" t="s">
        <v>313</v>
      </c>
      <c r="M18" s="541">
        <v>33640</v>
      </c>
      <c r="N18" s="549" t="s">
        <v>314</v>
      </c>
      <c r="O18" s="558">
        <v>915976</v>
      </c>
      <c r="P18" s="521"/>
      <c r="Q18" s="851">
        <f>43242.15*20.15</f>
        <v>871329.32250000001</v>
      </c>
      <c r="R18" s="545" t="s">
        <v>300</v>
      </c>
      <c r="S18" s="65">
        <f>Q18+M18+K18</f>
        <v>916970.32250000001</v>
      </c>
      <c r="T18" s="65">
        <f t="shared" si="5"/>
        <v>49.087900297481241</v>
      </c>
      <c r="U18" s="199"/>
      <c r="W18" s="73"/>
      <c r="X18" s="73"/>
      <c r="Y18" s="181"/>
      <c r="Z18" s="182">
        <v>5.0000000000000001E-3</v>
      </c>
      <c r="AA18" s="181">
        <f t="shared" si="1"/>
        <v>0</v>
      </c>
      <c r="AB18" s="181">
        <f t="shared" si="2"/>
        <v>0</v>
      </c>
      <c r="AC18" s="181">
        <f t="shared" si="3"/>
        <v>0</v>
      </c>
    </row>
    <row r="19" spans="1:29" s="157" customFormat="1" ht="16.5" x14ac:dyDescent="0.25">
      <c r="A19" s="100">
        <v>16</v>
      </c>
      <c r="B19" s="1020" t="str">
        <f>PIERNA!B19</f>
        <v>TREBOL FOODS</v>
      </c>
      <c r="C19" s="75" t="str">
        <f>PIERNA!C19</f>
        <v xml:space="preserve">Indiana </v>
      </c>
      <c r="D19" s="102" t="str">
        <f>PIERNA!D19</f>
        <v>PED. 81924160</v>
      </c>
      <c r="E19" s="134">
        <f>PIERNA!E19</f>
        <v>44693</v>
      </c>
      <c r="F19" s="657">
        <f>PIERNA!F19</f>
        <v>18557.990000000002</v>
      </c>
      <c r="G19" s="100">
        <f>PIERNA!G19</f>
        <v>20</v>
      </c>
      <c r="H19" s="507">
        <f>PIERNA!H19</f>
        <v>18497</v>
      </c>
      <c r="I19" s="105">
        <f>PIERNA!I19</f>
        <v>60.990000000001601</v>
      </c>
      <c r="J19" s="869" t="s">
        <v>288</v>
      </c>
      <c r="K19" s="541"/>
      <c r="L19" s="542"/>
      <c r="M19" s="541"/>
      <c r="N19" s="543"/>
      <c r="O19" s="546" t="s">
        <v>288</v>
      </c>
      <c r="P19" s="1029" t="s">
        <v>342</v>
      </c>
      <c r="Q19" s="851">
        <v>841657.74</v>
      </c>
      <c r="R19" s="551" t="s">
        <v>341</v>
      </c>
      <c r="S19" s="65">
        <f>Q19+M19+K19</f>
        <v>841657.74</v>
      </c>
      <c r="T19" s="65">
        <f>S19/H19</f>
        <v>45.502391739200952</v>
      </c>
      <c r="W19" s="73"/>
      <c r="X19" s="73"/>
      <c r="Y19" s="181"/>
      <c r="Z19" s="182">
        <v>5.0000000000000001E-3</v>
      </c>
      <c r="AA19" s="181">
        <f t="shared" si="1"/>
        <v>0</v>
      </c>
      <c r="AB19" s="181">
        <f t="shared" si="2"/>
        <v>0</v>
      </c>
      <c r="AC19" s="181">
        <f t="shared" si="3"/>
        <v>0</v>
      </c>
    </row>
    <row r="20" spans="1:29" s="157" customFormat="1" ht="15.75" x14ac:dyDescent="0.25">
      <c r="A20" s="100">
        <v>17</v>
      </c>
      <c r="B20" s="323" t="str">
        <f>PIERNA!B20</f>
        <v>SEABOARD FOODS</v>
      </c>
      <c r="C20" s="75" t="str">
        <f>PIERNA!C20</f>
        <v>Seaboard</v>
      </c>
      <c r="D20" s="102" t="str">
        <f>PIERNA!D20</f>
        <v>PED. 81950255</v>
      </c>
      <c r="E20" s="134">
        <f>PIERNA!E20</f>
        <v>44693</v>
      </c>
      <c r="F20" s="657">
        <f>PIERNA!F20</f>
        <v>18873.71</v>
      </c>
      <c r="G20" s="100">
        <f>PIERNA!G20</f>
        <v>21</v>
      </c>
      <c r="H20" s="507">
        <f>PIERNA!H20</f>
        <v>18963.61</v>
      </c>
      <c r="I20" s="105">
        <f>PIERNA!I20</f>
        <v>-89.900000000001455</v>
      </c>
      <c r="J20" s="502" t="s">
        <v>317</v>
      </c>
      <c r="K20" s="541">
        <v>10101</v>
      </c>
      <c r="L20" s="542" t="s">
        <v>312</v>
      </c>
      <c r="M20" s="541">
        <v>33640</v>
      </c>
      <c r="N20" s="543" t="s">
        <v>314</v>
      </c>
      <c r="O20" s="546">
        <v>2037124</v>
      </c>
      <c r="P20" s="544"/>
      <c r="Q20" s="851">
        <f>43898.4*20.224</f>
        <v>887801.24160000007</v>
      </c>
      <c r="R20" s="551" t="s">
        <v>321</v>
      </c>
      <c r="S20" s="65">
        <f t="shared" si="0"/>
        <v>931542.24160000007</v>
      </c>
      <c r="T20" s="65">
        <f>S20/H20+0.1</f>
        <v>49.222621779292027</v>
      </c>
      <c r="W20" s="73"/>
      <c r="X20" s="73"/>
      <c r="Y20" s="181"/>
      <c r="Z20" s="182">
        <v>5.0000000000000001E-3</v>
      </c>
      <c r="AA20" s="181">
        <f t="shared" si="1"/>
        <v>0</v>
      </c>
      <c r="AB20" s="181">
        <f t="shared" si="2"/>
        <v>0</v>
      </c>
      <c r="AC20" s="181">
        <f t="shared" si="3"/>
        <v>0</v>
      </c>
    </row>
    <row r="21" spans="1:29" s="157" customFormat="1" x14ac:dyDescent="0.25">
      <c r="A21" s="100">
        <v>18</v>
      </c>
      <c r="B21" s="250" t="str">
        <f>PIERNA!B21</f>
        <v>SEABOARD FOODS</v>
      </c>
      <c r="C21" s="282" t="str">
        <f>PIERNA!C21</f>
        <v>Seaboard</v>
      </c>
      <c r="D21" s="102" t="str">
        <f>PIERNA!D21</f>
        <v>PED. 81999518</v>
      </c>
      <c r="E21" s="134">
        <f>PIERNA!E21</f>
        <v>44695</v>
      </c>
      <c r="F21" s="657">
        <f>PIERNA!F21</f>
        <v>18914.509999999998</v>
      </c>
      <c r="G21" s="100">
        <f>PIERNA!G21</f>
        <v>21</v>
      </c>
      <c r="H21" s="507">
        <f>PIERNA!H21</f>
        <v>19007.3</v>
      </c>
      <c r="I21" s="105">
        <f>PIERNA!I21</f>
        <v>-92.790000000000873</v>
      </c>
      <c r="J21" s="502" t="s">
        <v>318</v>
      </c>
      <c r="K21" s="541">
        <v>11511</v>
      </c>
      <c r="L21" s="542" t="s">
        <v>314</v>
      </c>
      <c r="M21" s="541">
        <v>33640</v>
      </c>
      <c r="N21" s="543" t="s">
        <v>322</v>
      </c>
      <c r="O21" s="557">
        <v>2037945</v>
      </c>
      <c r="P21" s="544"/>
      <c r="Q21" s="851">
        <f>41757.34*20.13</f>
        <v>840575.25419999985</v>
      </c>
      <c r="R21" s="551" t="s">
        <v>304</v>
      </c>
      <c r="S21" s="65">
        <f t="shared" si="0"/>
        <v>885726.25419999985</v>
      </c>
      <c r="T21" s="65">
        <f>S21/H21</f>
        <v>46.599267344651786</v>
      </c>
      <c r="W21" s="73"/>
      <c r="X21" s="73"/>
      <c r="Y21" s="181"/>
      <c r="Z21" s="182">
        <v>5.0000000000000001E-3</v>
      </c>
      <c r="AA21" s="181">
        <f t="shared" si="1"/>
        <v>0</v>
      </c>
      <c r="AB21" s="181">
        <f t="shared" si="2"/>
        <v>0</v>
      </c>
      <c r="AC21" s="181">
        <f t="shared" si="3"/>
        <v>0</v>
      </c>
    </row>
    <row r="22" spans="1:29" s="157" customFormat="1" x14ac:dyDescent="0.25">
      <c r="A22" s="100">
        <v>19</v>
      </c>
      <c r="B22" s="242" t="str">
        <f>PIERNA!B22</f>
        <v>SEABOARD FOODS</v>
      </c>
      <c r="C22" s="75" t="str">
        <f>PIERNA!C22</f>
        <v>Seaboard</v>
      </c>
      <c r="D22" s="244" t="str">
        <f>PIERNA!D22</f>
        <v>PED. 82131864</v>
      </c>
      <c r="E22" s="248">
        <f>PIERNA!E22</f>
        <v>44698</v>
      </c>
      <c r="F22" s="660">
        <f>PIERNA!F22</f>
        <v>18796.12</v>
      </c>
      <c r="G22" s="258">
        <f>PIERNA!G22</f>
        <v>21</v>
      </c>
      <c r="H22" s="508">
        <f>PIERNA!H22</f>
        <v>18884.900000000001</v>
      </c>
      <c r="I22" s="275">
        <f>PIERNA!I22</f>
        <v>-88.780000000002474</v>
      </c>
      <c r="J22" s="502" t="s">
        <v>335</v>
      </c>
      <c r="K22" s="541">
        <v>11151</v>
      </c>
      <c r="L22" s="542" t="s">
        <v>352</v>
      </c>
      <c r="M22" s="541">
        <v>33640</v>
      </c>
      <c r="N22" s="543" t="s">
        <v>347</v>
      </c>
      <c r="O22" s="557">
        <v>2039914</v>
      </c>
      <c r="P22" s="521"/>
      <c r="Q22" s="851">
        <f>36858.58*20.365</f>
        <v>750624.9817</v>
      </c>
      <c r="R22" s="551" t="s">
        <v>351</v>
      </c>
      <c r="S22" s="65">
        <f>Q22+M22+K22</f>
        <v>795415.9817</v>
      </c>
      <c r="T22" s="65">
        <f>S22/H22</f>
        <v>42.11915242865993</v>
      </c>
      <c r="W22" s="73"/>
      <c r="X22" s="73"/>
      <c r="Y22" s="181"/>
      <c r="Z22" s="182">
        <v>5.0000000000000001E-3</v>
      </c>
      <c r="AA22" s="181">
        <f t="shared" si="1"/>
        <v>0</v>
      </c>
      <c r="AB22" s="181">
        <f t="shared" si="2"/>
        <v>0</v>
      </c>
      <c r="AC22" s="181">
        <f t="shared" si="3"/>
        <v>0</v>
      </c>
    </row>
    <row r="23" spans="1:29" s="157" customFormat="1" ht="15.75" x14ac:dyDescent="0.25">
      <c r="A23" s="100">
        <v>20</v>
      </c>
      <c r="B23" s="242" t="str">
        <f>PIERNA!B23</f>
        <v>SEABOARD FOODS</v>
      </c>
      <c r="C23" s="75" t="str">
        <f>PIERNA!C23</f>
        <v>Seaboard</v>
      </c>
      <c r="D23" s="244" t="str">
        <f>PIERNA!D23</f>
        <v>PED. 82143475</v>
      </c>
      <c r="E23" s="248">
        <f>PIERNA!E23</f>
        <v>44698</v>
      </c>
      <c r="F23" s="660">
        <f>PIERNA!F23</f>
        <v>18690.79</v>
      </c>
      <c r="G23" s="258">
        <f>PIERNA!G23</f>
        <v>21</v>
      </c>
      <c r="H23" s="508">
        <f>PIERNA!H23</f>
        <v>18776.900000000001</v>
      </c>
      <c r="I23" s="275">
        <f>PIERNA!I23</f>
        <v>-86.110000000000582</v>
      </c>
      <c r="J23" s="502" t="s">
        <v>336</v>
      </c>
      <c r="K23" s="541">
        <v>12001</v>
      </c>
      <c r="L23" s="542" t="s">
        <v>352</v>
      </c>
      <c r="M23" s="541">
        <v>33640</v>
      </c>
      <c r="N23" s="543" t="s">
        <v>347</v>
      </c>
      <c r="O23" s="558">
        <v>2039915</v>
      </c>
      <c r="P23" s="544"/>
      <c r="Q23" s="851">
        <f>36647.88*20.365</f>
        <v>746334.07619999989</v>
      </c>
      <c r="R23" s="551" t="s">
        <v>351</v>
      </c>
      <c r="S23" s="65">
        <f>Q23+M23+K23</f>
        <v>791975.07619999989</v>
      </c>
      <c r="T23" s="65">
        <f>S23/H23</f>
        <v>42.178159131699047</v>
      </c>
      <c r="W23" s="73"/>
      <c r="X23" s="73"/>
      <c r="Y23" s="181"/>
      <c r="Z23" s="182">
        <v>5.0000000000000001E-3</v>
      </c>
      <c r="AA23" s="181">
        <f t="shared" ref="AA23:AA28" si="6">Y23*Z23</f>
        <v>0</v>
      </c>
      <c r="AB23" s="181">
        <f t="shared" ref="AB23:AB28" si="7">AA23*16%</f>
        <v>0</v>
      </c>
      <c r="AC23" s="181">
        <f t="shared" ref="AC23:AC28" si="8">AA23+AB23</f>
        <v>0</v>
      </c>
    </row>
    <row r="24" spans="1:29" s="157" customFormat="1" ht="15.75" x14ac:dyDescent="0.25">
      <c r="A24" s="100">
        <v>21</v>
      </c>
      <c r="B24" s="552" t="str">
        <f>PIERNA!B24</f>
        <v>TYSON FRESH MEATS</v>
      </c>
      <c r="C24" s="242" t="str">
        <f>PIERNA!C24</f>
        <v xml:space="preserve">I B P </v>
      </c>
      <c r="D24" s="520" t="str">
        <f>PIERNA!D24</f>
        <v>PED. 82197014</v>
      </c>
      <c r="E24" s="248">
        <f>PIERNA!E24</f>
        <v>44699</v>
      </c>
      <c r="F24" s="660">
        <f>PIERNA!F24</f>
        <v>18660.62</v>
      </c>
      <c r="G24" s="258">
        <f>PIERNA!G24</f>
        <v>20</v>
      </c>
      <c r="H24" s="508">
        <f>PIERNA!H24</f>
        <v>18707.05</v>
      </c>
      <c r="I24" s="275">
        <f>PIERNA!I24</f>
        <v>-46.430000000000291</v>
      </c>
      <c r="J24" s="502" t="s">
        <v>337</v>
      </c>
      <c r="K24" s="541">
        <v>9851</v>
      </c>
      <c r="L24" s="542" t="s">
        <v>347</v>
      </c>
      <c r="M24" s="541">
        <v>33640</v>
      </c>
      <c r="N24" s="543" t="s">
        <v>348</v>
      </c>
      <c r="O24" s="546">
        <v>925770</v>
      </c>
      <c r="P24" s="544"/>
      <c r="Q24" s="851">
        <f>36511.54*19.9685</f>
        <v>729080.68648999999</v>
      </c>
      <c r="R24" s="551" t="s">
        <v>344</v>
      </c>
      <c r="S24" s="65">
        <f t="shared" si="0"/>
        <v>772571.68648999999</v>
      </c>
      <c r="T24" s="65">
        <f t="shared" si="4"/>
        <v>41.398424203174741</v>
      </c>
      <c r="W24" s="73"/>
      <c r="X24" s="73"/>
      <c r="Y24" s="181"/>
      <c r="Z24" s="182">
        <v>5.0000000000000001E-3</v>
      </c>
      <c r="AA24" s="181">
        <f t="shared" si="6"/>
        <v>0</v>
      </c>
      <c r="AB24" s="181">
        <f t="shared" si="7"/>
        <v>0</v>
      </c>
      <c r="AC24" s="181">
        <f t="shared" si="8"/>
        <v>0</v>
      </c>
    </row>
    <row r="25" spans="1:29" s="157" customFormat="1" ht="18.75" customHeight="1" x14ac:dyDescent="0.25">
      <c r="A25" s="100">
        <v>22</v>
      </c>
      <c r="B25" s="772" t="str">
        <f>PIERNA!HM5</f>
        <v>TYSON FRESH MEATS</v>
      </c>
      <c r="C25" s="266" t="str">
        <f>PIERNA!HN5</f>
        <v xml:space="preserve">I B P </v>
      </c>
      <c r="D25" s="520" t="str">
        <f>PIERNA!HO5</f>
        <v>PED. 82250071</v>
      </c>
      <c r="E25" s="248">
        <f>PIERNA!E25</f>
        <v>44700</v>
      </c>
      <c r="F25" s="660">
        <f>PIERNA!HQ5</f>
        <v>18800.28</v>
      </c>
      <c r="G25" s="258">
        <f>PIERNA!HR5</f>
        <v>20</v>
      </c>
      <c r="H25" s="508">
        <f>PIERNA!HS5</f>
        <v>18873.580000000002</v>
      </c>
      <c r="I25" s="275">
        <f>PIERNA!I25</f>
        <v>-73.30000000000291</v>
      </c>
      <c r="J25" s="502" t="s">
        <v>338</v>
      </c>
      <c r="K25" s="541">
        <v>11151</v>
      </c>
      <c r="L25" s="542" t="s">
        <v>348</v>
      </c>
      <c r="M25" s="541">
        <v>33640</v>
      </c>
      <c r="N25" s="551" t="s">
        <v>349</v>
      </c>
      <c r="O25" s="546">
        <v>927952</v>
      </c>
      <c r="P25" s="521"/>
      <c r="Q25" s="851">
        <f>36025.94*19.925</f>
        <v>717816.85450000002</v>
      </c>
      <c r="R25" s="527" t="s">
        <v>345</v>
      </c>
      <c r="S25" s="65">
        <f t="shared" si="0"/>
        <v>762607.85450000002</v>
      </c>
      <c r="T25" s="65">
        <f>S25/H25</f>
        <v>40.406104962598505</v>
      </c>
      <c r="W25" s="73"/>
      <c r="X25" s="73"/>
      <c r="Y25" s="181"/>
      <c r="Z25" s="182">
        <v>5.0000000000000001E-3</v>
      </c>
      <c r="AA25" s="181">
        <f t="shared" si="6"/>
        <v>0</v>
      </c>
      <c r="AB25" s="181">
        <f t="shared" si="7"/>
        <v>0</v>
      </c>
      <c r="AC25" s="181">
        <f t="shared" si="8"/>
        <v>0</v>
      </c>
    </row>
    <row r="26" spans="1:29" s="157" customFormat="1" x14ac:dyDescent="0.25">
      <c r="A26" s="100">
        <v>23</v>
      </c>
      <c r="B26" s="773" t="str">
        <f>PIERNA!HW5</f>
        <v>SEABOARD FOODS</v>
      </c>
      <c r="C26" s="242" t="str">
        <f>PIERNA!HX5</f>
        <v>Seaboard</v>
      </c>
      <c r="D26" s="520" t="str">
        <f>PIERNA!HY5</f>
        <v>PED. 82249516</v>
      </c>
      <c r="E26" s="248">
        <f>PIERNA!HZ5</f>
        <v>44700</v>
      </c>
      <c r="F26" s="660">
        <f>PIERNA!IA5</f>
        <v>18570.07</v>
      </c>
      <c r="G26" s="255">
        <f>PIERNA!IB5</f>
        <v>21</v>
      </c>
      <c r="H26" s="508">
        <f>PIERNA!IC5</f>
        <v>18649.3</v>
      </c>
      <c r="I26" s="275">
        <f>PIERNA!I26</f>
        <v>-79.229999999999563</v>
      </c>
      <c r="J26" s="502" t="s">
        <v>339</v>
      </c>
      <c r="K26" s="541">
        <v>11151</v>
      </c>
      <c r="L26" s="542" t="s">
        <v>348</v>
      </c>
      <c r="M26" s="541">
        <v>33640</v>
      </c>
      <c r="N26" s="551" t="s">
        <v>349</v>
      </c>
      <c r="O26" s="546">
        <v>2040333</v>
      </c>
      <c r="P26" s="544"/>
      <c r="Q26" s="851">
        <f>36399.11*20.29</f>
        <v>738537.94189999998</v>
      </c>
      <c r="R26" s="551" t="s">
        <v>343</v>
      </c>
      <c r="S26" s="65">
        <f t="shared" si="0"/>
        <v>783328.94189999998</v>
      </c>
      <c r="T26" s="65">
        <f>S26/H26</f>
        <v>42.003128369429419</v>
      </c>
      <c r="W26" s="73"/>
      <c r="X26" s="73"/>
      <c r="Y26" s="181"/>
      <c r="Z26" s="182">
        <v>5.0000000000000001E-3</v>
      </c>
      <c r="AA26" s="181">
        <f t="shared" si="6"/>
        <v>0</v>
      </c>
      <c r="AB26" s="181">
        <f t="shared" si="7"/>
        <v>0</v>
      </c>
      <c r="AC26" s="181">
        <f t="shared" si="8"/>
        <v>0</v>
      </c>
    </row>
    <row r="27" spans="1:29" s="157" customFormat="1" x14ac:dyDescent="0.25">
      <c r="A27" s="100">
        <v>24</v>
      </c>
      <c r="B27" s="344" t="str">
        <f>PIERNA!IG5</f>
        <v>TYSON FRESH MEAT</v>
      </c>
      <c r="C27" s="242" t="str">
        <f>PIERNA!IH5</f>
        <v xml:space="preserve">I B P </v>
      </c>
      <c r="D27" s="520" t="str">
        <f>PIERNA!II5</f>
        <v>PED. 82315099</v>
      </c>
      <c r="E27" s="248">
        <f>PIERNA!IJ5</f>
        <v>44701</v>
      </c>
      <c r="F27" s="660">
        <f>PIERNA!IK5</f>
        <v>18885.68</v>
      </c>
      <c r="G27" s="255">
        <f>PIERNA!IL5</f>
        <v>20</v>
      </c>
      <c r="H27" s="508">
        <f>PIERNA!IM5</f>
        <v>18951.150000000001</v>
      </c>
      <c r="I27" s="275">
        <f>PIERNA!I27</f>
        <v>-65.470000000001164</v>
      </c>
      <c r="J27" s="502" t="s">
        <v>340</v>
      </c>
      <c r="K27" s="541">
        <v>10101</v>
      </c>
      <c r="L27" s="542" t="s">
        <v>349</v>
      </c>
      <c r="M27" s="541">
        <v>33640</v>
      </c>
      <c r="N27" s="551" t="s">
        <v>350</v>
      </c>
      <c r="O27" s="546">
        <v>929667</v>
      </c>
      <c r="P27" s="521"/>
      <c r="Q27" s="851">
        <f>35955.86*19.88</f>
        <v>714802.49679999996</v>
      </c>
      <c r="R27" s="551" t="s">
        <v>346</v>
      </c>
      <c r="S27" s="65">
        <f>Q27+M27+K27+P27</f>
        <v>758543.49679999996</v>
      </c>
      <c r="T27" s="65">
        <f>S27/H27</f>
        <v>40.02625153618645</v>
      </c>
      <c r="W27" s="73"/>
      <c r="Y27" s="181"/>
      <c r="Z27" s="182">
        <v>5.0000000000000001E-3</v>
      </c>
      <c r="AA27" s="181">
        <f t="shared" si="6"/>
        <v>0</v>
      </c>
      <c r="AB27" s="181">
        <f t="shared" si="7"/>
        <v>0</v>
      </c>
      <c r="AC27" s="181">
        <f t="shared" si="8"/>
        <v>0</v>
      </c>
    </row>
    <row r="28" spans="1:29" s="157" customFormat="1" x14ac:dyDescent="0.25">
      <c r="A28" s="100">
        <v>25</v>
      </c>
      <c r="B28" s="242" t="str">
        <f>PIERNA!IQ5</f>
        <v>SEABOARD FOODS</v>
      </c>
      <c r="C28" s="242" t="str">
        <f>PIERNA!IR5</f>
        <v>Seaboard</v>
      </c>
      <c r="D28" s="520" t="str">
        <f>PIERNA!IS5</f>
        <v>PED. 82315466</v>
      </c>
      <c r="E28" s="248">
        <f>PIERNA!IT5</f>
        <v>44702</v>
      </c>
      <c r="F28" s="660">
        <f>PIERNA!IU5</f>
        <v>18647.62</v>
      </c>
      <c r="G28" s="255">
        <f>PIERNA!IV5</f>
        <v>21</v>
      </c>
      <c r="H28" s="508">
        <f>PIERNA!IW5</f>
        <v>18784.3</v>
      </c>
      <c r="I28" s="275">
        <f>PIERNA!I28</f>
        <v>-136.68000000000029</v>
      </c>
      <c r="J28" s="502" t="s">
        <v>579</v>
      </c>
      <c r="K28" s="541">
        <v>12161</v>
      </c>
      <c r="L28" s="542" t="s">
        <v>349</v>
      </c>
      <c r="M28" s="541">
        <v>33640</v>
      </c>
      <c r="N28" s="551" t="s">
        <v>350</v>
      </c>
      <c r="O28" s="546">
        <v>2041114</v>
      </c>
      <c r="P28" s="544"/>
      <c r="Q28" s="851">
        <f>35639.17*20.25</f>
        <v>721693.1925</v>
      </c>
      <c r="R28" s="527" t="s">
        <v>322</v>
      </c>
      <c r="S28" s="65">
        <f t="shared" si="0"/>
        <v>767494.1925</v>
      </c>
      <c r="T28" s="65">
        <f>S28/H28</f>
        <v>40.858280186112871</v>
      </c>
      <c r="W28" s="73"/>
      <c r="X28" s="73"/>
      <c r="Y28" s="181"/>
      <c r="Z28" s="182">
        <v>0</v>
      </c>
      <c r="AA28" s="181">
        <f t="shared" si="6"/>
        <v>0</v>
      </c>
      <c r="AB28" s="181">
        <f t="shared" si="7"/>
        <v>0</v>
      </c>
      <c r="AC28" s="181">
        <f t="shared" si="8"/>
        <v>0</v>
      </c>
    </row>
    <row r="29" spans="1:29" s="157" customFormat="1" ht="15.75" x14ac:dyDescent="0.25">
      <c r="A29" s="100">
        <v>26</v>
      </c>
      <c r="B29" s="242" t="str">
        <f>PIERNA!JA5</f>
        <v>SEABOARD FOODS</v>
      </c>
      <c r="C29" s="242" t="str">
        <f>PIERNA!JB5</f>
        <v>Seaboard</v>
      </c>
      <c r="D29" s="520" t="str">
        <f>PIERNA!JC5</f>
        <v>PED. 82445626</v>
      </c>
      <c r="E29" s="248">
        <f>PIERNA!JD5</f>
        <v>44705</v>
      </c>
      <c r="F29" s="660">
        <f>PIERNA!JE5</f>
        <v>18758.22</v>
      </c>
      <c r="G29" s="255">
        <f>PIERNA!JF5</f>
        <v>21</v>
      </c>
      <c r="H29" s="508">
        <f>PIERNA!JG5</f>
        <v>18794.900000000001</v>
      </c>
      <c r="I29" s="275">
        <f>PIERNA!I29</f>
        <v>-36.680000000000291</v>
      </c>
      <c r="J29" s="502" t="s">
        <v>583</v>
      </c>
      <c r="K29" s="547">
        <v>11151</v>
      </c>
      <c r="L29" s="542" t="s">
        <v>604</v>
      </c>
      <c r="M29" s="541">
        <v>33640</v>
      </c>
      <c r="N29" s="551" t="s">
        <v>605</v>
      </c>
      <c r="O29" s="558">
        <v>2042656</v>
      </c>
      <c r="P29" s="544"/>
      <c r="Q29" s="851">
        <f>38821.39*20.07</f>
        <v>779145.29729999998</v>
      </c>
      <c r="R29" s="527" t="s">
        <v>603</v>
      </c>
      <c r="S29" s="65">
        <f t="shared" si="0"/>
        <v>823936.29729999998</v>
      </c>
      <c r="T29" s="65">
        <f>S29/H29</f>
        <v>43.838291094924685</v>
      </c>
      <c r="W29" s="73"/>
      <c r="X29" s="73"/>
      <c r="Y29" s="181"/>
      <c r="Z29" s="182"/>
      <c r="AA29" s="181"/>
      <c r="AB29" s="181"/>
      <c r="AC29" s="181">
        <f>SUM(AC7:AC28)</f>
        <v>0</v>
      </c>
    </row>
    <row r="30" spans="1:29" s="157" customFormat="1" ht="15.75" x14ac:dyDescent="0.25">
      <c r="A30" s="100">
        <v>27</v>
      </c>
      <c r="B30" s="927" t="str">
        <f>PIERNA!JK5</f>
        <v>SEABOARD FOODS</v>
      </c>
      <c r="C30" s="242" t="str">
        <f>PIERNA!JL5</f>
        <v>Seaboard</v>
      </c>
      <c r="D30" s="520" t="str">
        <f>PIERNA!JM5</f>
        <v>PED. 82445322</v>
      </c>
      <c r="E30" s="437">
        <f>PIERNA!JN5</f>
        <v>44705</v>
      </c>
      <c r="F30" s="786">
        <f>PIERNA!JO5</f>
        <v>19013.72</v>
      </c>
      <c r="G30" s="787">
        <f>PIERNA!JP5</f>
        <v>21</v>
      </c>
      <c r="H30" s="788">
        <f>PIERNA!JQ5</f>
        <v>19065.5</v>
      </c>
      <c r="I30" s="275">
        <f>PIERNA!I30</f>
        <v>-51.779999999998836</v>
      </c>
      <c r="J30" s="502" t="s">
        <v>584</v>
      </c>
      <c r="K30" s="541">
        <v>11151</v>
      </c>
      <c r="L30" s="542" t="s">
        <v>604</v>
      </c>
      <c r="M30" s="541">
        <v>33640</v>
      </c>
      <c r="N30" s="551" t="s">
        <v>605</v>
      </c>
      <c r="O30" s="558">
        <v>2042657</v>
      </c>
      <c r="P30" s="544"/>
      <c r="Q30" s="851">
        <f>39381.65*20.07</f>
        <v>790389.71550000005</v>
      </c>
      <c r="R30" s="527" t="s">
        <v>603</v>
      </c>
      <c r="S30" s="65">
        <f>Q30+M30+K30</f>
        <v>835180.71550000005</v>
      </c>
      <c r="T30" s="65">
        <f t="shared" si="4"/>
        <v>43.90586480816134</v>
      </c>
      <c r="W30" s="73"/>
      <c r="X30" s="73"/>
      <c r="Y30" s="181"/>
      <c r="Z30" s="182"/>
      <c r="AA30" s="181"/>
      <c r="AB30" s="181"/>
      <c r="AC30" s="181"/>
    </row>
    <row r="31" spans="1:29" s="157" customFormat="1" ht="15.75" x14ac:dyDescent="0.25">
      <c r="A31" s="100">
        <v>28</v>
      </c>
      <c r="B31" s="242" t="str">
        <f>PIERNA!JU5</f>
        <v>TYSON FRESH MEATS</v>
      </c>
      <c r="C31" s="734" t="str">
        <f>PIERNA!JV5</f>
        <v xml:space="preserve">I B P </v>
      </c>
      <c r="D31" s="520" t="str">
        <f>PIERNA!JW5</f>
        <v>PED. 82489243</v>
      </c>
      <c r="E31" s="437">
        <f>PIERNA!JX5</f>
        <v>44705</v>
      </c>
      <c r="F31" s="786">
        <f>PIERNA!JY5</f>
        <v>18733.169999999998</v>
      </c>
      <c r="G31" s="787">
        <f>PIERNA!JZ5</f>
        <v>20</v>
      </c>
      <c r="H31" s="788">
        <f>PIERNA!KA5</f>
        <v>18820.8</v>
      </c>
      <c r="I31" s="275">
        <f>PIERNA!I31</f>
        <v>-87.630000000001019</v>
      </c>
      <c r="J31" s="502" t="s">
        <v>585</v>
      </c>
      <c r="K31" s="541">
        <v>11151</v>
      </c>
      <c r="L31" s="542" t="s">
        <v>604</v>
      </c>
      <c r="M31" s="541">
        <v>33640</v>
      </c>
      <c r="N31" s="551" t="s">
        <v>605</v>
      </c>
      <c r="O31" s="558">
        <v>934165</v>
      </c>
      <c r="P31" s="544"/>
      <c r="Q31" s="851">
        <f>37787.68*19.864</f>
        <v>750614.47551999998</v>
      </c>
      <c r="R31" s="527" t="s">
        <v>601</v>
      </c>
      <c r="S31" s="65">
        <f t="shared" si="0"/>
        <v>795405.47551999998</v>
      </c>
      <c r="T31" s="65">
        <f t="shared" si="4"/>
        <v>42.362043883363093</v>
      </c>
      <c r="W31" s="73"/>
      <c r="X31" s="73"/>
      <c r="Y31" s="181"/>
      <c r="Z31" s="182"/>
      <c r="AA31" s="181"/>
      <c r="AB31" s="181"/>
      <c r="AC31" s="181"/>
    </row>
    <row r="32" spans="1:29" s="157" customFormat="1" ht="15.75" x14ac:dyDescent="0.25">
      <c r="A32" s="100">
        <v>29</v>
      </c>
      <c r="B32" s="242" t="str">
        <f>PIERNA!KE5</f>
        <v>TYSON FRESH MEATS</v>
      </c>
      <c r="C32" s="242" t="str">
        <f>PIERNA!KF5</f>
        <v xml:space="preserve">I B P </v>
      </c>
      <c r="D32" s="520" t="str">
        <f>PIERNA!KG5</f>
        <v>PED. 82501744</v>
      </c>
      <c r="E32" s="437">
        <f>PIERNA!KH5</f>
        <v>44706</v>
      </c>
      <c r="F32" s="786">
        <f>PIERNA!KI5</f>
        <v>18848.919999999998</v>
      </c>
      <c r="G32" s="787">
        <f>PIERNA!KJ5</f>
        <v>20</v>
      </c>
      <c r="H32" s="788">
        <f>PIERNA!H32</f>
        <v>18884.77</v>
      </c>
      <c r="I32" s="275">
        <f>PIERNA!I32</f>
        <v>-35.850000000002183</v>
      </c>
      <c r="J32" s="502" t="s">
        <v>586</v>
      </c>
      <c r="K32" s="541">
        <v>9851</v>
      </c>
      <c r="L32" s="542" t="s">
        <v>605</v>
      </c>
      <c r="M32" s="541">
        <v>33640</v>
      </c>
      <c r="N32" s="551" t="s">
        <v>607</v>
      </c>
      <c r="O32" s="558">
        <v>936161</v>
      </c>
      <c r="P32" s="544"/>
      <c r="Q32" s="851">
        <f>39006.89*19.789</f>
        <v>771907.34620999999</v>
      </c>
      <c r="R32" s="527" t="s">
        <v>598</v>
      </c>
      <c r="S32" s="65">
        <f>Q32+M32+K32+P32</f>
        <v>815398.34620999999</v>
      </c>
      <c r="T32" s="65">
        <f t="shared" si="4"/>
        <v>43.277562989117683</v>
      </c>
      <c r="W32" s="73"/>
      <c r="X32" s="73"/>
      <c r="Y32" s="181"/>
      <c r="Z32" s="182"/>
      <c r="AA32" s="181"/>
      <c r="AB32" s="181"/>
      <c r="AC32" s="181"/>
    </row>
    <row r="33" spans="1:29" s="157" customFormat="1" ht="15.75" x14ac:dyDescent="0.25">
      <c r="A33" s="100">
        <v>30</v>
      </c>
      <c r="B33" s="250" t="str">
        <f>PIERNA!KO5</f>
        <v>SEABOARD FOODS</v>
      </c>
      <c r="C33" s="242" t="str">
        <f>PIERNA!KP5</f>
        <v>Seaboard</v>
      </c>
      <c r="D33" s="520" t="str">
        <f>PIERNA!KQ5</f>
        <v>PED. 82557911</v>
      </c>
      <c r="E33" s="437">
        <f>PIERNA!KR5</f>
        <v>44707</v>
      </c>
      <c r="F33" s="789">
        <f>PIERNA!KS5</f>
        <v>18889.72</v>
      </c>
      <c r="G33" s="790">
        <f>PIERNA!KT5</f>
        <v>21</v>
      </c>
      <c r="H33" s="788">
        <f>PIERNA!KU5</f>
        <v>18947.599999999999</v>
      </c>
      <c r="I33" s="275">
        <f>PIERNA!I33</f>
        <v>-57.879999999997381</v>
      </c>
      <c r="J33" s="502" t="s">
        <v>587</v>
      </c>
      <c r="K33" s="547">
        <v>12151</v>
      </c>
      <c r="L33" s="542" t="s">
        <v>607</v>
      </c>
      <c r="M33" s="541">
        <v>33640</v>
      </c>
      <c r="N33" s="551" t="s">
        <v>609</v>
      </c>
      <c r="O33" s="558">
        <v>2043087</v>
      </c>
      <c r="P33" s="588"/>
      <c r="Q33" s="851">
        <f>40748.59*19.925</f>
        <v>811915.65574999992</v>
      </c>
      <c r="R33" s="527" t="s">
        <v>345</v>
      </c>
      <c r="S33" s="65">
        <f>Q33+M33+K33+P33</f>
        <v>857706.65574999992</v>
      </c>
      <c r="T33" s="65">
        <f t="shared" si="4"/>
        <v>45.367298008718784</v>
      </c>
      <c r="W33" s="73"/>
      <c r="X33" s="73"/>
      <c r="Y33" s="181"/>
      <c r="Z33" s="182"/>
      <c r="AA33" s="181"/>
      <c r="AB33" s="181"/>
      <c r="AC33" s="181"/>
    </row>
    <row r="34" spans="1:29" s="157" customFormat="1" ht="16.5" x14ac:dyDescent="0.25">
      <c r="A34" s="100">
        <v>31</v>
      </c>
      <c r="B34" s="242" t="str">
        <f>PIERNA!B34</f>
        <v>SEABOARD FOODS</v>
      </c>
      <c r="C34" s="282" t="str">
        <f>PIERNA!C34</f>
        <v>Seaboard</v>
      </c>
      <c r="D34" s="520" t="str">
        <f>PIERNA!D34</f>
        <v>PED. 82621458</v>
      </c>
      <c r="E34" s="437">
        <f>PIERNA!E34</f>
        <v>44708</v>
      </c>
      <c r="F34" s="789">
        <f>PIERNA!F34</f>
        <v>18647.52</v>
      </c>
      <c r="G34" s="790">
        <f>PIERNA!G34</f>
        <v>21</v>
      </c>
      <c r="H34" s="788">
        <f>PIERNA!H34</f>
        <v>18720.7</v>
      </c>
      <c r="I34" s="275">
        <f>PIERNA!I34</f>
        <v>-73.180000000000291</v>
      </c>
      <c r="J34" s="502" t="s">
        <v>593</v>
      </c>
      <c r="K34" s="541">
        <v>11151</v>
      </c>
      <c r="L34" s="542" t="s">
        <v>608</v>
      </c>
      <c r="M34" s="541">
        <v>33640</v>
      </c>
      <c r="N34" s="551" t="s">
        <v>610</v>
      </c>
      <c r="O34" s="948">
        <v>2043406</v>
      </c>
      <c r="P34" s="544"/>
      <c r="Q34" s="852">
        <f>41470.11*19.91</f>
        <v>825669.89009999996</v>
      </c>
      <c r="R34" s="590" t="s">
        <v>341</v>
      </c>
      <c r="S34" s="65">
        <f>Q34+M34+K34+P34</f>
        <v>870460.89009999996</v>
      </c>
      <c r="T34" s="65">
        <f t="shared" si="4"/>
        <v>46.59724049314395</v>
      </c>
      <c r="W34" s="73"/>
      <c r="X34" s="73"/>
      <c r="Y34" s="181"/>
      <c r="Z34" s="182"/>
      <c r="AA34" s="181"/>
      <c r="AB34" s="181"/>
      <c r="AC34" s="181"/>
    </row>
    <row r="35" spans="1:29" s="157" customFormat="1" ht="16.5" x14ac:dyDescent="0.25">
      <c r="A35" s="100">
        <v>32</v>
      </c>
      <c r="B35" s="75" t="str">
        <f>PIERNA!B35</f>
        <v>TYSON FRESH MEATS</v>
      </c>
      <c r="C35" s="282" t="str">
        <f>PIERNA!C35</f>
        <v xml:space="preserve"> I B P </v>
      </c>
      <c r="D35" s="520" t="str">
        <f>PIERNA!D35</f>
        <v>PED. 82621460</v>
      </c>
      <c r="E35" s="437">
        <f>PIERNA!E35</f>
        <v>44708</v>
      </c>
      <c r="F35" s="789">
        <f>PIERNA!F35</f>
        <v>18284.37</v>
      </c>
      <c r="G35" s="791">
        <f>PIERNA!G35</f>
        <v>20</v>
      </c>
      <c r="H35" s="788">
        <f>PIERNA!H35</f>
        <v>18296.16</v>
      </c>
      <c r="I35" s="275">
        <f>PIERNA!I35</f>
        <v>-11.790000000000873</v>
      </c>
      <c r="J35" s="502" t="s">
        <v>594</v>
      </c>
      <c r="K35" s="541">
        <v>1151</v>
      </c>
      <c r="L35" s="542" t="s">
        <v>608</v>
      </c>
      <c r="M35" s="541">
        <v>33640</v>
      </c>
      <c r="N35" s="551" t="s">
        <v>610</v>
      </c>
      <c r="O35" s="948">
        <v>939702</v>
      </c>
      <c r="P35" s="588"/>
      <c r="Q35" s="547">
        <f>40530.62*19.62</f>
        <v>795210.7644000001</v>
      </c>
      <c r="R35" s="527" t="s">
        <v>598</v>
      </c>
      <c r="S35" s="65">
        <f>Q35+M35+K35</f>
        <v>830001.7644000001</v>
      </c>
      <c r="T35" s="65">
        <f t="shared" si="4"/>
        <v>45.464806844714964</v>
      </c>
      <c r="W35" s="73"/>
      <c r="X35" s="73"/>
      <c r="Y35" s="181"/>
      <c r="Z35" s="182"/>
      <c r="AA35" s="181"/>
      <c r="AB35" s="181"/>
      <c r="AC35" s="181"/>
    </row>
    <row r="36" spans="1:29" s="157" customFormat="1" ht="16.5" x14ac:dyDescent="0.25">
      <c r="A36" s="100">
        <v>33</v>
      </c>
      <c r="B36" s="75">
        <f>PIERNA!B36</f>
        <v>0</v>
      </c>
      <c r="C36" s="282">
        <f>PIERNA!C36</f>
        <v>0</v>
      </c>
      <c r="D36" s="520">
        <f>PIERNA!D36</f>
        <v>0</v>
      </c>
      <c r="E36" s="437">
        <f>PIERNA!E36</f>
        <v>0</v>
      </c>
      <c r="F36" s="789">
        <f>PIERNA!F36</f>
        <v>0</v>
      </c>
      <c r="G36" s="791">
        <f>PIERNA!G36</f>
        <v>0</v>
      </c>
      <c r="H36" s="788">
        <f>PIERNA!H36</f>
        <v>0</v>
      </c>
      <c r="I36" s="275">
        <f>PIERNA!I36</f>
        <v>0</v>
      </c>
      <c r="J36" s="502"/>
      <c r="K36" s="541"/>
      <c r="L36" s="542"/>
      <c r="M36" s="541"/>
      <c r="N36" s="543"/>
      <c r="O36" s="948"/>
      <c r="P36" s="588"/>
      <c r="Q36" s="547"/>
      <c r="R36" s="551"/>
      <c r="S36" s="65">
        <f t="shared" ref="S36:S39" si="9">Q36+M36+K36</f>
        <v>0</v>
      </c>
      <c r="T36" s="65" t="e">
        <f t="shared" si="4"/>
        <v>#DIV/0!</v>
      </c>
      <c r="W36" s="73"/>
      <c r="X36" s="73"/>
      <c r="Y36" s="181"/>
      <c r="Z36" s="182"/>
      <c r="AA36" s="181"/>
      <c r="AB36" s="181"/>
      <c r="AC36" s="181"/>
    </row>
    <row r="37" spans="1:29" s="157" customFormat="1" x14ac:dyDescent="0.25">
      <c r="A37" s="100">
        <v>34</v>
      </c>
      <c r="B37" s="75">
        <f>PIERNA!B37</f>
        <v>0</v>
      </c>
      <c r="C37" s="153">
        <f>PIERNA!C37</f>
        <v>0</v>
      </c>
      <c r="D37" s="244">
        <f>PIERNA!D37</f>
        <v>0</v>
      </c>
      <c r="E37" s="248">
        <f>PIERNA!E37</f>
        <v>0</v>
      </c>
      <c r="F37" s="660">
        <f>PIERNA!F37</f>
        <v>0</v>
      </c>
      <c r="G37" s="258">
        <f>PIERNA!G37</f>
        <v>0</v>
      </c>
      <c r="H37" s="508">
        <f>PIERNA!H37</f>
        <v>0</v>
      </c>
      <c r="I37" s="275">
        <f>PIERNA!I37</f>
        <v>0</v>
      </c>
      <c r="J37" s="502"/>
      <c r="K37" s="541"/>
      <c r="L37" s="542"/>
      <c r="M37" s="541"/>
      <c r="N37" s="551"/>
      <c r="O37" s="546"/>
      <c r="P37" s="544"/>
      <c r="Q37" s="851"/>
      <c r="R37" s="551"/>
      <c r="S37" s="65">
        <f>Q37+M37+K37</f>
        <v>0</v>
      </c>
      <c r="T37" s="65" t="e">
        <f t="shared" si="4"/>
        <v>#DIV/0!</v>
      </c>
      <c r="W37" s="73"/>
      <c r="X37" s="73"/>
      <c r="Y37" s="181"/>
      <c r="Z37" s="182"/>
      <c r="AA37" s="181"/>
      <c r="AB37" s="181"/>
      <c r="AC37" s="181"/>
    </row>
    <row r="38" spans="1:29" s="157" customFormat="1" x14ac:dyDescent="0.25">
      <c r="A38" s="100">
        <v>35</v>
      </c>
      <c r="B38" s="75">
        <f>PIERNA!B38</f>
        <v>0</v>
      </c>
      <c r="C38" s="153">
        <f>PIERNA!C38</f>
        <v>0</v>
      </c>
      <c r="D38" s="792">
        <f>PIERNA!D38</f>
        <v>0</v>
      </c>
      <c r="E38" s="248">
        <f>PIERNA!E38</f>
        <v>0</v>
      </c>
      <c r="F38" s="793">
        <f>PIERNA!F38</f>
        <v>0</v>
      </c>
      <c r="G38" s="258">
        <f>PIERNA!G38</f>
        <v>0</v>
      </c>
      <c r="H38" s="275">
        <f>PIERNA!H38</f>
        <v>0</v>
      </c>
      <c r="I38" s="275">
        <f>PIERNA!I38</f>
        <v>0</v>
      </c>
      <c r="J38" s="1277" t="s">
        <v>585</v>
      </c>
      <c r="K38" s="541">
        <v>104440</v>
      </c>
      <c r="L38" s="1278" t="s">
        <v>605</v>
      </c>
      <c r="M38" s="541"/>
      <c r="N38" s="551"/>
      <c r="O38" s="546"/>
      <c r="P38" s="544"/>
      <c r="Q38" s="851"/>
      <c r="R38" s="527"/>
      <c r="S38" s="65">
        <f t="shared" si="9"/>
        <v>104440</v>
      </c>
      <c r="T38" s="65" t="e">
        <f t="shared" si="4"/>
        <v>#DIV/0!</v>
      </c>
      <c r="W38" s="73"/>
      <c r="X38" s="73"/>
      <c r="Y38" s="181"/>
      <c r="Z38" s="182"/>
      <c r="AA38" s="181"/>
      <c r="AB38" s="181"/>
      <c r="AC38" s="181"/>
    </row>
    <row r="39" spans="1:29" s="157" customFormat="1" ht="15.75" x14ac:dyDescent="0.25">
      <c r="A39" s="100">
        <v>36</v>
      </c>
      <c r="B39" s="75">
        <f>PIERNA!B39</f>
        <v>0</v>
      </c>
      <c r="C39" s="153">
        <f>PIERNA!C39</f>
        <v>0</v>
      </c>
      <c r="D39" s="792">
        <f>PIERNA!D39</f>
        <v>0</v>
      </c>
      <c r="E39" s="248">
        <f>PIERNA!E39</f>
        <v>0</v>
      </c>
      <c r="F39" s="793">
        <f>PIERNA!F39</f>
        <v>0</v>
      </c>
      <c r="G39" s="258">
        <f>PIERNA!G39</f>
        <v>0</v>
      </c>
      <c r="H39" s="275">
        <f>PIERNA!H39</f>
        <v>0</v>
      </c>
      <c r="I39" s="275">
        <f>PIERNA!I39</f>
        <v>0</v>
      </c>
      <c r="J39" s="502"/>
      <c r="K39" s="547"/>
      <c r="L39" s="1278" t="s">
        <v>606</v>
      </c>
      <c r="M39" s="541"/>
      <c r="N39" s="551"/>
      <c r="O39" s="558"/>
      <c r="P39" s="544"/>
      <c r="Q39" s="851"/>
      <c r="R39" s="527"/>
      <c r="S39" s="65">
        <f t="shared" si="9"/>
        <v>0</v>
      </c>
      <c r="T39" s="65" t="e">
        <f t="shared" si="4"/>
        <v>#DIV/0!</v>
      </c>
      <c r="W39" s="73"/>
      <c r="X39" s="73"/>
      <c r="Y39" s="181"/>
      <c r="Z39" s="182"/>
      <c r="AA39" s="181"/>
      <c r="AB39" s="181"/>
      <c r="AC39" s="181"/>
    </row>
    <row r="40" spans="1:29" s="157" customFormat="1" ht="15.75" x14ac:dyDescent="0.25">
      <c r="A40" s="100">
        <v>37</v>
      </c>
      <c r="B40" s="75">
        <f>PIERNA!B40</f>
        <v>0</v>
      </c>
      <c r="C40" s="153">
        <f>PIERNA!C40</f>
        <v>0</v>
      </c>
      <c r="D40" s="792">
        <f>PIERNA!D40</f>
        <v>0</v>
      </c>
      <c r="E40" s="248">
        <f>PIERNA!E40</f>
        <v>0</v>
      </c>
      <c r="F40" s="793">
        <f>PIERNA!F40</f>
        <v>0</v>
      </c>
      <c r="G40" s="258">
        <f>PIERNA!G40</f>
        <v>0</v>
      </c>
      <c r="H40" s="275">
        <f>PIERNA!H40</f>
        <v>0</v>
      </c>
      <c r="I40" s="275">
        <f>PIERNA!I40</f>
        <v>0</v>
      </c>
      <c r="J40" s="502"/>
      <c r="K40" s="541"/>
      <c r="L40" s="542"/>
      <c r="M40" s="541"/>
      <c r="N40" s="551"/>
      <c r="O40" s="558"/>
      <c r="P40" s="544"/>
      <c r="Q40" s="851"/>
      <c r="R40" s="527"/>
      <c r="S40" s="65">
        <f>Q40+M40+K40+P40</f>
        <v>0</v>
      </c>
      <c r="T40" s="65" t="e">
        <f t="shared" si="4"/>
        <v>#DIV/0!</v>
      </c>
      <c r="W40" s="73"/>
      <c r="X40" s="73"/>
      <c r="Y40" s="181"/>
      <c r="Z40" s="182"/>
      <c r="AA40" s="181"/>
      <c r="AB40" s="181"/>
      <c r="AC40" s="181"/>
    </row>
    <row r="41" spans="1:29" s="157" customFormat="1" ht="15.75" x14ac:dyDescent="0.25">
      <c r="A41" s="100">
        <v>38</v>
      </c>
      <c r="B41" s="75">
        <f>PIERNA!B41</f>
        <v>0</v>
      </c>
      <c r="C41" s="153">
        <f>PIERNA!C41</f>
        <v>0</v>
      </c>
      <c r="D41" s="792">
        <f>PIERNA!D41</f>
        <v>0</v>
      </c>
      <c r="E41" s="248">
        <f>PIERNA!E41</f>
        <v>0</v>
      </c>
      <c r="F41" s="793">
        <f>PIERNA!F41</f>
        <v>0</v>
      </c>
      <c r="G41" s="258">
        <f>PIERNA!G41</f>
        <v>0</v>
      </c>
      <c r="H41" s="275">
        <f>PIERNA!H41</f>
        <v>0</v>
      </c>
      <c r="I41" s="275">
        <f>PIERNA!I41</f>
        <v>0</v>
      </c>
      <c r="J41" s="502"/>
      <c r="K41" s="547"/>
      <c r="L41" s="542"/>
      <c r="M41" s="541"/>
      <c r="N41" s="551"/>
      <c r="O41" s="558"/>
      <c r="P41" s="544"/>
      <c r="Q41" s="851"/>
      <c r="R41" s="527"/>
      <c r="S41" s="65">
        <f>Q41+M41+K41+P41</f>
        <v>0</v>
      </c>
      <c r="T41" s="65" t="e">
        <f t="shared" si="4"/>
        <v>#DIV/0!</v>
      </c>
      <c r="W41" s="73"/>
      <c r="X41" s="73"/>
      <c r="Y41" s="181"/>
      <c r="AA41" s="181"/>
      <c r="AB41" s="181"/>
      <c r="AC41" s="181"/>
    </row>
    <row r="42" spans="1:29" s="157" customFormat="1" ht="15.75" x14ac:dyDescent="0.25">
      <c r="A42" s="100">
        <v>39</v>
      </c>
      <c r="B42" s="75">
        <f>PIERNA!B42</f>
        <v>0</v>
      </c>
      <c r="C42" s="735">
        <f>PIERNA!C42</f>
        <v>0</v>
      </c>
      <c r="D42" s="834">
        <f>PIERNA!D42</f>
        <v>0</v>
      </c>
      <c r="E42" s="248">
        <f>PIERNA!E42</f>
        <v>0</v>
      </c>
      <c r="F42" s="660">
        <f>PIERNA!F42</f>
        <v>0</v>
      </c>
      <c r="G42" s="258">
        <f>PIERNA!G42</f>
        <v>0</v>
      </c>
      <c r="H42" s="508">
        <f>PIERNA!H42</f>
        <v>0</v>
      </c>
      <c r="I42" s="275">
        <f>PIERNA!I42</f>
        <v>0</v>
      </c>
      <c r="J42" s="502"/>
      <c r="K42" s="541"/>
      <c r="L42" s="542"/>
      <c r="M42" s="541"/>
      <c r="N42" s="551"/>
      <c r="O42" s="558"/>
      <c r="P42" s="544"/>
      <c r="Q42" s="851"/>
      <c r="R42" s="527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1"/>
      <c r="AA42" s="181"/>
      <c r="AB42" s="181"/>
      <c r="AC42" s="181"/>
    </row>
    <row r="43" spans="1:29" s="157" customFormat="1" ht="15.75" x14ac:dyDescent="0.25">
      <c r="A43" s="100">
        <v>40</v>
      </c>
      <c r="B43" s="75">
        <f>PIERNA!B43</f>
        <v>0</v>
      </c>
      <c r="C43" s="153">
        <f>PIERNA!C43</f>
        <v>0</v>
      </c>
      <c r="D43" s="247">
        <f>PIERNA!D43</f>
        <v>0</v>
      </c>
      <c r="E43" s="248">
        <f>PIERNA!E43</f>
        <v>0</v>
      </c>
      <c r="F43" s="660">
        <f>PIERNA!F43</f>
        <v>0</v>
      </c>
      <c r="G43" s="258">
        <f>PIERNA!G43</f>
        <v>0</v>
      </c>
      <c r="H43" s="508">
        <f>PIERNA!H43</f>
        <v>0</v>
      </c>
      <c r="I43" s="275">
        <f>PIERNA!I43</f>
        <v>0</v>
      </c>
      <c r="J43" s="502"/>
      <c r="K43" s="541"/>
      <c r="L43" s="542"/>
      <c r="M43" s="541"/>
      <c r="N43" s="551"/>
      <c r="O43" s="558"/>
      <c r="P43" s="544"/>
      <c r="Q43" s="851"/>
      <c r="R43" s="527"/>
      <c r="S43" s="65">
        <f t="shared" si="10"/>
        <v>0</v>
      </c>
      <c r="T43" s="65" t="e">
        <f>S43/H43+0.1</f>
        <v>#DIV/0!</v>
      </c>
    </row>
    <row r="44" spans="1:29" s="157" customFormat="1" x14ac:dyDescent="0.25">
      <c r="A44" s="100">
        <v>41</v>
      </c>
      <c r="B44" s="75">
        <f>PIERNA!B44</f>
        <v>0</v>
      </c>
      <c r="C44" s="153">
        <f>PIERNA!C44</f>
        <v>0</v>
      </c>
      <c r="D44" s="834">
        <f>PIERNA!D44</f>
        <v>0</v>
      </c>
      <c r="E44" s="248">
        <f>PIERNA!E44</f>
        <v>0</v>
      </c>
      <c r="F44" s="660">
        <f>PIERNA!F44</f>
        <v>0</v>
      </c>
      <c r="G44" s="258">
        <f>PIERNA!G44</f>
        <v>0</v>
      </c>
      <c r="H44" s="508">
        <f>PIERNA!H44</f>
        <v>0</v>
      </c>
      <c r="I44" s="275">
        <f>PIERNA!I44</f>
        <v>0</v>
      </c>
      <c r="J44" s="502"/>
      <c r="K44" s="541"/>
      <c r="L44" s="542"/>
      <c r="M44" s="541"/>
      <c r="N44" s="543"/>
      <c r="O44" s="546"/>
      <c r="P44" s="544"/>
      <c r="Q44" s="547"/>
      <c r="R44" s="589"/>
      <c r="S44" s="65">
        <f>Q44+M44+K44</f>
        <v>0</v>
      </c>
      <c r="T44" s="65" t="e">
        <f t="shared" si="11"/>
        <v>#DIV/0!</v>
      </c>
    </row>
    <row r="45" spans="1:29" s="157" customFormat="1" x14ac:dyDescent="0.25">
      <c r="A45" s="100">
        <v>42</v>
      </c>
      <c r="B45" s="75">
        <f>PIERNA!B45</f>
        <v>0</v>
      </c>
      <c r="C45" s="153">
        <f>PIERNA!C45</f>
        <v>0</v>
      </c>
      <c r="D45" s="834">
        <f>PIERNA!D45</f>
        <v>0</v>
      </c>
      <c r="E45" s="248">
        <f>PIERNA!E45</f>
        <v>0</v>
      </c>
      <c r="F45" s="660">
        <f>PIERNA!F45</f>
        <v>0</v>
      </c>
      <c r="G45" s="258">
        <f>PIERNA!G45</f>
        <v>0</v>
      </c>
      <c r="H45" s="508">
        <f>PIERNA!H45</f>
        <v>0</v>
      </c>
      <c r="I45" s="275">
        <f>PIERNA!I45</f>
        <v>0</v>
      </c>
      <c r="J45" s="502"/>
      <c r="K45" s="541"/>
      <c r="L45" s="542"/>
      <c r="M45" s="541"/>
      <c r="N45" s="543"/>
      <c r="O45" s="546"/>
      <c r="P45" s="544"/>
      <c r="Q45" s="547"/>
      <c r="R45" s="589"/>
      <c r="S45" s="65">
        <f>Q45+M45+K45</f>
        <v>0</v>
      </c>
      <c r="T45" s="65" t="e">
        <f t="shared" si="11"/>
        <v>#DIV/0!</v>
      </c>
    </row>
    <row r="46" spans="1:29" s="157" customFormat="1" x14ac:dyDescent="0.25">
      <c r="A46" s="100">
        <v>43</v>
      </c>
      <c r="B46" s="75">
        <f>PIERNA!B46</f>
        <v>0</v>
      </c>
      <c r="C46" s="153">
        <f>PIERNA!C46</f>
        <v>0</v>
      </c>
      <c r="D46" s="177">
        <f>PIERNA!D46</f>
        <v>0</v>
      </c>
      <c r="E46" s="134">
        <f>PIERNA!E46</f>
        <v>0</v>
      </c>
      <c r="F46" s="657">
        <f>PIERNA!F46</f>
        <v>0</v>
      </c>
      <c r="G46" s="100">
        <f>PIERNA!G46</f>
        <v>0</v>
      </c>
      <c r="H46" s="507">
        <f>PIERNA!H46</f>
        <v>0</v>
      </c>
      <c r="I46" s="105">
        <f>PIERNA!I46</f>
        <v>0</v>
      </c>
      <c r="J46" s="285"/>
      <c r="K46" s="286"/>
      <c r="L46" s="287"/>
      <c r="M46" s="477"/>
      <c r="N46" s="288"/>
      <c r="O46" s="559"/>
      <c r="P46" s="289"/>
      <c r="Q46" s="322"/>
      <c r="R46" s="481"/>
      <c r="S46" s="65">
        <f>Q46+M46+K46</f>
        <v>0</v>
      </c>
      <c r="T46" s="65" t="e">
        <f t="shared" si="11"/>
        <v>#DIV/0!</v>
      </c>
    </row>
    <row r="47" spans="1:29" s="157" customFormat="1" x14ac:dyDescent="0.25">
      <c r="A47" s="100">
        <v>44</v>
      </c>
      <c r="B47" s="75">
        <f>PIERNA!B47</f>
        <v>0</v>
      </c>
      <c r="C47" s="153">
        <f>PIERNA!C47</f>
        <v>0</v>
      </c>
      <c r="D47" s="177">
        <f>PIERNA!D47</f>
        <v>0</v>
      </c>
      <c r="E47" s="134">
        <f>PIERNA!E47</f>
        <v>0</v>
      </c>
      <c r="F47" s="657">
        <f>PIERNA!F47</f>
        <v>0</v>
      </c>
      <c r="G47" s="100">
        <f>PIERNA!G47</f>
        <v>0</v>
      </c>
      <c r="H47" s="507">
        <f>PIERNA!H47</f>
        <v>0</v>
      </c>
      <c r="I47" s="105">
        <f>PIERNA!I47</f>
        <v>0</v>
      </c>
      <c r="J47" s="285"/>
      <c r="K47" s="286"/>
      <c r="L47" s="287"/>
      <c r="M47" s="478"/>
      <c r="N47" s="288"/>
      <c r="O47" s="560"/>
      <c r="P47" s="289"/>
      <c r="Q47" s="322"/>
      <c r="R47" s="481"/>
      <c r="S47" s="65">
        <f>Q47+M47+K47</f>
        <v>0</v>
      </c>
      <c r="T47" s="65" t="e">
        <f>S47/H47</f>
        <v>#DIV/0!</v>
      </c>
    </row>
    <row r="48" spans="1:29" s="157" customFormat="1" x14ac:dyDescent="0.25">
      <c r="A48" s="100">
        <v>45</v>
      </c>
      <c r="B48" s="75">
        <f>PIERNA!B48</f>
        <v>0</v>
      </c>
      <c r="C48" s="153">
        <f>PIERNA!C48</f>
        <v>0</v>
      </c>
      <c r="D48" s="177">
        <f>PIERNA!D48</f>
        <v>0</v>
      </c>
      <c r="E48" s="134">
        <f>PIERNA!E48</f>
        <v>0</v>
      </c>
      <c r="F48" s="657">
        <f>PIERNA!F48</f>
        <v>0</v>
      </c>
      <c r="G48" s="100">
        <f>PIERNA!G48</f>
        <v>0</v>
      </c>
      <c r="H48" s="507">
        <f>PIERNA!H48</f>
        <v>0</v>
      </c>
      <c r="I48" s="105">
        <f>PIERNA!I48</f>
        <v>0</v>
      </c>
      <c r="J48" s="285"/>
      <c r="K48" s="286"/>
      <c r="L48" s="287"/>
      <c r="M48" s="479"/>
      <c r="N48" s="288"/>
      <c r="O48" s="559"/>
      <c r="P48" s="289"/>
      <c r="Q48" s="322"/>
      <c r="R48" s="481"/>
      <c r="S48" s="65">
        <f>Q48+M48+K48</f>
        <v>0</v>
      </c>
      <c r="T48" s="65" t="e">
        <f t="shared" ref="T48:T65" si="12">S48/H48</f>
        <v>#DIV/0!</v>
      </c>
    </row>
    <row r="49" spans="1:20" s="157" customFormat="1" x14ac:dyDescent="0.25">
      <c r="A49" s="100">
        <v>46</v>
      </c>
      <c r="B49" s="75">
        <f>PIERNA!QP5</f>
        <v>0</v>
      </c>
      <c r="C49" s="153">
        <f>PIERNA!QQ5</f>
        <v>0</v>
      </c>
      <c r="D49" s="177">
        <f>PIERNA!D49</f>
        <v>0</v>
      </c>
      <c r="E49" s="134">
        <f>PIERNA!E49</f>
        <v>0</v>
      </c>
      <c r="F49" s="657">
        <f>PIERNA!F49</f>
        <v>0</v>
      </c>
      <c r="G49" s="100">
        <f>PIERNA!G49</f>
        <v>0</v>
      </c>
      <c r="H49" s="507">
        <f>PIERNA!H49</f>
        <v>0</v>
      </c>
      <c r="I49" s="105">
        <f>PIERNA!I49</f>
        <v>0</v>
      </c>
      <c r="J49" s="285"/>
      <c r="K49" s="286"/>
      <c r="L49" s="287"/>
      <c r="M49" s="479"/>
      <c r="N49" s="288"/>
      <c r="O49" s="559"/>
      <c r="P49" s="289"/>
      <c r="Q49" s="322"/>
      <c r="R49" s="481"/>
      <c r="S49" s="65">
        <f t="shared" ref="S49:S53" si="13">Q49+M49+K49</f>
        <v>0</v>
      </c>
      <c r="T49" s="65" t="e">
        <f t="shared" si="12"/>
        <v>#DIV/0!</v>
      </c>
    </row>
    <row r="50" spans="1:20" s="157" customFormat="1" x14ac:dyDescent="0.25">
      <c r="A50" s="100">
        <v>47</v>
      </c>
      <c r="B50" s="75">
        <f>PIERNA!QY5</f>
        <v>0</v>
      </c>
      <c r="C50" s="153">
        <f>PIERNA!QZ5</f>
        <v>0</v>
      </c>
      <c r="D50" s="177">
        <f>PIERNA!D50</f>
        <v>0</v>
      </c>
      <c r="E50" s="134">
        <f>PIERNA!E50</f>
        <v>0</v>
      </c>
      <c r="F50" s="657">
        <f>PIERNA!F50</f>
        <v>0</v>
      </c>
      <c r="G50" s="100">
        <f>PIERNA!G50</f>
        <v>0</v>
      </c>
      <c r="H50" s="507">
        <f>PIERNA!H50</f>
        <v>0</v>
      </c>
      <c r="I50" s="105">
        <f>PIERNA!I50</f>
        <v>0</v>
      </c>
      <c r="J50" s="285"/>
      <c r="K50" s="286"/>
      <c r="L50" s="287"/>
      <c r="M50" s="479"/>
      <c r="N50" s="288"/>
      <c r="O50" s="559"/>
      <c r="P50" s="289"/>
      <c r="Q50" s="322"/>
      <c r="R50" s="481"/>
      <c r="S50" s="65">
        <f t="shared" si="13"/>
        <v>0</v>
      </c>
      <c r="T50" s="65" t="e">
        <f t="shared" si="12"/>
        <v>#DIV/0!</v>
      </c>
    </row>
    <row r="51" spans="1:20" s="157" customFormat="1" x14ac:dyDescent="0.25">
      <c r="A51" s="100">
        <v>48</v>
      </c>
      <c r="B51" s="75">
        <f>PIERNA!B49</f>
        <v>0</v>
      </c>
      <c r="C51" s="153">
        <f>PIERNA!C49</f>
        <v>0</v>
      </c>
      <c r="D51" s="177">
        <f>PIERNA!D51</f>
        <v>0</v>
      </c>
      <c r="E51" s="134">
        <f>PIERNA!E51</f>
        <v>0</v>
      </c>
      <c r="F51" s="657">
        <f>PIERNA!F51</f>
        <v>0</v>
      </c>
      <c r="G51" s="100">
        <f>PIERNA!G51</f>
        <v>0</v>
      </c>
      <c r="H51" s="507">
        <f>PIERNA!H51</f>
        <v>0</v>
      </c>
      <c r="I51" s="105">
        <f>PIERNA!I51</f>
        <v>0</v>
      </c>
      <c r="J51" s="285"/>
      <c r="K51" s="286"/>
      <c r="L51" s="287"/>
      <c r="M51" s="479"/>
      <c r="N51" s="288"/>
      <c r="O51" s="559"/>
      <c r="P51" s="307"/>
      <c r="Q51" s="322"/>
      <c r="R51" s="481"/>
      <c r="S51" s="65">
        <f t="shared" si="13"/>
        <v>0</v>
      </c>
      <c r="T51" s="65" t="e">
        <f t="shared" si="12"/>
        <v>#DIV/0!</v>
      </c>
    </row>
    <row r="52" spans="1:20" s="157" customFormat="1" x14ac:dyDescent="0.25">
      <c r="A52" s="100">
        <v>49</v>
      </c>
      <c r="B52" s="75">
        <f>PIERNA!B50</f>
        <v>0</v>
      </c>
      <c r="C52" s="153">
        <f>PIERNA!C50</f>
        <v>0</v>
      </c>
      <c r="D52" s="177">
        <f>PIERNA!D52</f>
        <v>0</v>
      </c>
      <c r="E52" s="134">
        <f>PIERNA!E52</f>
        <v>0</v>
      </c>
      <c r="F52" s="657">
        <f>PIERNA!F52</f>
        <v>0</v>
      </c>
      <c r="G52" s="100">
        <f>PIERNA!G52</f>
        <v>0</v>
      </c>
      <c r="H52" s="507">
        <f>PIERNA!H52</f>
        <v>0</v>
      </c>
      <c r="I52" s="105">
        <f>PIERNA!I52</f>
        <v>0</v>
      </c>
      <c r="J52" s="285"/>
      <c r="K52" s="286"/>
      <c r="L52" s="287"/>
      <c r="M52" s="479"/>
      <c r="N52" s="288"/>
      <c r="O52" s="559"/>
      <c r="P52" s="289"/>
      <c r="Q52" s="322"/>
      <c r="R52" s="481"/>
      <c r="S52" s="65">
        <f t="shared" si="13"/>
        <v>0</v>
      </c>
      <c r="T52" s="65" t="e">
        <f t="shared" si="12"/>
        <v>#DIV/0!</v>
      </c>
    </row>
    <row r="53" spans="1:20" s="157" customFormat="1" x14ac:dyDescent="0.25">
      <c r="A53" s="100">
        <v>50</v>
      </c>
      <c r="B53" s="75">
        <f>PIERNA!RZ5</f>
        <v>0</v>
      </c>
      <c r="C53" s="153">
        <f>PIERNA!SA5</f>
        <v>0</v>
      </c>
      <c r="D53" s="177">
        <f>PIERNA!SB5</f>
        <v>0</v>
      </c>
      <c r="E53" s="134">
        <f>PIERNA!SC5</f>
        <v>0</v>
      </c>
      <c r="F53" s="657">
        <f>PIERNA!SD5</f>
        <v>0</v>
      </c>
      <c r="G53" s="100">
        <f>PIERNA!SE5</f>
        <v>0</v>
      </c>
      <c r="H53" s="507">
        <f>PIERNA!SF5</f>
        <v>0</v>
      </c>
      <c r="I53" s="105">
        <f>PIERNA!I53</f>
        <v>0</v>
      </c>
      <c r="J53" s="285"/>
      <c r="K53" s="286"/>
      <c r="L53" s="287"/>
      <c r="M53" s="479"/>
      <c r="N53" s="288"/>
      <c r="O53" s="559"/>
      <c r="P53" s="289"/>
      <c r="Q53" s="322"/>
      <c r="R53" s="481"/>
      <c r="S53" s="65">
        <f t="shared" si="13"/>
        <v>0</v>
      </c>
      <c r="T53" s="65" t="e">
        <f t="shared" si="12"/>
        <v>#DIV/0!</v>
      </c>
    </row>
    <row r="54" spans="1:20" s="157" customFormat="1" x14ac:dyDescent="0.25">
      <c r="A54" s="100">
        <v>51</v>
      </c>
      <c r="B54" s="75">
        <f>PIERNA!SI5</f>
        <v>0</v>
      </c>
      <c r="C54" s="153">
        <f>PIERNA!SJ5</f>
        <v>0</v>
      </c>
      <c r="D54" s="177">
        <f>PIERNA!D53</f>
        <v>0</v>
      </c>
      <c r="E54" s="134">
        <f>PIERNA!E53</f>
        <v>0</v>
      </c>
      <c r="F54" s="657">
        <f>PIERNA!F53</f>
        <v>0</v>
      </c>
      <c r="G54" s="100">
        <f>PIERNA!G53</f>
        <v>0</v>
      </c>
      <c r="H54" s="507">
        <f>PIERNA!H53</f>
        <v>0</v>
      </c>
      <c r="I54" s="105">
        <f>PIERNA!I54</f>
        <v>0</v>
      </c>
      <c r="J54" s="285"/>
      <c r="K54" s="286"/>
      <c r="L54" s="287"/>
      <c r="M54" s="479"/>
      <c r="N54" s="288"/>
      <c r="O54" s="559"/>
      <c r="P54" s="289"/>
      <c r="Q54" s="322"/>
      <c r="R54" s="481"/>
      <c r="S54" s="65">
        <f t="shared" si="10"/>
        <v>0</v>
      </c>
      <c r="T54" s="65" t="e">
        <f t="shared" si="12"/>
        <v>#DIV/0!</v>
      </c>
    </row>
    <row r="55" spans="1:20" s="157" customFormat="1" ht="15.75" x14ac:dyDescent="0.25">
      <c r="A55" s="100">
        <v>52</v>
      </c>
      <c r="B55" s="75">
        <f>PIERNA!SR5</f>
        <v>0</v>
      </c>
      <c r="C55" s="153">
        <f>PIERNA!SS5</f>
        <v>0</v>
      </c>
      <c r="D55" s="231">
        <f>PIERNA!ST5</f>
        <v>0</v>
      </c>
      <c r="E55" s="134">
        <f>PIERNA!SU5</f>
        <v>0</v>
      </c>
      <c r="F55" s="661">
        <f>PIERNA!SV5</f>
        <v>0</v>
      </c>
      <c r="G55" s="100">
        <f>PIERNA!SW5</f>
        <v>0</v>
      </c>
      <c r="H55" s="507">
        <f>PIERNA!SX5</f>
        <v>0</v>
      </c>
      <c r="I55" s="105">
        <f>PIERNA!I55</f>
        <v>0</v>
      </c>
      <c r="J55" s="285"/>
      <c r="K55" s="286"/>
      <c r="L55" s="287"/>
      <c r="M55" s="479"/>
      <c r="N55" s="288"/>
      <c r="O55" s="559"/>
      <c r="P55" s="289"/>
      <c r="Q55" s="322"/>
      <c r="R55" s="481"/>
      <c r="S55" s="65">
        <f t="shared" si="10"/>
        <v>0</v>
      </c>
      <c r="T55" s="65" t="e">
        <f t="shared" si="12"/>
        <v>#DIV/0!</v>
      </c>
    </row>
    <row r="56" spans="1:20" s="157" customFormat="1" x14ac:dyDescent="0.25">
      <c r="A56" s="100">
        <v>53</v>
      </c>
      <c r="B56" s="75">
        <f>PIERNA!TA5</f>
        <v>0</v>
      </c>
      <c r="C56" s="153">
        <f>PIERNA!TB5</f>
        <v>0</v>
      </c>
      <c r="D56" s="177">
        <f>PIERNA!TC5</f>
        <v>0</v>
      </c>
      <c r="E56" s="134">
        <f>PIERNA!TD5</f>
        <v>0</v>
      </c>
      <c r="F56" s="657">
        <f>PIERNA!TE5</f>
        <v>0</v>
      </c>
      <c r="G56" s="100">
        <f>PIERNA!TF5</f>
        <v>0</v>
      </c>
      <c r="H56" s="507">
        <f>PIERNA!TG5</f>
        <v>0</v>
      </c>
      <c r="I56" s="105">
        <f>PIERNA!I56</f>
        <v>0</v>
      </c>
      <c r="J56" s="285"/>
      <c r="K56" s="286"/>
      <c r="L56" s="464"/>
      <c r="M56" s="479"/>
      <c r="N56" s="288"/>
      <c r="O56" s="559"/>
      <c r="P56" s="289"/>
      <c r="Q56" s="322"/>
      <c r="R56" s="481"/>
      <c r="S56" s="65">
        <f t="shared" si="10"/>
        <v>0</v>
      </c>
      <c r="T56" s="65" t="e">
        <f t="shared" si="12"/>
        <v>#DIV/0!</v>
      </c>
    </row>
    <row r="57" spans="1:20" s="157" customFormat="1" x14ac:dyDescent="0.25">
      <c r="A57" s="100">
        <v>54</v>
      </c>
      <c r="B57" s="130">
        <f>PIERNA!B57</f>
        <v>0</v>
      </c>
      <c r="C57" s="153">
        <f>PIERNA!C57</f>
        <v>0</v>
      </c>
      <c r="D57" s="177">
        <f>PIERNA!D57</f>
        <v>0</v>
      </c>
      <c r="E57" s="134">
        <f>PIERNA!E57</f>
        <v>0</v>
      </c>
      <c r="F57" s="657">
        <f>PIERNA!F57</f>
        <v>0</v>
      </c>
      <c r="G57" s="169">
        <f>PIERNA!G57</f>
        <v>0</v>
      </c>
      <c r="H57" s="507">
        <f>PIERNA!H57</f>
        <v>0</v>
      </c>
      <c r="I57" s="105">
        <f>PIERNA!I57</f>
        <v>0</v>
      </c>
      <c r="J57" s="285"/>
      <c r="K57" s="286"/>
      <c r="L57" s="464"/>
      <c r="M57" s="479"/>
      <c r="N57" s="288"/>
      <c r="O57" s="559"/>
      <c r="P57" s="289"/>
      <c r="Q57" s="322"/>
      <c r="R57" s="481"/>
      <c r="S57" s="65">
        <f t="shared" si="10"/>
        <v>0</v>
      </c>
      <c r="T57" s="65" t="e">
        <f t="shared" si="12"/>
        <v>#DIV/0!</v>
      </c>
    </row>
    <row r="58" spans="1:20" s="157" customFormat="1" x14ac:dyDescent="0.25">
      <c r="A58" s="100">
        <v>55</v>
      </c>
      <c r="B58" s="75">
        <f>PIERNA!B58</f>
        <v>0</v>
      </c>
      <c r="C58" s="153">
        <f>PIERNA!C58</f>
        <v>0</v>
      </c>
      <c r="D58" s="177">
        <f>PIERNA!D58</f>
        <v>0</v>
      </c>
      <c r="E58" s="134">
        <f>PIERNA!E58</f>
        <v>0</v>
      </c>
      <c r="F58" s="657">
        <f>PIERNA!F58</f>
        <v>0</v>
      </c>
      <c r="G58" s="100">
        <f>PIERNA!G58</f>
        <v>0</v>
      </c>
      <c r="H58" s="507">
        <f>PIERNA!H58</f>
        <v>0</v>
      </c>
      <c r="I58" s="105">
        <f>PIERNA!I58</f>
        <v>0</v>
      </c>
      <c r="J58" s="285"/>
      <c r="K58" s="286"/>
      <c r="L58" s="464"/>
      <c r="M58" s="479"/>
      <c r="N58" s="288"/>
      <c r="O58" s="559"/>
      <c r="P58" s="289"/>
      <c r="Q58" s="322"/>
      <c r="R58" s="481"/>
      <c r="S58" s="65">
        <f t="shared" si="10"/>
        <v>0</v>
      </c>
      <c r="T58" s="65" t="e">
        <f t="shared" si="12"/>
        <v>#DIV/0!</v>
      </c>
    </row>
    <row r="59" spans="1:20" s="157" customFormat="1" x14ac:dyDescent="0.25">
      <c r="A59" s="100">
        <v>56</v>
      </c>
      <c r="B59" s="75">
        <f>PIERNA!B59</f>
        <v>0</v>
      </c>
      <c r="C59" s="153">
        <f>PIERNA!C59</f>
        <v>0</v>
      </c>
      <c r="D59" s="177">
        <f>PIERNA!D59</f>
        <v>0</v>
      </c>
      <c r="E59" s="134">
        <f>PIERNA!E59</f>
        <v>0</v>
      </c>
      <c r="F59" s="657">
        <f>PIERNA!F59</f>
        <v>0</v>
      </c>
      <c r="G59" s="100">
        <f>PIERNA!G59</f>
        <v>0</v>
      </c>
      <c r="H59" s="507">
        <f>PIERNA!H59</f>
        <v>0</v>
      </c>
      <c r="I59" s="105">
        <f>PIERNA!I59</f>
        <v>0</v>
      </c>
      <c r="J59" s="285"/>
      <c r="K59" s="286"/>
      <c r="L59" s="464"/>
      <c r="M59" s="479"/>
      <c r="N59" s="288"/>
      <c r="O59" s="559"/>
      <c r="P59" s="289"/>
      <c r="Q59" s="322"/>
      <c r="R59" s="481"/>
      <c r="S59" s="65">
        <f t="shared" si="10"/>
        <v>0</v>
      </c>
      <c r="T59" s="65" t="e">
        <f t="shared" si="12"/>
        <v>#DIV/0!</v>
      </c>
    </row>
    <row r="60" spans="1:20" s="157" customFormat="1" x14ac:dyDescent="0.25">
      <c r="A60" s="100">
        <v>57</v>
      </c>
      <c r="B60" s="75">
        <f>PIERNA!B60</f>
        <v>0</v>
      </c>
      <c r="C60" s="153">
        <f>PIERNA!UL5</f>
        <v>0</v>
      </c>
      <c r="D60" s="177">
        <f>PIERNA!D60</f>
        <v>0</v>
      </c>
      <c r="E60" s="134">
        <f>PIERNA!E60</f>
        <v>0</v>
      </c>
      <c r="F60" s="657">
        <f>PIERNA!F60</f>
        <v>0</v>
      </c>
      <c r="G60" s="100">
        <f>PIERNA!G60</f>
        <v>0</v>
      </c>
      <c r="H60" s="507">
        <f>PIERNA!H60</f>
        <v>0</v>
      </c>
      <c r="I60" s="105">
        <f>PIERNA!I60</f>
        <v>0</v>
      </c>
      <c r="J60" s="285"/>
      <c r="K60" s="257"/>
      <c r="L60" s="606"/>
      <c r="M60" s="479"/>
      <c r="N60" s="288"/>
      <c r="O60" s="559"/>
      <c r="P60" s="289"/>
      <c r="Q60" s="322"/>
      <c r="R60" s="481"/>
      <c r="S60" s="65">
        <f>Q60+M60+L60</f>
        <v>0</v>
      </c>
      <c r="T60" s="65" t="e">
        <f t="shared" si="12"/>
        <v>#DIV/0!</v>
      </c>
    </row>
    <row r="61" spans="1:20" s="157" customFormat="1" x14ac:dyDescent="0.25">
      <c r="A61" s="100">
        <v>58</v>
      </c>
      <c r="B61" s="75">
        <f>PIERNA!B61</f>
        <v>0</v>
      </c>
      <c r="C61" s="153">
        <f>PIERNA!C61</f>
        <v>0</v>
      </c>
      <c r="D61" s="177">
        <f>PIERNA!D61</f>
        <v>0</v>
      </c>
      <c r="E61" s="134">
        <f>PIERNA!E61</f>
        <v>0</v>
      </c>
      <c r="F61" s="657">
        <f>PIERNA!F61</f>
        <v>0</v>
      </c>
      <c r="G61" s="100">
        <f>PIERNA!G61</f>
        <v>0</v>
      </c>
      <c r="H61" s="507">
        <f>PIERNA!H61</f>
        <v>0</v>
      </c>
      <c r="I61" s="105">
        <f>PIERNA!I61</f>
        <v>0</v>
      </c>
      <c r="J61" s="285"/>
      <c r="K61" s="286"/>
      <c r="L61" s="464"/>
      <c r="M61" s="479"/>
      <c r="N61" s="288"/>
      <c r="O61" s="559"/>
      <c r="P61" s="289"/>
      <c r="Q61" s="322"/>
      <c r="R61" s="481"/>
      <c r="S61" s="65">
        <f t="shared" ref="S61:S71" si="14">Q61+M61+K61</f>
        <v>0</v>
      </c>
      <c r="T61" s="65" t="e">
        <f t="shared" si="12"/>
        <v>#DIV/0!</v>
      </c>
    </row>
    <row r="62" spans="1:20" s="157" customFormat="1" x14ac:dyDescent="0.25">
      <c r="A62" s="100">
        <v>59</v>
      </c>
      <c r="B62" s="75">
        <f>PIERNA!B62</f>
        <v>0</v>
      </c>
      <c r="C62" s="153">
        <f>PIERNA!C62</f>
        <v>0</v>
      </c>
      <c r="D62" s="177">
        <f>PIERNA!D62</f>
        <v>0</v>
      </c>
      <c r="E62" s="134">
        <f>PIERNA!F62</f>
        <v>0</v>
      </c>
      <c r="F62" s="657">
        <f>PIERNA!F62</f>
        <v>0</v>
      </c>
      <c r="G62" s="166">
        <f>PIERNA!G62</f>
        <v>0</v>
      </c>
      <c r="H62" s="507">
        <f>PIERNA!H62</f>
        <v>0</v>
      </c>
      <c r="I62" s="105">
        <f>PIERNA!I62</f>
        <v>0</v>
      </c>
      <c r="J62" s="285"/>
      <c r="K62" s="286"/>
      <c r="L62" s="464"/>
      <c r="M62" s="479"/>
      <c r="N62" s="288"/>
      <c r="O62" s="559"/>
      <c r="P62" s="289"/>
      <c r="Q62" s="322"/>
      <c r="R62" s="481"/>
      <c r="S62" s="65">
        <f t="shared" si="14"/>
        <v>0</v>
      </c>
      <c r="T62" s="65" t="e">
        <f t="shared" si="12"/>
        <v>#DIV/0!</v>
      </c>
    </row>
    <row r="63" spans="1:20" s="157" customFormat="1" x14ac:dyDescent="0.25">
      <c r="A63" s="100">
        <v>60</v>
      </c>
      <c r="B63" s="75">
        <f>PIERNA!B63</f>
        <v>0</v>
      </c>
      <c r="C63" s="153">
        <f>PIERNA!C62</f>
        <v>0</v>
      </c>
      <c r="D63" s="177">
        <f>PIERNA!D62</f>
        <v>0</v>
      </c>
      <c r="E63" s="134">
        <f>PIERNA!E63</f>
        <v>0</v>
      </c>
      <c r="F63" s="657">
        <f>PIERNA!F63</f>
        <v>0</v>
      </c>
      <c r="G63" s="166">
        <f>PIERNA!G63</f>
        <v>0</v>
      </c>
      <c r="H63" s="507">
        <f>PIERNA!H63</f>
        <v>0</v>
      </c>
      <c r="I63" s="105">
        <f>PIERNA!I63</f>
        <v>0</v>
      </c>
      <c r="J63" s="285"/>
      <c r="K63" s="286"/>
      <c r="L63" s="464"/>
      <c r="M63" s="479"/>
      <c r="N63" s="288"/>
      <c r="O63" s="559"/>
      <c r="P63" s="289"/>
      <c r="Q63" s="322"/>
      <c r="R63" s="481"/>
      <c r="S63" s="65">
        <f t="shared" si="14"/>
        <v>0</v>
      </c>
      <c r="T63" s="65" t="e">
        <f t="shared" si="12"/>
        <v>#DIV/0!</v>
      </c>
    </row>
    <row r="64" spans="1:20" s="157" customFormat="1" x14ac:dyDescent="0.25">
      <c r="A64" s="100"/>
      <c r="B64" s="75">
        <f>PIERNA!B64</f>
        <v>0</v>
      </c>
      <c r="C64" s="153">
        <f>PIERNA!C64</f>
        <v>0</v>
      </c>
      <c r="D64" s="177">
        <f>PIERNA!D64</f>
        <v>0</v>
      </c>
      <c r="E64" s="134">
        <f>PIERNA!E64</f>
        <v>0</v>
      </c>
      <c r="F64" s="657">
        <f>PIERNA!F64</f>
        <v>0</v>
      </c>
      <c r="G64" s="166">
        <f>PIERNA!G64</f>
        <v>0</v>
      </c>
      <c r="H64" s="507">
        <f>PIERNA!H64</f>
        <v>0</v>
      </c>
      <c r="I64" s="105">
        <f>PIERNA!I64</f>
        <v>0</v>
      </c>
      <c r="J64" s="285"/>
      <c r="K64" s="286"/>
      <c r="L64" s="464"/>
      <c r="M64" s="479"/>
      <c r="N64" s="288"/>
      <c r="O64" s="559"/>
      <c r="P64" s="289"/>
      <c r="Q64" s="322"/>
      <c r="R64" s="481"/>
      <c r="S64" s="65">
        <f t="shared" si="14"/>
        <v>0</v>
      </c>
      <c r="T64" s="65" t="e">
        <f t="shared" si="12"/>
        <v>#DIV/0!</v>
      </c>
    </row>
    <row r="65" spans="1:20" s="157" customFormat="1" x14ac:dyDescent="0.25">
      <c r="A65" s="100"/>
      <c r="B65" s="75">
        <f>PIERNA!B65</f>
        <v>0</v>
      </c>
      <c r="C65" s="153">
        <f>PIERNA!C65</f>
        <v>0</v>
      </c>
      <c r="D65" s="177">
        <f>PIERNA!D65</f>
        <v>0</v>
      </c>
      <c r="E65" s="134">
        <f>PIERNA!E65</f>
        <v>0</v>
      </c>
      <c r="F65" s="657">
        <f>PIERNA!F65</f>
        <v>0</v>
      </c>
      <c r="G65" s="166">
        <f>PIERNA!G65</f>
        <v>0</v>
      </c>
      <c r="H65" s="507">
        <f>PIERNA!H65</f>
        <v>0</v>
      </c>
      <c r="I65" s="105">
        <f>PIERNA!I65</f>
        <v>0</v>
      </c>
      <c r="J65" s="285"/>
      <c r="K65" s="286"/>
      <c r="L65" s="464"/>
      <c r="M65" s="479"/>
      <c r="N65" s="288"/>
      <c r="O65" s="559"/>
      <c r="P65" s="289"/>
      <c r="Q65" s="322"/>
      <c r="R65" s="481"/>
      <c r="S65" s="65">
        <f t="shared" si="14"/>
        <v>0</v>
      </c>
      <c r="T65" s="65" t="e">
        <f t="shared" si="12"/>
        <v>#DIV/0!</v>
      </c>
    </row>
    <row r="66" spans="1:20" s="157" customFormat="1" x14ac:dyDescent="0.25">
      <c r="A66" s="100"/>
      <c r="B66" s="75">
        <f>PIERNA!B61</f>
        <v>0</v>
      </c>
      <c r="C66" s="153">
        <f>PIERNA!C61</f>
        <v>0</v>
      </c>
      <c r="D66" s="177">
        <f>PIERNA!D61</f>
        <v>0</v>
      </c>
      <c r="E66" s="134">
        <f>PIERNA!E61</f>
        <v>0</v>
      </c>
      <c r="F66" s="657">
        <f>PIERNA!F61</f>
        <v>0</v>
      </c>
      <c r="G66" s="166">
        <f>PIERNA!G61</f>
        <v>0</v>
      </c>
      <c r="H66" s="507">
        <f>PIERNA!H61</f>
        <v>0</v>
      </c>
      <c r="I66" s="105">
        <f>PIERNA!I66</f>
        <v>0</v>
      </c>
      <c r="J66" s="285"/>
      <c r="K66" s="286"/>
      <c r="L66" s="464"/>
      <c r="M66" s="465"/>
      <c r="N66" s="306"/>
      <c r="O66" s="561"/>
      <c r="P66" s="289"/>
      <c r="Q66" s="322"/>
      <c r="R66" s="481"/>
      <c r="S66" s="65">
        <f t="shared" si="14"/>
        <v>0</v>
      </c>
      <c r="T66" s="65" t="e">
        <f t="shared" si="11"/>
        <v>#DIV/0!</v>
      </c>
    </row>
    <row r="67" spans="1:20" s="157" customFormat="1" x14ac:dyDescent="0.25">
      <c r="A67" s="100"/>
      <c r="B67" s="75">
        <f>PIERNA!B62</f>
        <v>0</v>
      </c>
      <c r="C67" s="153">
        <f>PIERNA!C62</f>
        <v>0</v>
      </c>
      <c r="D67" s="177">
        <f>PIERNA!D62</f>
        <v>0</v>
      </c>
      <c r="E67" s="134">
        <f>PIERNA!E62</f>
        <v>0</v>
      </c>
      <c r="F67" s="657">
        <f>PIERNA!F62</f>
        <v>0</v>
      </c>
      <c r="G67" s="166">
        <f>PIERNA!G62</f>
        <v>0</v>
      </c>
      <c r="H67" s="507">
        <f>PIERNA!H62</f>
        <v>0</v>
      </c>
      <c r="I67" s="105">
        <f>PIERNA!I67</f>
        <v>0</v>
      </c>
      <c r="J67" s="285"/>
      <c r="K67" s="286"/>
      <c r="L67" s="292"/>
      <c r="M67" s="290"/>
      <c r="N67" s="306"/>
      <c r="O67" s="561"/>
      <c r="P67" s="289"/>
      <c r="Q67" s="322"/>
      <c r="R67" s="481"/>
      <c r="S67" s="65">
        <f t="shared" si="14"/>
        <v>0</v>
      </c>
      <c r="T67" s="65" t="e">
        <f t="shared" si="11"/>
        <v>#DIV/0!</v>
      </c>
    </row>
    <row r="68" spans="1:20" s="157" customFormat="1" x14ac:dyDescent="0.25">
      <c r="A68" s="100"/>
      <c r="B68" s="131">
        <f>PIERNA!B63</f>
        <v>0</v>
      </c>
      <c r="C68" s="153">
        <f>PIERNA!C63</f>
        <v>0</v>
      </c>
      <c r="D68" s="101">
        <f>PIERNA!D63</f>
        <v>0</v>
      </c>
      <c r="E68" s="134">
        <f>PIERNA!E63</f>
        <v>0</v>
      </c>
      <c r="F68" s="657">
        <f>PIERNA!F63</f>
        <v>0</v>
      </c>
      <c r="G68" s="166">
        <f>PIERNA!G63</f>
        <v>0</v>
      </c>
      <c r="H68" s="507">
        <f>PIERNA!H63</f>
        <v>0</v>
      </c>
      <c r="I68" s="105">
        <f>PIERNA!I68</f>
        <v>0</v>
      </c>
      <c r="J68" s="285"/>
      <c r="K68" s="286"/>
      <c r="L68" s="292"/>
      <c r="M68" s="290"/>
      <c r="N68" s="306"/>
      <c r="O68" s="561"/>
      <c r="P68" s="289"/>
      <c r="Q68" s="322"/>
      <c r="R68" s="481"/>
      <c r="S68" s="65">
        <f t="shared" si="14"/>
        <v>0</v>
      </c>
      <c r="T68" s="65" t="e">
        <f t="shared" si="11"/>
        <v>#DIV/0!</v>
      </c>
    </row>
    <row r="69" spans="1:20" s="157" customFormat="1" x14ac:dyDescent="0.25">
      <c r="A69" s="100"/>
      <c r="B69" s="75">
        <f>PIERNA!B64</f>
        <v>0</v>
      </c>
      <c r="C69" s="153">
        <f>PIERNA!C64</f>
        <v>0</v>
      </c>
      <c r="D69" s="101">
        <f>PIERNA!D64</f>
        <v>0</v>
      </c>
      <c r="E69" s="134">
        <f>PIERNA!E64</f>
        <v>0</v>
      </c>
      <c r="F69" s="657">
        <f>PIERNA!F64</f>
        <v>0</v>
      </c>
      <c r="G69" s="166">
        <f>PIERNA!G64</f>
        <v>0</v>
      </c>
      <c r="H69" s="507">
        <f>PIERNA!H64</f>
        <v>0</v>
      </c>
      <c r="I69" s="105">
        <f>PIERNA!I69</f>
        <v>0</v>
      </c>
      <c r="J69" s="285"/>
      <c r="K69" s="286"/>
      <c r="L69" s="292"/>
      <c r="M69" s="290"/>
      <c r="N69" s="306"/>
      <c r="O69" s="561"/>
      <c r="P69" s="289"/>
      <c r="Q69" s="322"/>
      <c r="R69" s="481"/>
      <c r="S69" s="65">
        <f t="shared" si="14"/>
        <v>0</v>
      </c>
      <c r="T69" s="65" t="e">
        <f t="shared" si="11"/>
        <v>#DIV/0!</v>
      </c>
    </row>
    <row r="70" spans="1:20" s="157" customFormat="1" ht="15" hidden="1" customHeight="1" x14ac:dyDescent="0.25">
      <c r="A70" s="100">
        <v>62</v>
      </c>
      <c r="B70" s="75">
        <f>PIERNA!B65</f>
        <v>0</v>
      </c>
      <c r="C70" s="153">
        <f>PIERNA!C65</f>
        <v>0</v>
      </c>
      <c r="D70" s="101">
        <f>PIERNA!D65</f>
        <v>0</v>
      </c>
      <c r="E70" s="134">
        <f>PIERNA!E65</f>
        <v>0</v>
      </c>
      <c r="F70" s="657">
        <f>PIERNA!F65</f>
        <v>0</v>
      </c>
      <c r="G70" s="166">
        <f>PIERNA!G65</f>
        <v>0</v>
      </c>
      <c r="H70" s="507">
        <f>PIERNA!H65</f>
        <v>0</v>
      </c>
      <c r="I70" s="105">
        <f>PIERNA!I70</f>
        <v>0</v>
      </c>
      <c r="J70" s="466"/>
      <c r="K70" s="286"/>
      <c r="L70" s="292"/>
      <c r="M70" s="290"/>
      <c r="N70" s="288"/>
      <c r="O70" s="268"/>
      <c r="P70" s="289"/>
      <c r="Q70" s="322"/>
      <c r="R70" s="481"/>
      <c r="S70" s="65">
        <f t="shared" si="14"/>
        <v>0</v>
      </c>
      <c r="T70" s="65" t="e">
        <f t="shared" si="11"/>
        <v>#DIV/0!</v>
      </c>
    </row>
    <row r="71" spans="1:20" s="157" customFormat="1" ht="15" hidden="1" customHeight="1" x14ac:dyDescent="0.25">
      <c r="A71" s="100">
        <v>63</v>
      </c>
      <c r="B71" s="75">
        <f>PIERNA!B66</f>
        <v>0</v>
      </c>
      <c r="C71" s="153">
        <f>PIERNA!C66</f>
        <v>0</v>
      </c>
      <c r="D71" s="101">
        <f>PIERNA!D66</f>
        <v>0</v>
      </c>
      <c r="E71" s="134">
        <f>PIERNA!E66</f>
        <v>0</v>
      </c>
      <c r="F71" s="657">
        <f>PIERNA!F66</f>
        <v>0</v>
      </c>
      <c r="G71" s="166">
        <f>PIERNA!G66</f>
        <v>0</v>
      </c>
      <c r="H71" s="507">
        <f>PIERNA!H66</f>
        <v>0</v>
      </c>
      <c r="I71" s="105">
        <f>PIERNA!I71</f>
        <v>0</v>
      </c>
      <c r="J71" s="466"/>
      <c r="K71" s="286"/>
      <c r="L71" s="292"/>
      <c r="M71" s="290"/>
      <c r="N71" s="288"/>
      <c r="O71" s="268"/>
      <c r="P71" s="289"/>
      <c r="Q71" s="322"/>
      <c r="R71" s="481"/>
      <c r="S71" s="65">
        <f t="shared" si="14"/>
        <v>0</v>
      </c>
      <c r="T71" s="65" t="e">
        <f t="shared" si="11"/>
        <v>#DIV/0!</v>
      </c>
    </row>
    <row r="72" spans="1:20" s="157" customFormat="1" ht="15" hidden="1" customHeight="1" x14ac:dyDescent="0.25">
      <c r="A72" s="100">
        <v>64</v>
      </c>
      <c r="B72" s="75">
        <f>PIERNA!B67</f>
        <v>0</v>
      </c>
      <c r="C72" s="153">
        <f>PIERNA!C67</f>
        <v>0</v>
      </c>
      <c r="D72" s="101">
        <f>PIERNA!D67</f>
        <v>0</v>
      </c>
      <c r="E72" s="134">
        <f>PIERNA!E67</f>
        <v>0</v>
      </c>
      <c r="F72" s="657">
        <f>PIERNA!F67</f>
        <v>0</v>
      </c>
      <c r="G72" s="166">
        <f>PIERNA!G67</f>
        <v>0</v>
      </c>
      <c r="H72" s="507">
        <f>PIERNA!H67</f>
        <v>0</v>
      </c>
      <c r="I72" s="105">
        <f>PIERNA!I72</f>
        <v>0</v>
      </c>
      <c r="J72" s="466"/>
      <c r="K72" s="286"/>
      <c r="L72" s="292"/>
      <c r="M72" s="290"/>
      <c r="N72" s="288"/>
      <c r="O72" s="268"/>
      <c r="P72" s="289"/>
      <c r="Q72" s="322"/>
      <c r="R72" s="481"/>
      <c r="S72" s="65">
        <f t="shared" ref="S72:S141" si="15">Q72+M72+K72</f>
        <v>0</v>
      </c>
      <c r="T72" s="65" t="e">
        <f t="shared" ref="T72:T95" si="16">S72/H72+0.1</f>
        <v>#DIV/0!</v>
      </c>
    </row>
    <row r="73" spans="1:20" s="157" customFormat="1" ht="15" hidden="1" customHeight="1" x14ac:dyDescent="0.25">
      <c r="A73" s="100">
        <v>65</v>
      </c>
      <c r="B73" s="75">
        <f>PIERNA!B68</f>
        <v>0</v>
      </c>
      <c r="C73" s="153">
        <f>PIERNA!C68</f>
        <v>0</v>
      </c>
      <c r="D73" s="101">
        <f>PIERNA!D68</f>
        <v>0</v>
      </c>
      <c r="E73" s="134">
        <f>PIERNA!E68</f>
        <v>0</v>
      </c>
      <c r="F73" s="657">
        <f>PIERNA!F68</f>
        <v>0</v>
      </c>
      <c r="G73" s="166">
        <f>PIERNA!G68</f>
        <v>0</v>
      </c>
      <c r="H73" s="507">
        <f>PIERNA!H68</f>
        <v>0</v>
      </c>
      <c r="I73" s="105">
        <f>PIERNA!I73</f>
        <v>0</v>
      </c>
      <c r="J73" s="466"/>
      <c r="K73" s="286"/>
      <c r="L73" s="292"/>
      <c r="M73" s="290"/>
      <c r="N73" s="288"/>
      <c r="O73" s="268"/>
      <c r="P73" s="289"/>
      <c r="Q73" s="322"/>
      <c r="R73" s="481"/>
      <c r="S73" s="65">
        <f t="shared" si="15"/>
        <v>0</v>
      </c>
      <c r="T73" s="65" t="e">
        <f t="shared" si="16"/>
        <v>#DIV/0!</v>
      </c>
    </row>
    <row r="74" spans="1:20" s="157" customFormat="1" ht="15" hidden="1" customHeight="1" x14ac:dyDescent="0.25">
      <c r="A74" s="100">
        <v>66</v>
      </c>
      <c r="B74" s="75">
        <f>PIERNA!B69</f>
        <v>0</v>
      </c>
      <c r="C74" s="153">
        <f>PIERNA!C69</f>
        <v>0</v>
      </c>
      <c r="D74" s="101">
        <f>PIERNA!D69</f>
        <v>0</v>
      </c>
      <c r="E74" s="134">
        <f>PIERNA!E69</f>
        <v>0</v>
      </c>
      <c r="F74" s="657">
        <f>PIERNA!F69</f>
        <v>0</v>
      </c>
      <c r="G74" s="166">
        <f>PIERNA!G69</f>
        <v>0</v>
      </c>
      <c r="H74" s="507">
        <f>PIERNA!H69</f>
        <v>0</v>
      </c>
      <c r="I74" s="105">
        <f>PIERNA!I74</f>
        <v>0</v>
      </c>
      <c r="J74" s="466"/>
      <c r="K74" s="286"/>
      <c r="L74" s="292"/>
      <c r="M74" s="290"/>
      <c r="N74" s="288"/>
      <c r="O74" s="268"/>
      <c r="P74" s="289"/>
      <c r="Q74" s="322"/>
      <c r="R74" s="481"/>
      <c r="S74" s="65">
        <f t="shared" si="15"/>
        <v>0</v>
      </c>
      <c r="T74" s="65" t="e">
        <f t="shared" si="16"/>
        <v>#DIV/0!</v>
      </c>
    </row>
    <row r="75" spans="1:20" s="157" customFormat="1" ht="15" hidden="1" customHeight="1" x14ac:dyDescent="0.25">
      <c r="A75" s="100">
        <v>67</v>
      </c>
      <c r="B75" s="75">
        <f>PIERNA!B70</f>
        <v>0</v>
      </c>
      <c r="C75" s="153">
        <f>PIERNA!C70</f>
        <v>0</v>
      </c>
      <c r="D75" s="101">
        <f>PIERNA!D70</f>
        <v>0</v>
      </c>
      <c r="E75" s="134">
        <f>PIERNA!E70</f>
        <v>0</v>
      </c>
      <c r="F75" s="657">
        <f>PIERNA!F70</f>
        <v>0</v>
      </c>
      <c r="G75" s="166">
        <f>PIERNA!G70</f>
        <v>0</v>
      </c>
      <c r="H75" s="507">
        <f>PIERNA!H70</f>
        <v>0</v>
      </c>
      <c r="I75" s="105">
        <f>PIERNA!I75</f>
        <v>0</v>
      </c>
      <c r="J75" s="466"/>
      <c r="K75" s="286"/>
      <c r="L75" s="292"/>
      <c r="M75" s="290"/>
      <c r="N75" s="288"/>
      <c r="O75" s="268"/>
      <c r="P75" s="289"/>
      <c r="Q75" s="322"/>
      <c r="R75" s="481"/>
      <c r="S75" s="65">
        <f t="shared" si="15"/>
        <v>0</v>
      </c>
      <c r="T75" s="65" t="e">
        <f t="shared" si="16"/>
        <v>#DIV/0!</v>
      </c>
    </row>
    <row r="76" spans="1:20" s="157" customFormat="1" ht="15" hidden="1" customHeight="1" x14ac:dyDescent="0.25">
      <c r="A76" s="100">
        <v>68</v>
      </c>
      <c r="B76" s="130">
        <f>PIERNA!B71</f>
        <v>0</v>
      </c>
      <c r="C76" s="153">
        <f>PIERNA!C71</f>
        <v>0</v>
      </c>
      <c r="D76" s="101">
        <f>PIERNA!D71</f>
        <v>0</v>
      </c>
      <c r="E76" s="134">
        <f>PIERNA!E71</f>
        <v>0</v>
      </c>
      <c r="F76" s="657">
        <f>PIERNA!F71</f>
        <v>0</v>
      </c>
      <c r="G76" s="166">
        <f>PIERNA!G71</f>
        <v>0</v>
      </c>
      <c r="H76" s="507">
        <f>PIERNA!H71</f>
        <v>0</v>
      </c>
      <c r="I76" s="105">
        <f>PIERNA!I76</f>
        <v>0</v>
      </c>
      <c r="J76" s="466"/>
      <c r="K76" s="286"/>
      <c r="L76" s="292"/>
      <c r="M76" s="290"/>
      <c r="N76" s="288"/>
      <c r="O76" s="268"/>
      <c r="P76" s="289"/>
      <c r="Q76" s="322"/>
      <c r="R76" s="481"/>
      <c r="S76" s="65">
        <f t="shared" si="15"/>
        <v>0</v>
      </c>
      <c r="T76" s="65" t="e">
        <f t="shared" si="16"/>
        <v>#DIV/0!</v>
      </c>
    </row>
    <row r="77" spans="1:20" s="157" customFormat="1" ht="15" hidden="1" customHeight="1" x14ac:dyDescent="0.25">
      <c r="A77" s="100">
        <v>69</v>
      </c>
      <c r="B77" s="75">
        <f>PIERNA!B72</f>
        <v>0</v>
      </c>
      <c r="C77" s="153">
        <f>PIERNA!C72</f>
        <v>0</v>
      </c>
      <c r="D77" s="101">
        <f>PIERNA!D72</f>
        <v>0</v>
      </c>
      <c r="E77" s="134">
        <f>PIERNA!E72</f>
        <v>0</v>
      </c>
      <c r="F77" s="657">
        <f>PIERNA!F72</f>
        <v>0</v>
      </c>
      <c r="G77" s="166">
        <f>PIERNA!G72</f>
        <v>0</v>
      </c>
      <c r="H77" s="507">
        <f>PIERNA!H72</f>
        <v>0</v>
      </c>
      <c r="I77" s="105">
        <f>PIERNA!I77</f>
        <v>0</v>
      </c>
      <c r="J77" s="466"/>
      <c r="K77" s="286"/>
      <c r="L77" s="292"/>
      <c r="M77" s="290"/>
      <c r="N77" s="288"/>
      <c r="O77" s="268"/>
      <c r="P77" s="289"/>
      <c r="Q77" s="322"/>
      <c r="R77" s="481"/>
      <c r="S77" s="65">
        <f t="shared" si="15"/>
        <v>0</v>
      </c>
      <c r="T77" s="65" t="e">
        <f t="shared" si="16"/>
        <v>#DIV/0!</v>
      </c>
    </row>
    <row r="78" spans="1:20" s="157" customFormat="1" ht="15" hidden="1" customHeight="1" x14ac:dyDescent="0.25">
      <c r="A78" s="100">
        <v>70</v>
      </c>
      <c r="B78" s="75">
        <f>PIERNA!B73</f>
        <v>0</v>
      </c>
      <c r="C78" s="153">
        <f>PIERNA!C73</f>
        <v>0</v>
      </c>
      <c r="D78" s="101">
        <f>PIERNA!D73</f>
        <v>0</v>
      </c>
      <c r="E78" s="134">
        <f>PIERNA!E73</f>
        <v>0</v>
      </c>
      <c r="F78" s="657">
        <f>PIERNA!F73</f>
        <v>0</v>
      </c>
      <c r="G78" s="166">
        <f>PIERNA!G73</f>
        <v>0</v>
      </c>
      <c r="H78" s="507">
        <f>PIERNA!H73</f>
        <v>0</v>
      </c>
      <c r="I78" s="105">
        <f>PIERNA!I78</f>
        <v>0</v>
      </c>
      <c r="J78" s="466"/>
      <c r="K78" s="286"/>
      <c r="L78" s="292"/>
      <c r="M78" s="290"/>
      <c r="N78" s="288"/>
      <c r="O78" s="268"/>
      <c r="P78" s="289"/>
      <c r="Q78" s="322"/>
      <c r="R78" s="481"/>
      <c r="S78" s="65">
        <f t="shared" si="15"/>
        <v>0</v>
      </c>
      <c r="T78" s="65" t="e">
        <f t="shared" si="16"/>
        <v>#DIV/0!</v>
      </c>
    </row>
    <row r="79" spans="1:20" s="157" customFormat="1" ht="15" hidden="1" customHeight="1" x14ac:dyDescent="0.25">
      <c r="A79" s="100">
        <v>71</v>
      </c>
      <c r="B79" s="75">
        <f>PIERNA!B74</f>
        <v>0</v>
      </c>
      <c r="C79" s="153">
        <f>PIERNA!C74</f>
        <v>0</v>
      </c>
      <c r="D79" s="101">
        <f>PIERNA!D74</f>
        <v>0</v>
      </c>
      <c r="E79" s="134">
        <f>PIERNA!E74</f>
        <v>0</v>
      </c>
      <c r="F79" s="657">
        <f>PIERNA!F74</f>
        <v>0</v>
      </c>
      <c r="G79" s="166">
        <f>PIERNA!G74</f>
        <v>0</v>
      </c>
      <c r="H79" s="507">
        <f>PIERNA!H74</f>
        <v>0</v>
      </c>
      <c r="I79" s="105">
        <f>PIERNA!I79</f>
        <v>0</v>
      </c>
      <c r="J79" s="466"/>
      <c r="K79" s="286"/>
      <c r="L79" s="292"/>
      <c r="M79" s="290"/>
      <c r="N79" s="288"/>
      <c r="O79" s="268"/>
      <c r="P79" s="289"/>
      <c r="Q79" s="322"/>
      <c r="R79" s="481"/>
      <c r="S79" s="65">
        <f t="shared" si="15"/>
        <v>0</v>
      </c>
      <c r="T79" s="65" t="e">
        <f t="shared" si="16"/>
        <v>#DIV/0!</v>
      </c>
    </row>
    <row r="80" spans="1:20" s="157" customFormat="1" ht="15" hidden="1" customHeight="1" x14ac:dyDescent="0.25">
      <c r="A80" s="100">
        <v>72</v>
      </c>
      <c r="B80" s="75">
        <f>PIERNA!B75</f>
        <v>0</v>
      </c>
      <c r="C80" s="153">
        <f>PIERNA!C75</f>
        <v>0</v>
      </c>
      <c r="D80" s="101">
        <f>PIERNA!D75</f>
        <v>0</v>
      </c>
      <c r="E80" s="134">
        <f>PIERNA!E75</f>
        <v>0</v>
      </c>
      <c r="F80" s="657">
        <f>PIERNA!F75</f>
        <v>0</v>
      </c>
      <c r="G80" s="166">
        <f>PIERNA!G75</f>
        <v>0</v>
      </c>
      <c r="H80" s="507">
        <f>PIERNA!H75</f>
        <v>0</v>
      </c>
      <c r="I80" s="105">
        <f>PIERNA!I80</f>
        <v>0</v>
      </c>
      <c r="J80" s="466"/>
      <c r="K80" s="286"/>
      <c r="L80" s="292"/>
      <c r="M80" s="290"/>
      <c r="N80" s="288"/>
      <c r="O80" s="268"/>
      <c r="P80" s="289"/>
      <c r="Q80" s="322"/>
      <c r="R80" s="481"/>
      <c r="S80" s="65">
        <f t="shared" si="15"/>
        <v>0</v>
      </c>
      <c r="T80" s="65" t="e">
        <f t="shared" si="16"/>
        <v>#DIV/0!</v>
      </c>
    </row>
    <row r="81" spans="1:20" s="157" customFormat="1" ht="15" hidden="1" customHeight="1" x14ac:dyDescent="0.25">
      <c r="A81" s="100">
        <v>73</v>
      </c>
      <c r="B81" s="75">
        <f>PIERNA!B76</f>
        <v>0</v>
      </c>
      <c r="C81" s="153">
        <f>PIERNA!C76</f>
        <v>0</v>
      </c>
      <c r="D81" s="101">
        <f>PIERNA!D76</f>
        <v>0</v>
      </c>
      <c r="E81" s="134">
        <f>PIERNA!E76</f>
        <v>0</v>
      </c>
      <c r="F81" s="657">
        <f>PIERNA!F76</f>
        <v>0</v>
      </c>
      <c r="G81" s="166">
        <f>PIERNA!G76</f>
        <v>0</v>
      </c>
      <c r="H81" s="507">
        <f>PIERNA!H76</f>
        <v>0</v>
      </c>
      <c r="I81" s="105">
        <f>PIERNA!I81</f>
        <v>0</v>
      </c>
      <c r="J81" s="466"/>
      <c r="K81" s="286"/>
      <c r="L81" s="292"/>
      <c r="M81" s="290"/>
      <c r="N81" s="288"/>
      <c r="O81" s="268"/>
      <c r="P81" s="289"/>
      <c r="Q81" s="322"/>
      <c r="R81" s="481"/>
      <c r="S81" s="65">
        <f t="shared" si="15"/>
        <v>0</v>
      </c>
      <c r="T81" s="65" t="e">
        <f t="shared" si="16"/>
        <v>#DIV/0!</v>
      </c>
    </row>
    <row r="82" spans="1:20" s="157" customFormat="1" ht="15" hidden="1" customHeight="1" x14ac:dyDescent="0.25">
      <c r="A82" s="100">
        <v>74</v>
      </c>
      <c r="B82" s="75">
        <f>PIERNA!B77</f>
        <v>0</v>
      </c>
      <c r="C82" s="153">
        <f>PIERNA!C77</f>
        <v>0</v>
      </c>
      <c r="D82" s="101">
        <f>PIERNA!D77</f>
        <v>0</v>
      </c>
      <c r="E82" s="134">
        <f>PIERNA!E77</f>
        <v>0</v>
      </c>
      <c r="F82" s="657">
        <f>PIERNA!F77</f>
        <v>0</v>
      </c>
      <c r="G82" s="166">
        <f>PIERNA!G77</f>
        <v>0</v>
      </c>
      <c r="H82" s="507">
        <f>PIERNA!H77</f>
        <v>0</v>
      </c>
      <c r="I82" s="105">
        <f>PIERNA!I82</f>
        <v>0</v>
      </c>
      <c r="J82" s="466"/>
      <c r="K82" s="286"/>
      <c r="L82" s="292"/>
      <c r="M82" s="290"/>
      <c r="N82" s="288"/>
      <c r="O82" s="268"/>
      <c r="P82" s="289"/>
      <c r="Q82" s="322"/>
      <c r="R82" s="481"/>
      <c r="S82" s="65">
        <f t="shared" si="15"/>
        <v>0</v>
      </c>
      <c r="T82" s="65" t="e">
        <f t="shared" si="16"/>
        <v>#DIV/0!</v>
      </c>
    </row>
    <row r="83" spans="1:20" s="157" customFormat="1" ht="15" hidden="1" customHeight="1" x14ac:dyDescent="0.25">
      <c r="A83" s="100">
        <v>75</v>
      </c>
      <c r="B83" s="75">
        <f>PIERNA!B78</f>
        <v>0</v>
      </c>
      <c r="C83" s="153">
        <f>PIERNA!C78</f>
        <v>0</v>
      </c>
      <c r="D83" s="101">
        <f>PIERNA!D78</f>
        <v>0</v>
      </c>
      <c r="E83" s="134">
        <f>PIERNA!E78</f>
        <v>0</v>
      </c>
      <c r="F83" s="657">
        <f>PIERNA!F78</f>
        <v>0</v>
      </c>
      <c r="G83" s="166">
        <f>PIERNA!G78</f>
        <v>0</v>
      </c>
      <c r="H83" s="507">
        <f>PIERNA!H78</f>
        <v>0</v>
      </c>
      <c r="I83" s="105">
        <f>PIERNA!I83</f>
        <v>0</v>
      </c>
      <c r="J83" s="466"/>
      <c r="K83" s="286"/>
      <c r="L83" s="292"/>
      <c r="M83" s="290"/>
      <c r="N83" s="288"/>
      <c r="O83" s="268"/>
      <c r="P83" s="289"/>
      <c r="Q83" s="322"/>
      <c r="R83" s="481"/>
      <c r="S83" s="65">
        <f t="shared" si="15"/>
        <v>0</v>
      </c>
      <c r="T83" s="65" t="e">
        <f t="shared" si="16"/>
        <v>#DIV/0!</v>
      </c>
    </row>
    <row r="84" spans="1:20" s="157" customFormat="1" ht="15" hidden="1" customHeight="1" x14ac:dyDescent="0.25">
      <c r="A84" s="100">
        <v>76</v>
      </c>
      <c r="B84" s="75">
        <f>PIERNA!B79</f>
        <v>0</v>
      </c>
      <c r="C84" s="153">
        <f>PIERNA!C79</f>
        <v>0</v>
      </c>
      <c r="D84" s="101">
        <f>PIERNA!D79</f>
        <v>0</v>
      </c>
      <c r="E84" s="134">
        <f>PIERNA!E79</f>
        <v>0</v>
      </c>
      <c r="F84" s="657">
        <f>PIERNA!F79</f>
        <v>0</v>
      </c>
      <c r="G84" s="166">
        <f>PIERNA!G79</f>
        <v>0</v>
      </c>
      <c r="H84" s="507">
        <f>PIERNA!H79</f>
        <v>0</v>
      </c>
      <c r="I84" s="105">
        <f>PIERNA!I84</f>
        <v>0</v>
      </c>
      <c r="J84" s="466"/>
      <c r="K84" s="286"/>
      <c r="L84" s="292"/>
      <c r="M84" s="290"/>
      <c r="N84" s="288"/>
      <c r="O84" s="268"/>
      <c r="P84" s="289"/>
      <c r="Q84" s="322"/>
      <c r="R84" s="481"/>
      <c r="S84" s="65">
        <f t="shared" si="15"/>
        <v>0</v>
      </c>
      <c r="T84" s="65" t="e">
        <f t="shared" si="16"/>
        <v>#DIV/0!</v>
      </c>
    </row>
    <row r="85" spans="1:20" s="157" customFormat="1" ht="15" hidden="1" customHeight="1" x14ac:dyDescent="0.25">
      <c r="A85" s="100">
        <v>77</v>
      </c>
      <c r="B85" s="75">
        <f>PIERNA!B80</f>
        <v>0</v>
      </c>
      <c r="C85" s="153">
        <f>PIERNA!C80</f>
        <v>0</v>
      </c>
      <c r="D85" s="101">
        <f>PIERNA!D80</f>
        <v>0</v>
      </c>
      <c r="E85" s="134">
        <f>PIERNA!E80</f>
        <v>0</v>
      </c>
      <c r="F85" s="657">
        <f>PIERNA!F80</f>
        <v>0</v>
      </c>
      <c r="G85" s="166">
        <f>PIERNA!G80</f>
        <v>0</v>
      </c>
      <c r="H85" s="507">
        <f>PIERNA!H80</f>
        <v>0</v>
      </c>
      <c r="I85" s="105">
        <f>PIERNA!I85</f>
        <v>0</v>
      </c>
      <c r="J85" s="466"/>
      <c r="K85" s="286"/>
      <c r="L85" s="292"/>
      <c r="M85" s="290"/>
      <c r="N85" s="288"/>
      <c r="O85" s="268"/>
      <c r="P85" s="289"/>
      <c r="Q85" s="322"/>
      <c r="R85" s="481"/>
      <c r="S85" s="65">
        <f t="shared" si="15"/>
        <v>0</v>
      </c>
      <c r="T85" s="65" t="e">
        <f t="shared" si="16"/>
        <v>#DIV/0!</v>
      </c>
    </row>
    <row r="86" spans="1:20" s="157" customFormat="1" ht="15" hidden="1" customHeight="1" x14ac:dyDescent="0.25">
      <c r="A86" s="100">
        <v>78</v>
      </c>
      <c r="B86" s="75">
        <f>PIERNA!B81</f>
        <v>0</v>
      </c>
      <c r="C86" s="153">
        <f>PIERNA!C81</f>
        <v>0</v>
      </c>
      <c r="D86" s="101">
        <f>PIERNA!D81</f>
        <v>0</v>
      </c>
      <c r="E86" s="134">
        <f>PIERNA!E81</f>
        <v>0</v>
      </c>
      <c r="F86" s="657">
        <f>PIERNA!F81</f>
        <v>0</v>
      </c>
      <c r="G86" s="166">
        <f>PIERNA!G81</f>
        <v>0</v>
      </c>
      <c r="H86" s="507">
        <f>PIERNA!H81</f>
        <v>0</v>
      </c>
      <c r="I86" s="105">
        <f>PIERNA!I86</f>
        <v>0</v>
      </c>
      <c r="J86" s="466"/>
      <c r="K86" s="286"/>
      <c r="L86" s="292"/>
      <c r="M86" s="290"/>
      <c r="N86" s="288"/>
      <c r="O86" s="268"/>
      <c r="P86" s="289"/>
      <c r="Q86" s="322"/>
      <c r="R86" s="481"/>
      <c r="S86" s="65">
        <f t="shared" si="15"/>
        <v>0</v>
      </c>
      <c r="T86" s="65" t="e">
        <f t="shared" si="16"/>
        <v>#DIV/0!</v>
      </c>
    </row>
    <row r="87" spans="1:20" s="157" customFormat="1" ht="15" hidden="1" customHeight="1" x14ac:dyDescent="0.25">
      <c r="A87" s="100">
        <v>79</v>
      </c>
      <c r="B87" s="75">
        <f>PIERNA!B82</f>
        <v>0</v>
      </c>
      <c r="C87" s="153">
        <f>PIERNA!C82</f>
        <v>0</v>
      </c>
      <c r="D87" s="101">
        <f>PIERNA!D82</f>
        <v>0</v>
      </c>
      <c r="E87" s="134">
        <f>PIERNA!E82</f>
        <v>0</v>
      </c>
      <c r="F87" s="657">
        <f>PIERNA!F82</f>
        <v>0</v>
      </c>
      <c r="G87" s="166">
        <f>PIERNA!G82</f>
        <v>0</v>
      </c>
      <c r="H87" s="507">
        <f>PIERNA!H82</f>
        <v>0</v>
      </c>
      <c r="I87" s="105">
        <f>PIERNA!I87</f>
        <v>0</v>
      </c>
      <c r="J87" s="466"/>
      <c r="K87" s="286"/>
      <c r="L87" s="292"/>
      <c r="M87" s="290"/>
      <c r="N87" s="288"/>
      <c r="O87" s="268"/>
      <c r="P87" s="289"/>
      <c r="Q87" s="322"/>
      <c r="R87" s="481"/>
      <c r="S87" s="65">
        <f t="shared" si="15"/>
        <v>0</v>
      </c>
      <c r="T87" s="65" t="e">
        <f t="shared" si="16"/>
        <v>#DIV/0!</v>
      </c>
    </row>
    <row r="88" spans="1:20" s="157" customFormat="1" ht="15" hidden="1" customHeight="1" x14ac:dyDescent="0.25">
      <c r="A88" s="100">
        <v>80</v>
      </c>
      <c r="B88" s="75">
        <f>PIERNA!B83</f>
        <v>0</v>
      </c>
      <c r="C88" s="153">
        <f>PIERNA!C83</f>
        <v>0</v>
      </c>
      <c r="D88" s="101">
        <f>PIERNA!D83</f>
        <v>0</v>
      </c>
      <c r="E88" s="134">
        <f>PIERNA!E83</f>
        <v>0</v>
      </c>
      <c r="F88" s="657">
        <f>PIERNA!F83</f>
        <v>0</v>
      </c>
      <c r="G88" s="166">
        <f>PIERNA!G83</f>
        <v>0</v>
      </c>
      <c r="H88" s="507">
        <f>PIERNA!H83</f>
        <v>0</v>
      </c>
      <c r="I88" s="105">
        <f>PIERNA!I88</f>
        <v>0</v>
      </c>
      <c r="J88" s="466"/>
      <c r="K88" s="286"/>
      <c r="L88" s="292"/>
      <c r="M88" s="290"/>
      <c r="N88" s="288"/>
      <c r="O88" s="268"/>
      <c r="P88" s="289"/>
      <c r="Q88" s="322"/>
      <c r="R88" s="481"/>
      <c r="S88" s="65">
        <f t="shared" si="15"/>
        <v>0</v>
      </c>
      <c r="T88" s="65" t="e">
        <f t="shared" si="16"/>
        <v>#DIV/0!</v>
      </c>
    </row>
    <row r="89" spans="1:20" s="157" customFormat="1" ht="15" hidden="1" customHeight="1" x14ac:dyDescent="0.25">
      <c r="A89" s="100">
        <v>81</v>
      </c>
      <c r="B89" s="75">
        <f>PIERNA!B84</f>
        <v>0</v>
      </c>
      <c r="C89" s="153">
        <f>PIERNA!C84</f>
        <v>0</v>
      </c>
      <c r="D89" s="101">
        <f>PIERNA!D84</f>
        <v>0</v>
      </c>
      <c r="E89" s="134">
        <f>PIERNA!E84</f>
        <v>0</v>
      </c>
      <c r="F89" s="657">
        <f>PIERNA!F84</f>
        <v>0</v>
      </c>
      <c r="G89" s="166">
        <f>PIERNA!G84</f>
        <v>0</v>
      </c>
      <c r="H89" s="507">
        <f>PIERNA!H84</f>
        <v>0</v>
      </c>
      <c r="I89" s="105">
        <f>PIERNA!I89</f>
        <v>0</v>
      </c>
      <c r="J89" s="466"/>
      <c r="K89" s="286"/>
      <c r="L89" s="292"/>
      <c r="M89" s="290"/>
      <c r="N89" s="288"/>
      <c r="O89" s="268"/>
      <c r="P89" s="289"/>
      <c r="Q89" s="322"/>
      <c r="R89" s="481"/>
      <c r="S89" s="65">
        <f t="shared" si="15"/>
        <v>0</v>
      </c>
      <c r="T89" s="65" t="e">
        <f t="shared" si="16"/>
        <v>#DIV/0!</v>
      </c>
    </row>
    <row r="90" spans="1:20" s="157" customFormat="1" ht="15" hidden="1" customHeight="1" x14ac:dyDescent="0.25">
      <c r="A90" s="100">
        <v>82</v>
      </c>
      <c r="B90" s="75">
        <f>PIERNA!B85</f>
        <v>0</v>
      </c>
      <c r="C90" s="153">
        <f>PIERNA!C85</f>
        <v>0</v>
      </c>
      <c r="D90" s="101">
        <f>PIERNA!D85</f>
        <v>0</v>
      </c>
      <c r="E90" s="134">
        <f>PIERNA!E85</f>
        <v>0</v>
      </c>
      <c r="F90" s="657">
        <f>PIERNA!F85</f>
        <v>0</v>
      </c>
      <c r="G90" s="166">
        <f>PIERNA!G85</f>
        <v>0</v>
      </c>
      <c r="H90" s="507">
        <f>PIERNA!H85</f>
        <v>0</v>
      </c>
      <c r="I90" s="105">
        <f>PIERNA!I90</f>
        <v>0</v>
      </c>
      <c r="J90" s="466"/>
      <c r="K90" s="286"/>
      <c r="L90" s="292"/>
      <c r="M90" s="290"/>
      <c r="N90" s="288"/>
      <c r="O90" s="268"/>
      <c r="P90" s="289"/>
      <c r="Q90" s="322"/>
      <c r="R90" s="481"/>
      <c r="S90" s="65">
        <f t="shared" si="15"/>
        <v>0</v>
      </c>
      <c r="T90" s="65" t="e">
        <f t="shared" si="16"/>
        <v>#DIV/0!</v>
      </c>
    </row>
    <row r="91" spans="1:20" s="157" customFormat="1" ht="15" hidden="1" customHeight="1" x14ac:dyDescent="0.25">
      <c r="A91" s="100">
        <v>83</v>
      </c>
      <c r="B91" s="75">
        <f>PIERNA!B86</f>
        <v>0</v>
      </c>
      <c r="C91" s="153">
        <f>PIERNA!C86</f>
        <v>0</v>
      </c>
      <c r="D91" s="101">
        <f>PIERNA!D86</f>
        <v>0</v>
      </c>
      <c r="E91" s="134">
        <f>PIERNA!E86</f>
        <v>0</v>
      </c>
      <c r="F91" s="657">
        <f>PIERNA!F86</f>
        <v>0</v>
      </c>
      <c r="G91" s="166">
        <f>PIERNA!G86</f>
        <v>0</v>
      </c>
      <c r="H91" s="507">
        <f>PIERNA!H86</f>
        <v>0</v>
      </c>
      <c r="I91" s="105">
        <f>PIERNA!I91</f>
        <v>0</v>
      </c>
      <c r="J91" s="466"/>
      <c r="K91" s="286"/>
      <c r="L91" s="292"/>
      <c r="M91" s="290"/>
      <c r="N91" s="288"/>
      <c r="O91" s="268"/>
      <c r="P91" s="289"/>
      <c r="Q91" s="322"/>
      <c r="R91" s="481"/>
      <c r="S91" s="65">
        <f t="shared" si="15"/>
        <v>0</v>
      </c>
      <c r="T91" s="65" t="e">
        <f t="shared" si="16"/>
        <v>#DIV/0!</v>
      </c>
    </row>
    <row r="92" spans="1:20" s="157" customFormat="1" ht="15" hidden="1" customHeight="1" x14ac:dyDescent="0.25">
      <c r="A92" s="100">
        <v>84</v>
      </c>
      <c r="B92" s="75">
        <f>PIERNA!B87</f>
        <v>0</v>
      </c>
      <c r="C92" s="153">
        <f>PIERNA!C87</f>
        <v>0</v>
      </c>
      <c r="D92" s="101">
        <f>PIERNA!D87</f>
        <v>0</v>
      </c>
      <c r="E92" s="134">
        <f>PIERNA!E87</f>
        <v>0</v>
      </c>
      <c r="F92" s="657">
        <f>PIERNA!F87</f>
        <v>0</v>
      </c>
      <c r="G92" s="166">
        <f>PIERNA!G87</f>
        <v>0</v>
      </c>
      <c r="H92" s="507">
        <f>PIERNA!H87</f>
        <v>0</v>
      </c>
      <c r="I92" s="105">
        <f>PIERNA!I92</f>
        <v>0</v>
      </c>
      <c r="J92" s="466"/>
      <c r="K92" s="286"/>
      <c r="L92" s="292"/>
      <c r="M92" s="290"/>
      <c r="N92" s="288"/>
      <c r="O92" s="268"/>
      <c r="P92" s="289"/>
      <c r="Q92" s="322"/>
      <c r="R92" s="481"/>
      <c r="S92" s="65">
        <f t="shared" si="15"/>
        <v>0</v>
      </c>
      <c r="T92" s="65" t="e">
        <f t="shared" si="16"/>
        <v>#DIV/0!</v>
      </c>
    </row>
    <row r="93" spans="1:20" s="157" customFormat="1" ht="15" hidden="1" customHeight="1" x14ac:dyDescent="0.25">
      <c r="A93" s="100">
        <v>85</v>
      </c>
      <c r="B93" s="75">
        <f>PIERNA!B88</f>
        <v>0</v>
      </c>
      <c r="C93" s="153">
        <f>PIERNA!C88</f>
        <v>0</v>
      </c>
      <c r="D93" s="101">
        <f>PIERNA!D88</f>
        <v>0</v>
      </c>
      <c r="E93" s="134">
        <f>PIERNA!E88</f>
        <v>0</v>
      </c>
      <c r="F93" s="657">
        <f>PIERNA!F88</f>
        <v>0</v>
      </c>
      <c r="G93" s="166">
        <f>PIERNA!G88</f>
        <v>0</v>
      </c>
      <c r="H93" s="507">
        <f>PIERNA!H88</f>
        <v>0</v>
      </c>
      <c r="I93" s="105">
        <f>PIERNA!I93</f>
        <v>0</v>
      </c>
      <c r="J93" s="466"/>
      <c r="K93" s="286"/>
      <c r="L93" s="292"/>
      <c r="M93" s="290"/>
      <c r="N93" s="288"/>
      <c r="O93" s="268"/>
      <c r="P93" s="289"/>
      <c r="Q93" s="322"/>
      <c r="R93" s="481"/>
      <c r="S93" s="65">
        <f t="shared" si="15"/>
        <v>0</v>
      </c>
      <c r="T93" s="65" t="e">
        <f t="shared" si="16"/>
        <v>#DIV/0!</v>
      </c>
    </row>
    <row r="94" spans="1:20" s="157" customFormat="1" ht="15.75" x14ac:dyDescent="0.25">
      <c r="A94" s="100"/>
      <c r="B94" s="61"/>
      <c r="C94" s="184"/>
      <c r="D94" s="101"/>
      <c r="E94" s="134"/>
      <c r="F94" s="657"/>
      <c r="G94" s="166"/>
      <c r="H94" s="507"/>
      <c r="I94" s="105">
        <f>PIERNA!I94</f>
        <v>0</v>
      </c>
      <c r="J94" s="285"/>
      <c r="K94" s="467"/>
      <c r="L94" s="292"/>
      <c r="M94" s="290"/>
      <c r="N94" s="288"/>
      <c r="O94" s="268"/>
      <c r="P94" s="289"/>
      <c r="Q94" s="322"/>
      <c r="R94" s="481"/>
      <c r="S94" s="65">
        <f t="shared" si="15"/>
        <v>0</v>
      </c>
      <c r="T94" s="65" t="e">
        <f t="shared" si="16"/>
        <v>#DIV/0!</v>
      </c>
    </row>
    <row r="95" spans="1:20" s="157" customFormat="1" x14ac:dyDescent="0.25">
      <c r="A95" s="100"/>
      <c r="B95" s="75"/>
      <c r="C95" s="153"/>
      <c r="D95" s="101"/>
      <c r="E95" s="134"/>
      <c r="F95" s="657"/>
      <c r="G95" s="166"/>
      <c r="H95" s="507"/>
      <c r="I95" s="105">
        <f>PIERNA!I95</f>
        <v>0</v>
      </c>
      <c r="J95" s="466"/>
      <c r="K95" s="286"/>
      <c r="L95" s="292"/>
      <c r="M95" s="266"/>
      <c r="N95" s="288"/>
      <c r="O95" s="268"/>
      <c r="P95" s="289"/>
      <c r="Q95" s="322"/>
      <c r="R95" s="481"/>
      <c r="S95" s="65">
        <f t="shared" si="15"/>
        <v>0</v>
      </c>
      <c r="T95" s="65" t="e">
        <f t="shared" si="16"/>
        <v>#DIV/0!</v>
      </c>
    </row>
    <row r="96" spans="1:20" s="157" customFormat="1" x14ac:dyDescent="0.25">
      <c r="A96" s="100"/>
      <c r="B96" s="435"/>
      <c r="C96" s="153"/>
      <c r="D96" s="101"/>
      <c r="E96" s="134"/>
      <c r="F96" s="657"/>
      <c r="G96" s="166"/>
      <c r="H96" s="507"/>
      <c r="I96" s="105"/>
      <c r="J96" s="466"/>
      <c r="K96" s="286"/>
      <c r="L96" s="292"/>
      <c r="M96" s="266"/>
      <c r="N96" s="489"/>
      <c r="O96" s="559"/>
      <c r="P96" s="667"/>
      <c r="Q96" s="853"/>
      <c r="R96" s="644"/>
      <c r="S96" s="65">
        <f t="shared" si="15"/>
        <v>0</v>
      </c>
      <c r="T96" s="181" t="e">
        <f t="shared" ref="T96:T103" si="17">S96/H96</f>
        <v>#DIV/0!</v>
      </c>
    </row>
    <row r="97" spans="1:20" s="157" customFormat="1" x14ac:dyDescent="0.25">
      <c r="A97" s="100"/>
      <c r="B97" s="435"/>
      <c r="C97" s="153"/>
      <c r="D97" s="101"/>
      <c r="E97" s="134"/>
      <c r="F97" s="657"/>
      <c r="G97" s="166"/>
      <c r="H97" s="507"/>
      <c r="I97" s="105"/>
      <c r="J97" s="645"/>
      <c r="K97" s="541"/>
      <c r="L97" s="542"/>
      <c r="M97" s="541"/>
      <c r="N97" s="543"/>
      <c r="O97" s="685"/>
      <c r="P97" s="685"/>
      <c r="Q97" s="850"/>
      <c r="R97" s="685"/>
      <c r="S97" s="65">
        <f t="shared" si="15"/>
        <v>0</v>
      </c>
      <c r="T97" s="181" t="e">
        <f t="shared" si="17"/>
        <v>#DIV/0!</v>
      </c>
    </row>
    <row r="98" spans="1:20" s="157" customFormat="1" x14ac:dyDescent="0.25">
      <c r="A98" s="100"/>
      <c r="B98" s="435"/>
      <c r="C98" s="153"/>
      <c r="D98" s="101"/>
      <c r="E98" s="134"/>
      <c r="F98" s="657"/>
      <c r="G98" s="166"/>
      <c r="H98" s="507"/>
      <c r="I98" s="105"/>
      <c r="J98" s="645"/>
      <c r="K98" s="541"/>
      <c r="L98" s="542"/>
      <c r="M98" s="541"/>
      <c r="N98" s="1129"/>
      <c r="O98" s="1123"/>
      <c r="P98" s="685"/>
      <c r="Q98" s="850"/>
      <c r="R98" s="685"/>
      <c r="S98" s="65"/>
      <c r="T98" s="181"/>
    </row>
    <row r="99" spans="1:20" s="157" customFormat="1" ht="29.25" thickBot="1" x14ac:dyDescent="0.3">
      <c r="A99" s="100">
        <v>61</v>
      </c>
      <c r="B99" s="716" t="s">
        <v>254</v>
      </c>
      <c r="C99" s="513" t="s">
        <v>255</v>
      </c>
      <c r="D99" s="513"/>
      <c r="E99" s="997">
        <v>44685</v>
      </c>
      <c r="F99" s="972">
        <v>2014.17</v>
      </c>
      <c r="G99" s="513">
        <v>79</v>
      </c>
      <c r="H99" s="972">
        <v>2014.17</v>
      </c>
      <c r="I99" s="693">
        <f t="shared" ref="I99:I109" si="18">H99-F99</f>
        <v>0</v>
      </c>
      <c r="J99" s="645"/>
      <c r="K99" s="539"/>
      <c r="L99" s="565"/>
      <c r="M99" s="539"/>
      <c r="N99" s="807"/>
      <c r="O99" s="1015">
        <v>17942</v>
      </c>
      <c r="P99" s="540"/>
      <c r="Q99" s="854">
        <v>108765.18</v>
      </c>
      <c r="R99" s="538" t="s">
        <v>346</v>
      </c>
      <c r="S99" s="65">
        <f t="shared" si="15"/>
        <v>108765.18</v>
      </c>
      <c r="T99" s="181">
        <f t="shared" si="17"/>
        <v>53.999999999999993</v>
      </c>
    </row>
    <row r="100" spans="1:20" s="157" customFormat="1" ht="18.75" x14ac:dyDescent="0.3">
      <c r="A100" s="100">
        <v>62</v>
      </c>
      <c r="B100" s="1154" t="s">
        <v>260</v>
      </c>
      <c r="C100" s="513" t="s">
        <v>261</v>
      </c>
      <c r="D100" s="513"/>
      <c r="E100" s="997">
        <v>44688</v>
      </c>
      <c r="F100" s="972">
        <v>1001.69</v>
      </c>
      <c r="G100" s="513">
        <v>86</v>
      </c>
      <c r="H100" s="972">
        <v>1001.69</v>
      </c>
      <c r="I100" s="693">
        <f t="shared" si="18"/>
        <v>0</v>
      </c>
      <c r="J100" s="800"/>
      <c r="K100" s="539"/>
      <c r="L100" s="565"/>
      <c r="M100" s="539"/>
      <c r="N100" s="701"/>
      <c r="O100" s="1156" t="s">
        <v>264</v>
      </c>
      <c r="P100" s="963"/>
      <c r="Q100" s="854">
        <v>87547.71</v>
      </c>
      <c r="R100" s="1159" t="s">
        <v>319</v>
      </c>
      <c r="S100" s="65">
        <f t="shared" si="15"/>
        <v>87547.71</v>
      </c>
      <c r="T100" s="181">
        <f>S100/H100</f>
        <v>87.400003993251403</v>
      </c>
    </row>
    <row r="101" spans="1:20" s="157" customFormat="1" ht="22.5" customHeight="1" x14ac:dyDescent="0.25">
      <c r="A101" s="100">
        <v>63</v>
      </c>
      <c r="B101" s="1155"/>
      <c r="C101" s="757" t="s">
        <v>262</v>
      </c>
      <c r="D101" s="513"/>
      <c r="E101" s="997">
        <v>44688</v>
      </c>
      <c r="F101" s="972">
        <v>94.15</v>
      </c>
      <c r="G101" s="513">
        <v>8</v>
      </c>
      <c r="H101" s="972">
        <v>94.15</v>
      </c>
      <c r="I101" s="693">
        <f t="shared" si="18"/>
        <v>0</v>
      </c>
      <c r="J101" s="645"/>
      <c r="K101" s="539"/>
      <c r="L101" s="565"/>
      <c r="M101" s="539"/>
      <c r="N101" s="807"/>
      <c r="O101" s="1157"/>
      <c r="P101" s="963"/>
      <c r="Q101" s="854">
        <v>7960.38</v>
      </c>
      <c r="R101" s="1160"/>
      <c r="S101" s="65">
        <f t="shared" si="15"/>
        <v>7960.38</v>
      </c>
      <c r="T101" s="181">
        <f t="shared" si="17"/>
        <v>84.549973446627718</v>
      </c>
    </row>
    <row r="102" spans="1:20" s="157" customFormat="1" ht="24.75" customHeight="1" thickBot="1" x14ac:dyDescent="0.3">
      <c r="A102" s="100">
        <v>64</v>
      </c>
      <c r="B102" s="1155"/>
      <c r="C102" s="933" t="s">
        <v>263</v>
      </c>
      <c r="D102" s="513"/>
      <c r="E102" s="997">
        <v>44688</v>
      </c>
      <c r="F102" s="972">
        <v>190.14</v>
      </c>
      <c r="G102" s="513">
        <v>16</v>
      </c>
      <c r="H102" s="972">
        <v>190.14</v>
      </c>
      <c r="I102" s="693">
        <f>H102-F102</f>
        <v>0</v>
      </c>
      <c r="J102" s="812"/>
      <c r="K102" s="539"/>
      <c r="L102" s="565"/>
      <c r="M102" s="539"/>
      <c r="N102" s="807"/>
      <c r="O102" s="1158"/>
      <c r="P102" s="976"/>
      <c r="Q102" s="854">
        <v>17112.599999999999</v>
      </c>
      <c r="R102" s="1161"/>
      <c r="S102" s="65">
        <f t="shared" si="15"/>
        <v>17112.599999999999</v>
      </c>
      <c r="T102" s="181">
        <f t="shared" si="17"/>
        <v>90</v>
      </c>
    </row>
    <row r="103" spans="1:20" s="157" customFormat="1" ht="22.5" customHeight="1" x14ac:dyDescent="0.25">
      <c r="A103" s="100">
        <v>65</v>
      </c>
      <c r="B103" s="1168" t="s">
        <v>278</v>
      </c>
      <c r="C103" s="1018" t="s">
        <v>43</v>
      </c>
      <c r="D103" s="513"/>
      <c r="E103" s="997">
        <v>44690</v>
      </c>
      <c r="F103" s="972">
        <v>1003.34</v>
      </c>
      <c r="G103" s="513">
        <v>221</v>
      </c>
      <c r="H103" s="972">
        <v>1003.34</v>
      </c>
      <c r="I103" s="693">
        <f t="shared" si="18"/>
        <v>0</v>
      </c>
      <c r="J103" s="645"/>
      <c r="K103" s="539"/>
      <c r="L103" s="565"/>
      <c r="M103" s="539"/>
      <c r="N103" s="807"/>
      <c r="O103" s="1170" t="s">
        <v>280</v>
      </c>
      <c r="P103" s="976"/>
      <c r="Q103" s="854">
        <v>59197.06</v>
      </c>
      <c r="R103" s="1159" t="s">
        <v>305</v>
      </c>
      <c r="S103" s="65">
        <f t="shared" si="15"/>
        <v>59197.06</v>
      </c>
      <c r="T103" s="181">
        <f t="shared" si="17"/>
        <v>58.999999999999993</v>
      </c>
    </row>
    <row r="104" spans="1:20" s="157" customFormat="1" ht="18.75" customHeight="1" thickBot="1" x14ac:dyDescent="0.3">
      <c r="A104" s="100">
        <v>66</v>
      </c>
      <c r="B104" s="1169"/>
      <c r="C104" s="1019" t="s">
        <v>279</v>
      </c>
      <c r="D104" s="513"/>
      <c r="E104" s="997">
        <v>44690</v>
      </c>
      <c r="F104" s="972">
        <v>100</v>
      </c>
      <c r="G104" s="513">
        <v>10</v>
      </c>
      <c r="H104" s="972">
        <v>100</v>
      </c>
      <c r="I104" s="693">
        <f t="shared" si="18"/>
        <v>0</v>
      </c>
      <c r="J104" s="645"/>
      <c r="K104" s="539"/>
      <c r="L104" s="702"/>
      <c r="M104" s="539"/>
      <c r="N104" s="701"/>
      <c r="O104" s="1149"/>
      <c r="P104" s="976"/>
      <c r="Q104" s="854">
        <v>8500</v>
      </c>
      <c r="R104" s="1161"/>
      <c r="S104" s="65">
        <f t="shared" si="15"/>
        <v>8500</v>
      </c>
      <c r="T104" s="181">
        <f t="shared" ref="T104:T112" si="19">S104/H104</f>
        <v>85</v>
      </c>
    </row>
    <row r="105" spans="1:20" s="157" customFormat="1" ht="31.5" customHeight="1" thickBot="1" x14ac:dyDescent="0.3">
      <c r="A105" s="100"/>
      <c r="B105" s="1021" t="s">
        <v>281</v>
      </c>
      <c r="C105" s="513" t="s">
        <v>75</v>
      </c>
      <c r="D105" s="513"/>
      <c r="E105" s="998">
        <v>44690</v>
      </c>
      <c r="F105" s="972">
        <v>1286.32</v>
      </c>
      <c r="G105" s="513">
        <v>45</v>
      </c>
      <c r="H105" s="972">
        <v>1286.32</v>
      </c>
      <c r="I105" s="693">
        <f t="shared" si="18"/>
        <v>0</v>
      </c>
      <c r="J105" s="645"/>
      <c r="K105" s="539"/>
      <c r="L105" s="702"/>
      <c r="M105" s="539"/>
      <c r="N105" s="701"/>
      <c r="O105" s="1024">
        <v>17966</v>
      </c>
      <c r="P105" s="539"/>
      <c r="Q105" s="854">
        <v>38589.599999999999</v>
      </c>
      <c r="R105" s="1030" t="s">
        <v>346</v>
      </c>
      <c r="S105" s="65">
        <f t="shared" si="15"/>
        <v>38589.599999999999</v>
      </c>
      <c r="T105" s="181">
        <f t="shared" si="19"/>
        <v>30</v>
      </c>
    </row>
    <row r="106" spans="1:20" s="157" customFormat="1" ht="28.5" customHeight="1" thickTop="1" x14ac:dyDescent="0.25">
      <c r="A106" s="100">
        <v>67</v>
      </c>
      <c r="B106" s="1150" t="s">
        <v>122</v>
      </c>
      <c r="C106" s="1019" t="s">
        <v>285</v>
      </c>
      <c r="D106" s="513"/>
      <c r="E106" s="997">
        <v>44692</v>
      </c>
      <c r="F106" s="972">
        <v>17106.91</v>
      </c>
      <c r="G106" s="513">
        <v>601</v>
      </c>
      <c r="H106" s="972">
        <v>17106.91</v>
      </c>
      <c r="I106" s="770">
        <f t="shared" si="18"/>
        <v>0</v>
      </c>
      <c r="J106" s="645"/>
      <c r="K106" s="539"/>
      <c r="L106" s="565"/>
      <c r="M106" s="539"/>
      <c r="N106" s="807"/>
      <c r="O106" s="1152"/>
      <c r="P106" s="963"/>
      <c r="Q106" s="854"/>
      <c r="R106" s="1008"/>
      <c r="S106" s="65">
        <f t="shared" si="15"/>
        <v>0</v>
      </c>
      <c r="T106" s="181">
        <f t="shared" si="19"/>
        <v>0</v>
      </c>
    </row>
    <row r="107" spans="1:20" s="157" customFormat="1" ht="28.5" customHeight="1" thickBot="1" x14ac:dyDescent="0.3">
      <c r="A107" s="100">
        <v>68</v>
      </c>
      <c r="B107" s="1151"/>
      <c r="C107" s="1019" t="s">
        <v>271</v>
      </c>
      <c r="D107" s="513"/>
      <c r="E107" s="997">
        <v>44692</v>
      </c>
      <c r="F107" s="972">
        <v>1046.53</v>
      </c>
      <c r="G107" s="513">
        <v>30</v>
      </c>
      <c r="H107" s="972">
        <v>1046.53</v>
      </c>
      <c r="I107" s="719">
        <f t="shared" si="18"/>
        <v>0</v>
      </c>
      <c r="J107" s="645"/>
      <c r="K107" s="539"/>
      <c r="L107" s="565"/>
      <c r="M107" s="539"/>
      <c r="N107" s="807"/>
      <c r="O107" s="1153"/>
      <c r="P107" s="1023"/>
      <c r="Q107" s="850"/>
      <c r="R107" s="1008"/>
      <c r="S107" s="65">
        <f t="shared" si="15"/>
        <v>0</v>
      </c>
      <c r="T107" s="181">
        <f t="shared" si="19"/>
        <v>0</v>
      </c>
    </row>
    <row r="108" spans="1:20" s="157" customFormat="1" ht="31.5" customHeight="1" x14ac:dyDescent="0.25">
      <c r="A108" s="100">
        <v>69</v>
      </c>
      <c r="B108" s="1022" t="s">
        <v>278</v>
      </c>
      <c r="C108" s="513" t="s">
        <v>289</v>
      </c>
      <c r="D108" s="513"/>
      <c r="E108" s="997">
        <v>44694</v>
      </c>
      <c r="F108" s="972">
        <v>100</v>
      </c>
      <c r="G108" s="513">
        <v>10</v>
      </c>
      <c r="H108" s="972">
        <v>100</v>
      </c>
      <c r="I108" s="275">
        <f t="shared" si="18"/>
        <v>0</v>
      </c>
      <c r="J108" s="645"/>
      <c r="K108" s="539"/>
      <c r="L108" s="565"/>
      <c r="M108" s="539"/>
      <c r="N108" s="807"/>
      <c r="O108" s="1131" t="s">
        <v>602</v>
      </c>
      <c r="P108" s="685"/>
      <c r="Q108" s="850">
        <v>10500</v>
      </c>
      <c r="R108" s="538" t="s">
        <v>319</v>
      </c>
      <c r="S108" s="65">
        <f t="shared" si="15"/>
        <v>10500</v>
      </c>
      <c r="T108" s="181">
        <f t="shared" si="19"/>
        <v>105</v>
      </c>
    </row>
    <row r="109" spans="1:20" s="157" customFormat="1" ht="35.25" customHeight="1" thickBot="1" x14ac:dyDescent="0.3">
      <c r="A109" s="100">
        <v>70</v>
      </c>
      <c r="B109" s="716" t="s">
        <v>332</v>
      </c>
      <c r="C109" s="1028" t="s">
        <v>333</v>
      </c>
      <c r="D109" s="513"/>
      <c r="E109" s="997">
        <v>44695</v>
      </c>
      <c r="F109" s="972">
        <v>18534.28</v>
      </c>
      <c r="G109" s="513">
        <v>21</v>
      </c>
      <c r="H109" s="972">
        <v>19051.400000000001</v>
      </c>
      <c r="I109" s="138">
        <f t="shared" si="18"/>
        <v>517.12000000000262</v>
      </c>
      <c r="J109" s="645" t="s">
        <v>334</v>
      </c>
      <c r="K109" s="539"/>
      <c r="L109" s="565"/>
      <c r="M109" s="539"/>
      <c r="N109" s="807"/>
      <c r="O109" s="1100" t="s">
        <v>334</v>
      </c>
      <c r="P109" s="870"/>
      <c r="Q109" s="850"/>
      <c r="R109" s="685"/>
      <c r="S109" s="65">
        <f t="shared" si="15"/>
        <v>0</v>
      </c>
      <c r="T109" s="181">
        <f t="shared" si="19"/>
        <v>0</v>
      </c>
    </row>
    <row r="110" spans="1:20" s="157" customFormat="1" ht="25.5" customHeight="1" x14ac:dyDescent="0.25">
      <c r="A110" s="100">
        <v>71</v>
      </c>
      <c r="B110" s="1181" t="s">
        <v>281</v>
      </c>
      <c r="C110" s="1019" t="s">
        <v>255</v>
      </c>
      <c r="D110" s="513"/>
      <c r="E110" s="1135">
        <v>44695</v>
      </c>
      <c r="F110" s="972">
        <v>1995.28</v>
      </c>
      <c r="G110" s="513">
        <v>80</v>
      </c>
      <c r="H110" s="972">
        <v>1995.28</v>
      </c>
      <c r="I110" s="275">
        <f t="shared" ref="I110:I113" si="20">H110-F110</f>
        <v>0</v>
      </c>
      <c r="J110" s="645"/>
      <c r="K110" s="539"/>
      <c r="L110" s="565"/>
      <c r="M110" s="539"/>
      <c r="N110" s="807"/>
      <c r="O110" s="1138">
        <v>17992</v>
      </c>
      <c r="P110" s="1023"/>
      <c r="Q110" s="850">
        <v>107745.12</v>
      </c>
      <c r="R110" s="1171" t="s">
        <v>599</v>
      </c>
      <c r="S110" s="65">
        <f t="shared" si="15"/>
        <v>107745.12</v>
      </c>
      <c r="T110" s="181">
        <f t="shared" si="19"/>
        <v>54</v>
      </c>
    </row>
    <row r="111" spans="1:20" s="157" customFormat="1" ht="26.25" customHeight="1" thickBot="1" x14ac:dyDescent="0.35">
      <c r="A111" s="100">
        <v>72</v>
      </c>
      <c r="B111" s="1182"/>
      <c r="C111" s="1019" t="s">
        <v>86</v>
      </c>
      <c r="D111" s="513"/>
      <c r="E111" s="1137"/>
      <c r="F111" s="972">
        <v>806.17</v>
      </c>
      <c r="G111" s="513">
        <v>30</v>
      </c>
      <c r="H111" s="972">
        <v>806.17</v>
      </c>
      <c r="I111" s="434">
        <f t="shared" si="20"/>
        <v>0</v>
      </c>
      <c r="J111" s="646"/>
      <c r="K111" s="539"/>
      <c r="L111" s="565"/>
      <c r="M111" s="539"/>
      <c r="N111" s="807"/>
      <c r="O111" s="1140"/>
      <c r="P111" s="1023"/>
      <c r="Q111" s="850">
        <v>41920.839999999997</v>
      </c>
      <c r="R111" s="1173"/>
      <c r="S111" s="722">
        <f t="shared" si="15"/>
        <v>41920.839999999997</v>
      </c>
      <c r="T111" s="181">
        <f t="shared" si="19"/>
        <v>52</v>
      </c>
    </row>
    <row r="112" spans="1:20" s="157" customFormat="1" ht="33" customHeight="1" thickBot="1" x14ac:dyDescent="0.35">
      <c r="A112" s="100">
        <v>73</v>
      </c>
      <c r="B112" s="1102" t="s">
        <v>557</v>
      </c>
      <c r="C112" s="513" t="s">
        <v>560</v>
      </c>
      <c r="D112" s="513"/>
      <c r="E112" s="997">
        <v>44698</v>
      </c>
      <c r="F112" s="972">
        <v>1004.21</v>
      </c>
      <c r="G112" s="513">
        <v>67</v>
      </c>
      <c r="H112" s="972">
        <v>1004.21</v>
      </c>
      <c r="I112" s="434">
        <f t="shared" si="20"/>
        <v>0</v>
      </c>
      <c r="J112" s="646"/>
      <c r="K112" s="539"/>
      <c r="L112" s="565"/>
      <c r="M112" s="539"/>
      <c r="N112" s="807"/>
      <c r="O112" s="1104" t="s">
        <v>561</v>
      </c>
      <c r="P112" s="685"/>
      <c r="Q112" s="850">
        <v>146614.66</v>
      </c>
      <c r="R112" s="1128" t="s">
        <v>596</v>
      </c>
      <c r="S112" s="722">
        <f t="shared" si="15"/>
        <v>146614.66</v>
      </c>
      <c r="T112" s="181">
        <f t="shared" si="19"/>
        <v>146</v>
      </c>
    </row>
    <row r="113" spans="1:20" s="157" customFormat="1" ht="19.5" thickTop="1" x14ac:dyDescent="0.3">
      <c r="A113" s="100">
        <v>74</v>
      </c>
      <c r="B113" s="1183" t="s">
        <v>281</v>
      </c>
      <c r="C113" s="1019" t="s">
        <v>255</v>
      </c>
      <c r="D113" s="513"/>
      <c r="E113" s="997">
        <v>44700</v>
      </c>
      <c r="F113" s="972">
        <v>1006.16</v>
      </c>
      <c r="G113" s="513">
        <v>42</v>
      </c>
      <c r="H113" s="972">
        <v>1006.16</v>
      </c>
      <c r="I113" s="434">
        <f t="shared" si="20"/>
        <v>0</v>
      </c>
      <c r="J113" s="646"/>
      <c r="K113" s="539"/>
      <c r="L113" s="565"/>
      <c r="M113" s="539"/>
      <c r="N113" s="807"/>
      <c r="O113" s="1185">
        <v>18015</v>
      </c>
      <c r="P113" s="1023"/>
      <c r="Q113" s="850">
        <v>54332.639999999999</v>
      </c>
      <c r="R113" s="1171" t="s">
        <v>599</v>
      </c>
      <c r="S113" s="722">
        <f t="shared" ref="S113:S116" si="21">Q113+M113+K113</f>
        <v>54332.639999999999</v>
      </c>
      <c r="T113" s="181">
        <f t="shared" ref="T113:T116" si="22">S113/H113</f>
        <v>54</v>
      </c>
    </row>
    <row r="114" spans="1:20" s="157" customFormat="1" ht="21.75" customHeight="1" thickBot="1" x14ac:dyDescent="0.3">
      <c r="A114" s="100">
        <v>75</v>
      </c>
      <c r="B114" s="1184"/>
      <c r="C114" s="1019" t="s">
        <v>86</v>
      </c>
      <c r="D114" s="513"/>
      <c r="E114" s="997">
        <v>44700</v>
      </c>
      <c r="F114" s="972">
        <v>481.67</v>
      </c>
      <c r="G114" s="513">
        <v>19</v>
      </c>
      <c r="H114" s="972">
        <v>481.67</v>
      </c>
      <c r="I114" s="105">
        <f t="shared" ref="I114:I187" si="23">H114-F114</f>
        <v>0</v>
      </c>
      <c r="J114" s="645"/>
      <c r="K114" s="539"/>
      <c r="L114" s="565"/>
      <c r="M114" s="539"/>
      <c r="N114" s="807"/>
      <c r="O114" s="1186"/>
      <c r="P114" s="1103"/>
      <c r="Q114" s="850">
        <v>25046.84</v>
      </c>
      <c r="R114" s="1173"/>
      <c r="S114" s="722">
        <f t="shared" si="21"/>
        <v>25046.84</v>
      </c>
      <c r="T114" s="181">
        <f t="shared" si="22"/>
        <v>52</v>
      </c>
    </row>
    <row r="115" spans="1:20" s="157" customFormat="1" ht="44.25" thickTop="1" thickBot="1" x14ac:dyDescent="0.3">
      <c r="A115" s="100">
        <v>76</v>
      </c>
      <c r="B115" s="1105" t="s">
        <v>281</v>
      </c>
      <c r="C115" s="513" t="s">
        <v>255</v>
      </c>
      <c r="D115" s="513"/>
      <c r="E115" s="1108">
        <v>44702</v>
      </c>
      <c r="F115" s="972">
        <v>1988.35</v>
      </c>
      <c r="G115" s="513">
        <v>80</v>
      </c>
      <c r="H115" s="972">
        <v>1988.35</v>
      </c>
      <c r="I115" s="105">
        <f t="shared" si="23"/>
        <v>0</v>
      </c>
      <c r="J115" s="645"/>
      <c r="K115" s="539"/>
      <c r="L115" s="565"/>
      <c r="M115" s="539"/>
      <c r="N115" s="807"/>
      <c r="O115" s="1130">
        <v>18026</v>
      </c>
      <c r="P115" s="1023"/>
      <c r="Q115" s="850">
        <v>107370.9</v>
      </c>
      <c r="R115" s="1128" t="s">
        <v>600</v>
      </c>
      <c r="S115" s="722">
        <f t="shared" si="21"/>
        <v>107370.9</v>
      </c>
      <c r="T115" s="181">
        <f t="shared" si="22"/>
        <v>54</v>
      </c>
    </row>
    <row r="116" spans="1:20" s="157" customFormat="1" ht="21.75" customHeight="1" x14ac:dyDescent="0.25">
      <c r="A116" s="100">
        <v>77</v>
      </c>
      <c r="B116" s="1168" t="s">
        <v>260</v>
      </c>
      <c r="C116" s="1019" t="s">
        <v>261</v>
      </c>
      <c r="D116" s="1106"/>
      <c r="E116" s="1175">
        <v>44702</v>
      </c>
      <c r="F116" s="1107">
        <v>604.61</v>
      </c>
      <c r="G116" s="513">
        <v>53</v>
      </c>
      <c r="H116" s="972">
        <v>604.61</v>
      </c>
      <c r="I116" s="105">
        <f t="shared" si="23"/>
        <v>0</v>
      </c>
      <c r="J116" s="645"/>
      <c r="K116" s="539"/>
      <c r="L116" s="565"/>
      <c r="M116" s="539"/>
      <c r="N116" s="807"/>
      <c r="O116" s="1178" t="s">
        <v>563</v>
      </c>
      <c r="P116" s="1103"/>
      <c r="Q116" s="850">
        <v>52842.91</v>
      </c>
      <c r="R116" s="1171" t="s">
        <v>597</v>
      </c>
      <c r="S116" s="722">
        <f t="shared" si="21"/>
        <v>52842.91</v>
      </c>
      <c r="T116" s="181">
        <f t="shared" si="22"/>
        <v>87.399993384165001</v>
      </c>
    </row>
    <row r="117" spans="1:20" s="157" customFormat="1" ht="22.5" customHeight="1" x14ac:dyDescent="0.25">
      <c r="A117" s="100">
        <v>78</v>
      </c>
      <c r="B117" s="1174"/>
      <c r="C117" s="1019" t="s">
        <v>562</v>
      </c>
      <c r="D117" s="1106"/>
      <c r="E117" s="1176"/>
      <c r="F117" s="1107">
        <v>51.08</v>
      </c>
      <c r="G117" s="513">
        <v>5</v>
      </c>
      <c r="H117" s="972">
        <v>51.08</v>
      </c>
      <c r="I117" s="105">
        <f t="shared" si="23"/>
        <v>0</v>
      </c>
      <c r="J117" s="647"/>
      <c r="K117" s="539"/>
      <c r="L117" s="565"/>
      <c r="M117" s="539"/>
      <c r="N117" s="919"/>
      <c r="O117" s="1179"/>
      <c r="P117" s="1023"/>
      <c r="Q117" s="850">
        <v>5516.64</v>
      </c>
      <c r="R117" s="1172"/>
      <c r="S117" s="65">
        <f t="shared" si="15"/>
        <v>5516.64</v>
      </c>
      <c r="T117" s="65">
        <f t="shared" ref="T117:T130" si="24">S117/H117</f>
        <v>108.00000000000001</v>
      </c>
    </row>
    <row r="118" spans="1:20" s="157" customFormat="1" ht="22.5" customHeight="1" thickBot="1" x14ac:dyDescent="0.3">
      <c r="A118" s="100">
        <v>79</v>
      </c>
      <c r="B118" s="1169"/>
      <c r="C118" s="1019" t="s">
        <v>263</v>
      </c>
      <c r="D118" s="1106"/>
      <c r="E118" s="1177"/>
      <c r="F118" s="1107">
        <v>226.25</v>
      </c>
      <c r="G118" s="513">
        <v>20</v>
      </c>
      <c r="H118" s="972">
        <v>226.25</v>
      </c>
      <c r="I118" s="105">
        <f t="shared" si="23"/>
        <v>0</v>
      </c>
      <c r="J118" s="647"/>
      <c r="K118" s="539"/>
      <c r="L118" s="565"/>
      <c r="M118" s="539"/>
      <c r="N118" s="919"/>
      <c r="O118" s="1180"/>
      <c r="P118" s="1023"/>
      <c r="Q118" s="850">
        <v>19344.38</v>
      </c>
      <c r="R118" s="1173"/>
      <c r="S118" s="65">
        <f t="shared" si="15"/>
        <v>19344.38</v>
      </c>
      <c r="T118" s="65">
        <f t="shared" si="24"/>
        <v>85.50002209944752</v>
      </c>
    </row>
    <row r="119" spans="1:20" s="157" customFormat="1" ht="23.25" customHeight="1" x14ac:dyDescent="0.25">
      <c r="A119" s="100">
        <v>80</v>
      </c>
      <c r="B119" s="1022" t="s">
        <v>278</v>
      </c>
      <c r="C119" s="513" t="s">
        <v>43</v>
      </c>
      <c r="D119" s="513"/>
      <c r="E119" s="1109">
        <v>44705</v>
      </c>
      <c r="F119" s="972">
        <v>1502.74</v>
      </c>
      <c r="G119" s="513">
        <v>331</v>
      </c>
      <c r="H119" s="972">
        <v>1502.74</v>
      </c>
      <c r="I119" s="105">
        <f t="shared" si="23"/>
        <v>0</v>
      </c>
      <c r="J119" s="647"/>
      <c r="K119" s="539"/>
      <c r="L119" s="565"/>
      <c r="M119" s="539"/>
      <c r="N119" s="919"/>
      <c r="O119" s="1101" t="s">
        <v>564</v>
      </c>
      <c r="P119" s="685"/>
      <c r="Q119" s="850">
        <v>84153.44</v>
      </c>
      <c r="R119" s="1013" t="s">
        <v>565</v>
      </c>
      <c r="S119" s="65">
        <f t="shared" si="15"/>
        <v>84153.44</v>
      </c>
      <c r="T119" s="65">
        <f t="shared" si="24"/>
        <v>56</v>
      </c>
    </row>
    <row r="120" spans="1:20" s="157" customFormat="1" ht="25.5" customHeight="1" x14ac:dyDescent="0.25">
      <c r="A120" s="100">
        <v>81</v>
      </c>
      <c r="B120" s="513" t="s">
        <v>580</v>
      </c>
      <c r="C120" s="1117" t="s">
        <v>581</v>
      </c>
      <c r="D120" s="513"/>
      <c r="E120" s="997">
        <v>44704</v>
      </c>
      <c r="F120" s="972">
        <v>304.04000000000002</v>
      </c>
      <c r="G120" s="513">
        <v>10</v>
      </c>
      <c r="H120" s="972">
        <v>304.04000000000002</v>
      </c>
      <c r="I120" s="105">
        <f t="shared" si="23"/>
        <v>0</v>
      </c>
      <c r="J120" s="647"/>
      <c r="K120" s="539"/>
      <c r="L120" s="565"/>
      <c r="M120" s="539"/>
      <c r="N120" s="919"/>
      <c r="O120" s="1118">
        <v>3055816</v>
      </c>
      <c r="P120" s="685"/>
      <c r="Q120" s="1120">
        <v>45888.76</v>
      </c>
      <c r="R120" s="1119" t="s">
        <v>582</v>
      </c>
      <c r="S120" s="65">
        <f t="shared" si="15"/>
        <v>45888.76</v>
      </c>
      <c r="T120" s="65">
        <f t="shared" si="24"/>
        <v>150.93000920931456</v>
      </c>
    </row>
    <row r="121" spans="1:20" s="157" customFormat="1" ht="29.25" thickBot="1" x14ac:dyDescent="0.3">
      <c r="A121" s="100">
        <v>81</v>
      </c>
      <c r="B121" s="716" t="s">
        <v>588</v>
      </c>
      <c r="C121" s="513" t="s">
        <v>589</v>
      </c>
      <c r="D121" s="513"/>
      <c r="E121" s="997">
        <v>44707</v>
      </c>
      <c r="F121" s="972">
        <v>16111.6</v>
      </c>
      <c r="G121" s="513">
        <v>592</v>
      </c>
      <c r="H121" s="972">
        <v>16110.6</v>
      </c>
      <c r="I121" s="105">
        <f t="shared" si="23"/>
        <v>-1</v>
      </c>
      <c r="J121" s="647"/>
      <c r="K121" s="539"/>
      <c r="L121" s="565"/>
      <c r="M121" s="539"/>
      <c r="N121" s="919"/>
      <c r="O121" s="1123"/>
      <c r="P121" s="685"/>
      <c r="Q121" s="850"/>
      <c r="R121" s="1013"/>
      <c r="S121" s="65">
        <f t="shared" ref="S121:S126" si="25">Q121+M121+K121</f>
        <v>0</v>
      </c>
      <c r="T121" s="65">
        <f t="shared" ref="T121:T126" si="26">S121/H121</f>
        <v>0</v>
      </c>
    </row>
    <row r="122" spans="1:20" s="157" customFormat="1" ht="18.75" customHeight="1" x14ac:dyDescent="0.25">
      <c r="A122" s="100">
        <v>82</v>
      </c>
      <c r="B122" s="1132" t="s">
        <v>281</v>
      </c>
      <c r="C122" s="513" t="s">
        <v>85</v>
      </c>
      <c r="D122" s="513"/>
      <c r="E122" s="1135">
        <v>44707</v>
      </c>
      <c r="F122" s="972">
        <v>1001.73</v>
      </c>
      <c r="G122" s="513">
        <v>36</v>
      </c>
      <c r="H122" s="972">
        <v>1001.73</v>
      </c>
      <c r="I122" s="105">
        <f t="shared" si="23"/>
        <v>0</v>
      </c>
      <c r="J122" s="647"/>
      <c r="K122" s="539"/>
      <c r="L122" s="565"/>
      <c r="M122" s="539"/>
      <c r="N122" s="919"/>
      <c r="O122" s="1138"/>
      <c r="P122" s="963"/>
      <c r="Q122" s="854"/>
      <c r="R122" s="685"/>
      <c r="S122" s="65">
        <f t="shared" si="25"/>
        <v>0</v>
      </c>
      <c r="T122" s="65">
        <f t="shared" si="26"/>
        <v>0</v>
      </c>
    </row>
    <row r="123" spans="1:20" s="157" customFormat="1" ht="18.75" customHeight="1" x14ac:dyDescent="0.25">
      <c r="A123" s="100">
        <v>83</v>
      </c>
      <c r="B123" s="1133"/>
      <c r="C123" s="513" t="s">
        <v>112</v>
      </c>
      <c r="D123" s="513"/>
      <c r="E123" s="1136"/>
      <c r="F123" s="972">
        <v>3005.88</v>
      </c>
      <c r="G123" s="513">
        <v>116</v>
      </c>
      <c r="H123" s="972">
        <v>3005.88</v>
      </c>
      <c r="I123" s="105">
        <f t="shared" si="23"/>
        <v>0</v>
      </c>
      <c r="J123" s="647"/>
      <c r="K123" s="539"/>
      <c r="L123" s="565"/>
      <c r="M123" s="539"/>
      <c r="N123" s="919"/>
      <c r="O123" s="1139"/>
      <c r="P123" s="963"/>
      <c r="Q123" s="854"/>
      <c r="R123" s="1008"/>
      <c r="S123" s="65">
        <f t="shared" si="25"/>
        <v>0</v>
      </c>
      <c r="T123" s="65">
        <f t="shared" si="26"/>
        <v>0</v>
      </c>
    </row>
    <row r="124" spans="1:20" s="157" customFormat="1" ht="18.75" customHeight="1" x14ac:dyDescent="0.25">
      <c r="A124" s="100">
        <v>84</v>
      </c>
      <c r="B124" s="1133"/>
      <c r="C124" s="513" t="s">
        <v>75</v>
      </c>
      <c r="D124" s="513"/>
      <c r="E124" s="1136"/>
      <c r="F124" s="972">
        <v>3030.44</v>
      </c>
      <c r="G124" s="513">
        <v>102</v>
      </c>
      <c r="H124" s="972">
        <v>3030.44</v>
      </c>
      <c r="I124" s="105">
        <f t="shared" si="23"/>
        <v>0</v>
      </c>
      <c r="J124" s="647"/>
      <c r="K124" s="539"/>
      <c r="L124" s="565"/>
      <c r="M124" s="539"/>
      <c r="N124" s="919"/>
      <c r="O124" s="1139"/>
      <c r="P124" s="1121"/>
      <c r="Q124" s="854"/>
      <c r="R124" s="1008"/>
      <c r="S124" s="65">
        <f t="shared" si="25"/>
        <v>0</v>
      </c>
      <c r="T124" s="65">
        <f t="shared" si="26"/>
        <v>0</v>
      </c>
    </row>
    <row r="125" spans="1:20" s="157" customFormat="1" ht="18.75" customHeight="1" thickBot="1" x14ac:dyDescent="0.3">
      <c r="A125" s="100">
        <v>85</v>
      </c>
      <c r="B125" s="1134"/>
      <c r="C125" s="513" t="s">
        <v>590</v>
      </c>
      <c r="D125" s="513"/>
      <c r="E125" s="1137"/>
      <c r="F125" s="972">
        <v>660.95</v>
      </c>
      <c r="G125" s="513">
        <v>24</v>
      </c>
      <c r="H125" s="972">
        <v>660.95</v>
      </c>
      <c r="I125" s="105">
        <f t="shared" si="23"/>
        <v>0</v>
      </c>
      <c r="J125" s="647"/>
      <c r="K125" s="539"/>
      <c r="L125" s="565"/>
      <c r="M125" s="539"/>
      <c r="N125" s="919"/>
      <c r="O125" s="1140"/>
      <c r="P125" s="1122"/>
      <c r="Q125" s="854"/>
      <c r="R125" s="1008"/>
      <c r="S125" s="65">
        <f t="shared" si="25"/>
        <v>0</v>
      </c>
      <c r="T125" s="65">
        <f t="shared" si="26"/>
        <v>0</v>
      </c>
    </row>
    <row r="126" spans="1:20" s="157" customFormat="1" ht="29.25" customHeight="1" thickBot="1" x14ac:dyDescent="0.3">
      <c r="A126" s="100">
        <v>86</v>
      </c>
      <c r="B126" s="1124" t="s">
        <v>591</v>
      </c>
      <c r="C126" s="513" t="s">
        <v>592</v>
      </c>
      <c r="D126" s="513"/>
      <c r="E126" s="1125">
        <v>44707</v>
      </c>
      <c r="F126" s="972">
        <v>510</v>
      </c>
      <c r="G126" s="513">
        <v>5</v>
      </c>
      <c r="H126" s="972">
        <v>510</v>
      </c>
      <c r="I126" s="105">
        <f t="shared" si="23"/>
        <v>0</v>
      </c>
      <c r="J126" s="647"/>
      <c r="K126" s="539"/>
      <c r="L126" s="565"/>
      <c r="M126" s="539"/>
      <c r="N126" s="919"/>
      <c r="O126" s="1127"/>
      <c r="P126" s="1014"/>
      <c r="Q126" s="854"/>
      <c r="R126" s="1008"/>
      <c r="S126" s="65">
        <f t="shared" si="25"/>
        <v>0</v>
      </c>
      <c r="T126" s="65">
        <f t="shared" si="26"/>
        <v>0</v>
      </c>
    </row>
    <row r="127" spans="1:20" s="157" customFormat="1" ht="18.75" customHeight="1" x14ac:dyDescent="0.25">
      <c r="A127" s="100">
        <v>87</v>
      </c>
      <c r="B127" s="1141" t="s">
        <v>260</v>
      </c>
      <c r="C127" s="1019" t="s">
        <v>261</v>
      </c>
      <c r="D127" s="1106"/>
      <c r="E127" s="1144">
        <v>44709</v>
      </c>
      <c r="F127" s="1107">
        <v>403.75</v>
      </c>
      <c r="G127" s="513">
        <v>34</v>
      </c>
      <c r="H127" s="972">
        <v>403.75</v>
      </c>
      <c r="I127" s="105">
        <f t="shared" si="23"/>
        <v>0</v>
      </c>
      <c r="J127" s="647"/>
      <c r="K127" s="539"/>
      <c r="L127" s="565"/>
      <c r="M127" s="539"/>
      <c r="N127" s="919"/>
      <c r="O127" s="1147" t="s">
        <v>595</v>
      </c>
      <c r="P127" s="963"/>
      <c r="Q127" s="854"/>
      <c r="R127" s="1008"/>
      <c r="S127" s="65">
        <f t="shared" si="15"/>
        <v>0</v>
      </c>
      <c r="T127" s="65">
        <f t="shared" si="24"/>
        <v>0</v>
      </c>
    </row>
    <row r="128" spans="1:20" s="157" customFormat="1" ht="18.75" customHeight="1" x14ac:dyDescent="0.25">
      <c r="A128" s="100">
        <v>88</v>
      </c>
      <c r="B128" s="1142"/>
      <c r="C128" s="1019" t="s">
        <v>65</v>
      </c>
      <c r="D128" s="1106"/>
      <c r="E128" s="1145"/>
      <c r="F128" s="1107">
        <v>229.5</v>
      </c>
      <c r="G128" s="513">
        <v>20</v>
      </c>
      <c r="H128" s="972">
        <v>229.5</v>
      </c>
      <c r="I128" s="105">
        <f t="shared" si="23"/>
        <v>0</v>
      </c>
      <c r="J128" s="647"/>
      <c r="K128" s="539"/>
      <c r="L128" s="565"/>
      <c r="M128" s="539"/>
      <c r="N128" s="919"/>
      <c r="O128" s="1148"/>
      <c r="P128" s="963"/>
      <c r="Q128" s="854"/>
      <c r="R128" s="1008"/>
      <c r="S128" s="65">
        <f t="shared" si="15"/>
        <v>0</v>
      </c>
      <c r="T128" s="65">
        <f t="shared" si="24"/>
        <v>0</v>
      </c>
    </row>
    <row r="129" spans="1:20" s="157" customFormat="1" ht="18.75" customHeight="1" x14ac:dyDescent="0.25">
      <c r="A129" s="100">
        <v>89</v>
      </c>
      <c r="B129" s="1142"/>
      <c r="C129" s="1019" t="s">
        <v>562</v>
      </c>
      <c r="D129" s="1106"/>
      <c r="E129" s="1145"/>
      <c r="F129" s="1107">
        <v>104.94</v>
      </c>
      <c r="G129" s="513">
        <v>10</v>
      </c>
      <c r="H129" s="972">
        <v>104.94</v>
      </c>
      <c r="I129" s="105">
        <f t="shared" si="23"/>
        <v>0</v>
      </c>
      <c r="J129" s="647"/>
      <c r="K129" s="539"/>
      <c r="L129" s="565"/>
      <c r="M129" s="539"/>
      <c r="N129" s="924"/>
      <c r="O129" s="1148"/>
      <c r="P129" s="963"/>
      <c r="Q129" s="854"/>
      <c r="R129" s="1008"/>
      <c r="S129" s="65">
        <f t="shared" si="15"/>
        <v>0</v>
      </c>
      <c r="T129" s="65">
        <f t="shared" si="24"/>
        <v>0</v>
      </c>
    </row>
    <row r="130" spans="1:20" s="157" customFormat="1" ht="19.5" customHeight="1" x14ac:dyDescent="0.25">
      <c r="A130" s="100">
        <v>90</v>
      </c>
      <c r="B130" s="1142"/>
      <c r="C130" s="1019" t="s">
        <v>91</v>
      </c>
      <c r="D130" s="1106"/>
      <c r="E130" s="1145"/>
      <c r="F130" s="1107">
        <v>515.65</v>
      </c>
      <c r="G130" s="513">
        <v>27</v>
      </c>
      <c r="H130" s="972">
        <v>515.65</v>
      </c>
      <c r="I130" s="105">
        <f t="shared" si="23"/>
        <v>0</v>
      </c>
      <c r="J130" s="658"/>
      <c r="K130" s="539"/>
      <c r="L130" s="565"/>
      <c r="M130" s="539"/>
      <c r="N130" s="925"/>
      <c r="O130" s="1148"/>
      <c r="P130" s="963"/>
      <c r="Q130" s="854"/>
      <c r="R130" s="1010"/>
      <c r="S130" s="65">
        <f t="shared" si="15"/>
        <v>0</v>
      </c>
      <c r="T130" s="65">
        <f t="shared" si="24"/>
        <v>0</v>
      </c>
    </row>
    <row r="131" spans="1:20" s="157" customFormat="1" ht="19.5" customHeight="1" thickBot="1" x14ac:dyDescent="0.3">
      <c r="A131" s="100">
        <v>91</v>
      </c>
      <c r="B131" s="1143"/>
      <c r="C131" s="1019" t="s">
        <v>75</v>
      </c>
      <c r="D131" s="1106"/>
      <c r="E131" s="1146"/>
      <c r="F131" s="1107">
        <v>519.1</v>
      </c>
      <c r="G131" s="513">
        <v>21</v>
      </c>
      <c r="H131" s="972">
        <v>519.1</v>
      </c>
      <c r="I131" s="105">
        <f t="shared" si="23"/>
        <v>0</v>
      </c>
      <c r="J131" s="658"/>
      <c r="K131" s="539"/>
      <c r="L131" s="565"/>
      <c r="M131" s="539"/>
      <c r="N131" s="926"/>
      <c r="O131" s="1149"/>
      <c r="P131" s="1121"/>
      <c r="Q131" s="854"/>
      <c r="R131" s="1010"/>
      <c r="S131" s="65">
        <f t="shared" si="15"/>
        <v>0</v>
      </c>
      <c r="T131" s="65">
        <f>S131/H131</f>
        <v>0</v>
      </c>
    </row>
    <row r="132" spans="1:20" s="157" customFormat="1" ht="19.5" customHeight="1" x14ac:dyDescent="0.25">
      <c r="A132" s="100">
        <v>92</v>
      </c>
      <c r="B132" s="1022"/>
      <c r="C132" s="513"/>
      <c r="D132" s="513"/>
      <c r="E132" s="1126"/>
      <c r="F132" s="972"/>
      <c r="G132" s="513"/>
      <c r="H132" s="972"/>
      <c r="I132" s="275">
        <f t="shared" si="23"/>
        <v>0</v>
      </c>
      <c r="J132" s="502"/>
      <c r="K132" s="539"/>
      <c r="L132" s="565"/>
      <c r="M132" s="539"/>
      <c r="N132" s="701"/>
      <c r="O132" s="1009"/>
      <c r="P132" s="540"/>
      <c r="Q132" s="854"/>
      <c r="R132" s="1010"/>
      <c r="S132" s="65">
        <f t="shared" si="15"/>
        <v>0</v>
      </c>
      <c r="T132" s="65" t="e">
        <f t="shared" ref="T132" si="27">S132/H132</f>
        <v>#DIV/0!</v>
      </c>
    </row>
    <row r="133" spans="1:20" s="157" customFormat="1" ht="19.5" customHeight="1" x14ac:dyDescent="0.25">
      <c r="A133" s="100">
        <v>93</v>
      </c>
      <c r="B133" s="513"/>
      <c r="C133" s="513"/>
      <c r="D133" s="513"/>
      <c r="E133" s="983"/>
      <c r="F133" s="972"/>
      <c r="G133" s="513"/>
      <c r="H133" s="972"/>
      <c r="I133" s="275">
        <f t="shared" si="23"/>
        <v>0</v>
      </c>
      <c r="J133" s="502"/>
      <c r="K133" s="539"/>
      <c r="L133" s="565"/>
      <c r="M133" s="539"/>
      <c r="N133" s="701"/>
      <c r="O133" s="1011"/>
      <c r="P133" s="540"/>
      <c r="Q133" s="854"/>
      <c r="R133" s="1008"/>
      <c r="S133" s="65">
        <f t="shared" ref="S133:S139" si="28">Q133+M133+K133</f>
        <v>0</v>
      </c>
      <c r="T133" s="65" t="e">
        <f t="shared" ref="T133:T139" si="29">S133/H133</f>
        <v>#DIV/0!</v>
      </c>
    </row>
    <row r="134" spans="1:20" s="157" customFormat="1" ht="19.5" customHeight="1" x14ac:dyDescent="0.25">
      <c r="A134" s="100">
        <v>94</v>
      </c>
      <c r="B134" s="513"/>
      <c r="C134" s="513"/>
      <c r="D134" s="513"/>
      <c r="E134" s="983"/>
      <c r="F134" s="972"/>
      <c r="G134" s="513"/>
      <c r="H134" s="972"/>
      <c r="I134" s="275">
        <f t="shared" si="23"/>
        <v>0</v>
      </c>
      <c r="J134" s="502"/>
      <c r="K134" s="539"/>
      <c r="L134" s="565"/>
      <c r="M134" s="754"/>
      <c r="N134" s="771"/>
      <c r="O134" s="1011"/>
      <c r="P134" s="540"/>
      <c r="Q134" s="854"/>
      <c r="R134" s="1008"/>
      <c r="S134" s="65">
        <f t="shared" si="28"/>
        <v>0</v>
      </c>
      <c r="T134" s="65" t="e">
        <f t="shared" si="29"/>
        <v>#DIV/0!</v>
      </c>
    </row>
    <row r="135" spans="1:20" s="157" customFormat="1" ht="19.5" customHeight="1" x14ac:dyDescent="0.25">
      <c r="A135" s="100">
        <v>95</v>
      </c>
      <c r="B135" s="513"/>
      <c r="C135" s="513"/>
      <c r="D135" s="513"/>
      <c r="E135" s="983"/>
      <c r="F135" s="972"/>
      <c r="G135" s="513"/>
      <c r="H135" s="972"/>
      <c r="I135" s="275">
        <f t="shared" si="23"/>
        <v>0</v>
      </c>
      <c r="J135" s="502"/>
      <c r="K135" s="539"/>
      <c r="L135" s="565"/>
      <c r="M135" s="539"/>
      <c r="N135" s="701"/>
      <c r="O135" s="1011"/>
      <c r="P135" s="540"/>
      <c r="Q135" s="854"/>
      <c r="R135" s="1008"/>
      <c r="S135" s="65">
        <f t="shared" si="28"/>
        <v>0</v>
      </c>
      <c r="T135" s="65" t="e">
        <f t="shared" si="29"/>
        <v>#DIV/0!</v>
      </c>
    </row>
    <row r="136" spans="1:20" s="157" customFormat="1" ht="19.5" customHeight="1" x14ac:dyDescent="0.25">
      <c r="A136" s="100">
        <v>96</v>
      </c>
      <c r="B136" s="513"/>
      <c r="C136" s="757"/>
      <c r="D136" s="513"/>
      <c r="E136" s="983"/>
      <c r="F136" s="972"/>
      <c r="G136" s="513"/>
      <c r="H136" s="972"/>
      <c r="I136" s="275">
        <f t="shared" si="23"/>
        <v>0</v>
      </c>
      <c r="J136" s="502"/>
      <c r="K136" s="539"/>
      <c r="L136" s="565"/>
      <c r="M136" s="539"/>
      <c r="N136" s="701"/>
      <c r="O136" s="1011"/>
      <c r="P136" s="540"/>
      <c r="Q136" s="854"/>
      <c r="R136" s="1008"/>
      <c r="S136" s="65">
        <f t="shared" si="28"/>
        <v>0</v>
      </c>
      <c r="T136" s="65" t="e">
        <f t="shared" si="29"/>
        <v>#DIV/0!</v>
      </c>
    </row>
    <row r="137" spans="1:20" s="157" customFormat="1" ht="19.5" customHeight="1" x14ac:dyDescent="0.25">
      <c r="A137" s="100">
        <v>97</v>
      </c>
      <c r="B137" s="513"/>
      <c r="C137" s="933"/>
      <c r="D137" s="513"/>
      <c r="E137" s="983"/>
      <c r="F137" s="972"/>
      <c r="G137" s="513"/>
      <c r="H137" s="964"/>
      <c r="I137" s="275">
        <f t="shared" si="23"/>
        <v>0</v>
      </c>
      <c r="J137" s="645"/>
      <c r="K137" s="539"/>
      <c r="L137" s="565"/>
      <c r="M137" s="539"/>
      <c r="N137" s="807"/>
      <c r="O137" s="1011"/>
      <c r="P137" s="539"/>
      <c r="Q137" s="854"/>
      <c r="R137" s="1008"/>
      <c r="S137" s="65">
        <f t="shared" si="28"/>
        <v>0</v>
      </c>
      <c r="T137" s="65" t="e">
        <f t="shared" si="29"/>
        <v>#DIV/0!</v>
      </c>
    </row>
    <row r="138" spans="1:20" s="157" customFormat="1" ht="19.5" customHeight="1" x14ac:dyDescent="0.25">
      <c r="A138" s="100">
        <v>98</v>
      </c>
      <c r="B138" s="513"/>
      <c r="C138" s="934"/>
      <c r="D138" s="513"/>
      <c r="E138" s="983"/>
      <c r="F138" s="972"/>
      <c r="G138" s="513"/>
      <c r="H138" s="964"/>
      <c r="I138" s="105">
        <f t="shared" si="23"/>
        <v>0</v>
      </c>
      <c r="J138" s="645"/>
      <c r="K138" s="539"/>
      <c r="L138" s="565"/>
      <c r="M138" s="539"/>
      <c r="N138" s="807"/>
      <c r="O138" s="1011"/>
      <c r="P138" s="539"/>
      <c r="Q138" s="854"/>
      <c r="R138" s="1010"/>
      <c r="S138" s="65">
        <f t="shared" si="28"/>
        <v>0</v>
      </c>
      <c r="T138" s="65" t="e">
        <f t="shared" si="29"/>
        <v>#DIV/0!</v>
      </c>
    </row>
    <row r="139" spans="1:20" s="157" customFormat="1" ht="19.5" customHeight="1" x14ac:dyDescent="0.25">
      <c r="A139" s="100">
        <v>99</v>
      </c>
      <c r="B139" s="513"/>
      <c r="C139" s="513"/>
      <c r="D139" s="513"/>
      <c r="E139" s="983"/>
      <c r="F139" s="972"/>
      <c r="G139" s="513"/>
      <c r="H139" s="964"/>
      <c r="I139" s="105">
        <f t="shared" si="23"/>
        <v>0</v>
      </c>
      <c r="J139" s="502"/>
      <c r="K139" s="539"/>
      <c r="L139" s="565"/>
      <c r="M139" s="539"/>
      <c r="N139" s="807"/>
      <c r="O139" s="1011"/>
      <c r="P139" s="539"/>
      <c r="Q139" s="854"/>
      <c r="R139" s="1008"/>
      <c r="S139" s="65">
        <f t="shared" si="28"/>
        <v>0</v>
      </c>
      <c r="T139" s="65" t="e">
        <f t="shared" si="29"/>
        <v>#DIV/0!</v>
      </c>
    </row>
    <row r="140" spans="1:20" s="157" customFormat="1" ht="16.5" customHeight="1" x14ac:dyDescent="0.25">
      <c r="A140" s="100">
        <v>100</v>
      </c>
      <c r="B140" s="965"/>
      <c r="C140" s="751"/>
      <c r="D140" s="766"/>
      <c r="E140" s="767"/>
      <c r="F140" s="973"/>
      <c r="G140" s="768"/>
      <c r="H140" s="777"/>
      <c r="I140" s="105">
        <f t="shared" si="23"/>
        <v>0</v>
      </c>
      <c r="J140" s="513"/>
      <c r="K140" s="539"/>
      <c r="L140" s="565"/>
      <c r="M140" s="539"/>
      <c r="N140" s="807"/>
      <c r="O140" s="944"/>
      <c r="P140" s="539"/>
      <c r="Q140" s="1012"/>
      <c r="R140" s="1008"/>
      <c r="S140" s="65">
        <f t="shared" si="15"/>
        <v>0</v>
      </c>
      <c r="T140" s="65" t="e">
        <f t="shared" ref="T140" si="30">S140/H140</f>
        <v>#DIV/0!</v>
      </c>
    </row>
    <row r="141" spans="1:20" s="157" customFormat="1" ht="16.5" customHeight="1" x14ac:dyDescent="0.25">
      <c r="A141" s="100"/>
      <c r="B141" s="965"/>
      <c r="C141" s="751"/>
      <c r="D141" s="769"/>
      <c r="E141" s="767"/>
      <c r="F141" s="973"/>
      <c r="G141" s="768"/>
      <c r="H141" s="777"/>
      <c r="I141" s="105">
        <f t="shared" si="23"/>
        <v>0</v>
      </c>
      <c r="J141" s="513"/>
      <c r="K141" s="539"/>
      <c r="L141" s="565"/>
      <c r="M141" s="539"/>
      <c r="N141" s="539" t="s">
        <v>179</v>
      </c>
      <c r="O141" s="944"/>
      <c r="P141" s="539"/>
      <c r="Q141" s="945"/>
      <c r="R141" s="538"/>
      <c r="S141" s="65">
        <f t="shared" si="15"/>
        <v>0</v>
      </c>
      <c r="T141" s="65" t="e">
        <f t="shared" ref="T141" si="31">S141/H141</f>
        <v>#DIV/0!</v>
      </c>
    </row>
    <row r="142" spans="1:20" s="157" customFormat="1" ht="17.25" customHeight="1" x14ac:dyDescent="0.25">
      <c r="A142" s="100"/>
      <c r="B142" s="965"/>
      <c r="C142" s="751"/>
      <c r="D142" s="766"/>
      <c r="E142" s="767"/>
      <c r="F142" s="973"/>
      <c r="G142" s="768"/>
      <c r="H142" s="777"/>
      <c r="I142" s="275">
        <f t="shared" si="23"/>
        <v>0</v>
      </c>
      <c r="J142" s="648"/>
      <c r="K142" s="649"/>
      <c r="L142" s="542"/>
      <c r="M142" s="649"/>
      <c r="N142" s="549"/>
      <c r="O142" s="756"/>
      <c r="P142" s="686"/>
      <c r="Q142" s="855"/>
      <c r="R142" s="538"/>
      <c r="S142" s="65">
        <f t="shared" ref="S142:S147" si="32">Q142+M142+K142</f>
        <v>0</v>
      </c>
      <c r="T142" s="65" t="e">
        <f t="shared" ref="T142:T147" si="33">S142/H142</f>
        <v>#DIV/0!</v>
      </c>
    </row>
    <row r="143" spans="1:20" s="157" customFormat="1" ht="16.5" customHeight="1" x14ac:dyDescent="0.25">
      <c r="A143" s="100"/>
      <c r="B143" s="965"/>
      <c r="C143" s="751"/>
      <c r="D143" s="766"/>
      <c r="E143" s="767"/>
      <c r="F143" s="973"/>
      <c r="G143" s="768"/>
      <c r="H143" s="777"/>
      <c r="I143" s="275">
        <f t="shared" si="23"/>
        <v>0</v>
      </c>
      <c r="J143" s="648"/>
      <c r="K143" s="649"/>
      <c r="L143" s="542"/>
      <c r="M143" s="649"/>
      <c r="N143" s="549"/>
      <c r="O143" s="756"/>
      <c r="P143" s="723"/>
      <c r="Q143" s="855"/>
      <c r="R143" s="538"/>
      <c r="S143" s="65">
        <f t="shared" si="32"/>
        <v>0</v>
      </c>
      <c r="T143" s="65" t="e">
        <f t="shared" si="33"/>
        <v>#DIV/0!</v>
      </c>
    </row>
    <row r="144" spans="1:20" s="157" customFormat="1" ht="16.5" customHeight="1" x14ac:dyDescent="0.25">
      <c r="A144" s="100"/>
      <c r="B144" s="966"/>
      <c r="C144" s="967"/>
      <c r="D144" s="968"/>
      <c r="E144" s="969"/>
      <c r="F144" s="974"/>
      <c r="G144" s="970"/>
      <c r="H144" s="971"/>
      <c r="I144" s="275">
        <f t="shared" si="23"/>
        <v>0</v>
      </c>
      <c r="J144" s="648"/>
      <c r="K144" s="649"/>
      <c r="L144" s="542"/>
      <c r="M144" s="649"/>
      <c r="N144" s="549"/>
      <c r="O144" s="756"/>
      <c r="P144" s="686"/>
      <c r="Q144" s="855"/>
      <c r="R144" s="538"/>
      <c r="S144" s="65">
        <f t="shared" si="32"/>
        <v>0</v>
      </c>
      <c r="T144" s="65" t="e">
        <f t="shared" si="33"/>
        <v>#DIV/0!</v>
      </c>
    </row>
    <row r="145" spans="1:20" s="157" customFormat="1" ht="16.5" customHeight="1" x14ac:dyDescent="0.25">
      <c r="A145" s="100"/>
      <c r="B145" s="753"/>
      <c r="C145" s="751"/>
      <c r="D145" s="752"/>
      <c r="E145" s="759"/>
      <c r="F145" s="975"/>
      <c r="G145" s="447"/>
      <c r="H145" s="778"/>
      <c r="I145" s="275">
        <f t="shared" si="23"/>
        <v>0</v>
      </c>
      <c r="J145" s="648"/>
      <c r="K145" s="649"/>
      <c r="L145" s="542"/>
      <c r="M145" s="649"/>
      <c r="N145" s="549"/>
      <c r="O145" s="756"/>
      <c r="P145" s="686"/>
      <c r="Q145" s="855"/>
      <c r="R145" s="538"/>
      <c r="S145" s="65">
        <f t="shared" si="32"/>
        <v>0</v>
      </c>
      <c r="T145" s="65" t="e">
        <f t="shared" si="33"/>
        <v>#DIV/0!</v>
      </c>
    </row>
    <row r="146" spans="1:20" s="157" customFormat="1" x14ac:dyDescent="0.25">
      <c r="A146" s="100"/>
      <c r="B146" s="716"/>
      <c r="C146" s="502"/>
      <c r="D146" s="521"/>
      <c r="E146" s="760"/>
      <c r="F146" s="522"/>
      <c r="G146" s="523"/>
      <c r="H146" s="779"/>
      <c r="I146" s="275">
        <f t="shared" si="23"/>
        <v>0</v>
      </c>
      <c r="J146" s="648"/>
      <c r="K146" s="649"/>
      <c r="L146" s="542"/>
      <c r="M146" s="649"/>
      <c r="N146" s="710"/>
      <c r="O146" s="755"/>
      <c r="P146" s="724"/>
      <c r="Q146" s="856"/>
      <c r="R146" s="725"/>
      <c r="S146" s="65">
        <f t="shared" si="32"/>
        <v>0</v>
      </c>
      <c r="T146" s="65" t="e">
        <f t="shared" si="33"/>
        <v>#DIV/0!</v>
      </c>
    </row>
    <row r="147" spans="1:20" s="157" customFormat="1" x14ac:dyDescent="0.25">
      <c r="A147" s="100"/>
      <c r="B147" s="525"/>
      <c r="C147" s="526"/>
      <c r="D147" s="521"/>
      <c r="E147" s="760"/>
      <c r="F147" s="522"/>
      <c r="G147" s="523"/>
      <c r="H147" s="779"/>
      <c r="I147" s="275">
        <f t="shared" si="23"/>
        <v>0</v>
      </c>
      <c r="J147" s="256"/>
      <c r="K147" s="239"/>
      <c r="L147" s="292"/>
      <c r="M147" s="238"/>
      <c r="N147" s="514"/>
      <c r="O147" s="726"/>
      <c r="P147" s="686"/>
      <c r="Q147" s="857"/>
      <c r="R147" s="687"/>
      <c r="S147" s="65">
        <f t="shared" si="32"/>
        <v>0</v>
      </c>
      <c r="T147" s="65" t="e">
        <f t="shared" si="33"/>
        <v>#DIV/0!</v>
      </c>
    </row>
    <row r="148" spans="1:20" s="157" customFormat="1" x14ac:dyDescent="0.25">
      <c r="A148" s="100"/>
      <c r="B148" s="525"/>
      <c r="C148" s="526"/>
      <c r="D148" s="521"/>
      <c r="E148" s="760"/>
      <c r="F148" s="522"/>
      <c r="G148" s="523"/>
      <c r="H148" s="779"/>
      <c r="I148" s="275">
        <f t="shared" si="23"/>
        <v>0</v>
      </c>
      <c r="J148" s="256"/>
      <c r="K148" s="239"/>
      <c r="L148" s="292"/>
      <c r="M148" s="238"/>
      <c r="N148" s="514"/>
      <c r="O148" s="562"/>
      <c r="P148" s="724"/>
      <c r="Q148" s="856"/>
      <c r="R148" s="725"/>
      <c r="S148" s="65"/>
      <c r="T148" s="65"/>
    </row>
    <row r="149" spans="1:20" s="157" customFormat="1" x14ac:dyDescent="0.25">
      <c r="A149" s="100"/>
      <c r="B149" s="525"/>
      <c r="C149" s="527"/>
      <c r="D149" s="521"/>
      <c r="E149" s="665"/>
      <c r="F149" s="522"/>
      <c r="G149" s="523"/>
      <c r="H149" s="779"/>
      <c r="I149" s="275">
        <f t="shared" si="23"/>
        <v>0</v>
      </c>
      <c r="J149" s="256"/>
      <c r="K149" s="239"/>
      <c r="L149" s="292"/>
      <c r="M149" s="238"/>
      <c r="N149" s="514"/>
      <c r="O149" s="562"/>
      <c r="P149" s="686"/>
      <c r="Q149" s="857"/>
      <c r="R149" s="687"/>
      <c r="S149" s="65"/>
      <c r="T149" s="65"/>
    </row>
    <row r="150" spans="1:20" s="157" customFormat="1" x14ac:dyDescent="0.25">
      <c r="A150" s="100"/>
      <c r="B150" s="525"/>
      <c r="C150" s="528"/>
      <c r="D150" s="521"/>
      <c r="E150" s="665"/>
      <c r="F150" s="522"/>
      <c r="G150" s="523"/>
      <c r="H150" s="524"/>
      <c r="I150" s="275">
        <f t="shared" si="23"/>
        <v>0</v>
      </c>
      <c r="J150" s="256"/>
      <c r="K150" s="239"/>
      <c r="L150" s="292"/>
      <c r="M150" s="238"/>
      <c r="N150" s="514"/>
      <c r="O150" s="562"/>
      <c r="P150" s="686"/>
      <c r="Q150" s="857"/>
      <c r="R150" s="687"/>
      <c r="S150" s="65"/>
      <c r="T150" s="65"/>
    </row>
    <row r="151" spans="1:20" s="157" customFormat="1" x14ac:dyDescent="0.25">
      <c r="A151" s="100"/>
      <c r="B151" s="525"/>
      <c r="C151" s="502"/>
      <c r="D151" s="521"/>
      <c r="E151" s="665"/>
      <c r="F151" s="522"/>
      <c r="G151" s="523"/>
      <c r="H151" s="524"/>
      <c r="I151" s="275">
        <f t="shared" si="23"/>
        <v>0</v>
      </c>
      <c r="J151" s="256"/>
      <c r="K151" s="239"/>
      <c r="L151" s="292"/>
      <c r="M151" s="238"/>
      <c r="N151" s="514"/>
      <c r="O151" s="562"/>
      <c r="P151" s="686"/>
      <c r="Q151" s="857"/>
      <c r="R151" s="687"/>
      <c r="S151" s="65"/>
      <c r="T151" s="65"/>
    </row>
    <row r="152" spans="1:20" s="157" customFormat="1" x14ac:dyDescent="0.25">
      <c r="A152" s="100"/>
      <c r="B152" s="525"/>
      <c r="C152" s="502"/>
      <c r="D152" s="521"/>
      <c r="E152" s="665"/>
      <c r="F152" s="522"/>
      <c r="G152" s="523"/>
      <c r="H152" s="524"/>
      <c r="I152" s="275">
        <f t="shared" si="23"/>
        <v>0</v>
      </c>
      <c r="J152" s="256"/>
      <c r="K152" s="239"/>
      <c r="L152" s="292"/>
      <c r="M152" s="238"/>
      <c r="N152" s="514"/>
      <c r="O152" s="562"/>
      <c r="P152" s="686"/>
      <c r="Q152" s="857"/>
      <c r="R152" s="687"/>
      <c r="S152" s="65"/>
      <c r="T152" s="65"/>
    </row>
    <row r="153" spans="1:20" s="157" customFormat="1" x14ac:dyDescent="0.25">
      <c r="A153" s="100"/>
      <c r="B153" s="525"/>
      <c r="C153" s="528"/>
      <c r="D153" s="521"/>
      <c r="E153" s="665"/>
      <c r="F153" s="522"/>
      <c r="G153" s="523"/>
      <c r="H153" s="524"/>
      <c r="I153" s="275">
        <f t="shared" si="23"/>
        <v>0</v>
      </c>
      <c r="J153" s="256"/>
      <c r="K153" s="239"/>
      <c r="L153" s="292"/>
      <c r="M153" s="238"/>
      <c r="N153" s="514"/>
      <c r="O153" s="562"/>
      <c r="P153" s="686"/>
      <c r="Q153" s="857"/>
      <c r="R153" s="687"/>
      <c r="S153" s="65"/>
      <c r="T153" s="65"/>
    </row>
    <row r="154" spans="1:20" s="157" customFormat="1" x14ac:dyDescent="0.25">
      <c r="A154" s="100"/>
      <c r="B154" s="525"/>
      <c r="C154" s="502"/>
      <c r="D154" s="521"/>
      <c r="E154" s="665"/>
      <c r="F154" s="522"/>
      <c r="G154" s="523"/>
      <c r="H154" s="524"/>
      <c r="I154" s="275">
        <f t="shared" si="23"/>
        <v>0</v>
      </c>
      <c r="J154" s="256"/>
      <c r="K154" s="239"/>
      <c r="L154" s="292"/>
      <c r="M154" s="238"/>
      <c r="N154" s="514"/>
      <c r="O154" s="562"/>
      <c r="P154" s="686"/>
      <c r="Q154" s="857"/>
      <c r="R154" s="687"/>
      <c r="S154" s="65"/>
      <c r="T154" s="65"/>
    </row>
    <row r="155" spans="1:20" s="157" customFormat="1" x14ac:dyDescent="0.25">
      <c r="A155" s="100"/>
      <c r="B155" s="525"/>
      <c r="C155" s="502"/>
      <c r="D155" s="521"/>
      <c r="E155" s="665"/>
      <c r="F155" s="522"/>
      <c r="G155" s="523"/>
      <c r="H155" s="524"/>
      <c r="I155" s="275">
        <f t="shared" si="23"/>
        <v>0</v>
      </c>
      <c r="J155" s="256"/>
      <c r="K155" s="239"/>
      <c r="L155" s="292"/>
      <c r="M155" s="238"/>
      <c r="N155" s="514"/>
      <c r="O155" s="562"/>
      <c r="P155" s="686"/>
      <c r="Q155" s="857"/>
      <c r="R155" s="687"/>
      <c r="S155" s="65"/>
      <c r="T155" s="65"/>
    </row>
    <row r="156" spans="1:20" s="157" customFormat="1" x14ac:dyDescent="0.25">
      <c r="A156" s="100"/>
      <c r="B156" s="525"/>
      <c r="C156" s="502"/>
      <c r="D156" s="521"/>
      <c r="E156" s="665"/>
      <c r="F156" s="522"/>
      <c r="G156" s="523"/>
      <c r="H156" s="524"/>
      <c r="I156" s="275">
        <f t="shared" si="23"/>
        <v>0</v>
      </c>
      <c r="J156" s="256"/>
      <c r="K156" s="239"/>
      <c r="L156" s="292"/>
      <c r="M156" s="238"/>
      <c r="N156" s="514"/>
      <c r="O156" s="562"/>
      <c r="P156" s="686"/>
      <c r="Q156" s="857"/>
      <c r="R156" s="687"/>
      <c r="S156" s="65"/>
      <c r="T156" s="65"/>
    </row>
    <row r="157" spans="1:20" s="157" customFormat="1" x14ac:dyDescent="0.25">
      <c r="A157" s="100"/>
      <c r="B157" s="525"/>
      <c r="C157" s="502"/>
      <c r="D157" s="521"/>
      <c r="E157" s="665"/>
      <c r="F157" s="522"/>
      <c r="G157" s="523"/>
      <c r="H157" s="524"/>
      <c r="I157" s="275">
        <f t="shared" si="23"/>
        <v>0</v>
      </c>
      <c r="J157" s="256"/>
      <c r="K157" s="239"/>
      <c r="L157" s="292"/>
      <c r="M157" s="238"/>
      <c r="N157" s="514"/>
      <c r="O157" s="562"/>
      <c r="P157" s="686"/>
      <c r="Q157" s="857"/>
      <c r="R157" s="687"/>
      <c r="S157" s="65"/>
      <c r="T157" s="65"/>
    </row>
    <row r="158" spans="1:20" s="157" customFormat="1" x14ac:dyDescent="0.25">
      <c r="A158" s="100"/>
      <c r="B158" s="525"/>
      <c r="C158" s="502"/>
      <c r="D158" s="521"/>
      <c r="E158" s="665"/>
      <c r="F158" s="522"/>
      <c r="G158" s="523"/>
      <c r="H158" s="524"/>
      <c r="I158" s="275">
        <f t="shared" si="23"/>
        <v>0</v>
      </c>
      <c r="J158" s="256"/>
      <c r="K158" s="239"/>
      <c r="L158" s="292"/>
      <c r="M158" s="238"/>
      <c r="N158" s="514"/>
      <c r="O158" s="562"/>
      <c r="P158" s="686"/>
      <c r="Q158" s="857"/>
      <c r="R158" s="687"/>
      <c r="S158" s="65"/>
      <c r="T158" s="65"/>
    </row>
    <row r="159" spans="1:20" s="157" customFormat="1" x14ac:dyDescent="0.25">
      <c r="A159" s="100"/>
      <c r="B159" s="525"/>
      <c r="C159" s="502"/>
      <c r="D159" s="521"/>
      <c r="E159" s="665"/>
      <c r="F159" s="522"/>
      <c r="G159" s="523"/>
      <c r="H159" s="524"/>
      <c r="I159" s="275">
        <f t="shared" si="23"/>
        <v>0</v>
      </c>
      <c r="J159" s="256"/>
      <c r="K159" s="239"/>
      <c r="L159" s="292"/>
      <c r="M159" s="238"/>
      <c r="N159" s="514"/>
      <c r="O159" s="562"/>
      <c r="P159" s="686"/>
      <c r="Q159" s="857"/>
      <c r="R159" s="687"/>
      <c r="S159" s="65"/>
      <c r="T159" s="65"/>
    </row>
    <row r="160" spans="1:20" s="157" customFormat="1" x14ac:dyDescent="0.25">
      <c r="A160" s="100"/>
      <c r="B160" s="525"/>
      <c r="C160" s="502"/>
      <c r="D160" s="521"/>
      <c r="E160" s="665"/>
      <c r="F160" s="522"/>
      <c r="G160" s="523"/>
      <c r="H160" s="524"/>
      <c r="I160" s="275">
        <f t="shared" si="23"/>
        <v>0</v>
      </c>
      <c r="J160" s="256"/>
      <c r="K160" s="239"/>
      <c r="L160" s="292"/>
      <c r="M160" s="238"/>
      <c r="N160" s="514"/>
      <c r="O160" s="562"/>
      <c r="P160" s="686"/>
      <c r="Q160" s="857"/>
      <c r="R160" s="687"/>
      <c r="S160" s="65"/>
      <c r="T160" s="65"/>
    </row>
    <row r="161" spans="1:20" s="157" customFormat="1" x14ac:dyDescent="0.25">
      <c r="A161" s="100"/>
      <c r="B161" s="525"/>
      <c r="C161" s="502"/>
      <c r="D161" s="521"/>
      <c r="E161" s="665"/>
      <c r="F161" s="522"/>
      <c r="G161" s="523"/>
      <c r="H161" s="524"/>
      <c r="I161" s="275">
        <f t="shared" si="23"/>
        <v>0</v>
      </c>
      <c r="J161" s="256"/>
      <c r="K161" s="239"/>
      <c r="L161" s="292"/>
      <c r="M161" s="238"/>
      <c r="N161" s="514"/>
      <c r="O161" s="562"/>
      <c r="P161" s="686"/>
      <c r="Q161" s="857"/>
      <c r="R161" s="687"/>
      <c r="S161" s="65"/>
      <c r="T161" s="65"/>
    </row>
    <row r="162" spans="1:20" s="157" customFormat="1" x14ac:dyDescent="0.25">
      <c r="A162" s="100"/>
      <c r="B162" s="358"/>
      <c r="C162" s="362"/>
      <c r="D162" s="451"/>
      <c r="E162" s="663"/>
      <c r="F162" s="597"/>
      <c r="G162" s="598"/>
      <c r="H162" s="599"/>
      <c r="I162" s="275">
        <f t="shared" si="23"/>
        <v>0</v>
      </c>
      <c r="J162" s="256"/>
      <c r="K162" s="239"/>
      <c r="L162" s="292"/>
      <c r="M162" s="238"/>
      <c r="N162" s="514"/>
      <c r="O162" s="562"/>
      <c r="P162" s="686"/>
      <c r="Q162" s="857"/>
      <c r="R162" s="687"/>
      <c r="S162" s="65"/>
      <c r="T162" s="65"/>
    </row>
    <row r="163" spans="1:20" s="157" customFormat="1" x14ac:dyDescent="0.25">
      <c r="A163" s="100"/>
      <c r="B163" s="358"/>
      <c r="C163" s="362"/>
      <c r="D163" s="451"/>
      <c r="E163" s="663"/>
      <c r="F163" s="597"/>
      <c r="G163" s="598"/>
      <c r="H163" s="599"/>
      <c r="I163" s="275">
        <f t="shared" si="23"/>
        <v>0</v>
      </c>
      <c r="J163" s="256"/>
      <c r="K163" s="239"/>
      <c r="L163" s="292"/>
      <c r="M163" s="238"/>
      <c r="N163" s="514"/>
      <c r="O163" s="562"/>
      <c r="P163" s="686"/>
      <c r="Q163" s="857"/>
      <c r="R163" s="687"/>
      <c r="S163" s="65"/>
      <c r="T163" s="65"/>
    </row>
    <row r="164" spans="1:20" s="157" customFormat="1" x14ac:dyDescent="0.25">
      <c r="A164" s="100"/>
      <c r="B164" s="358"/>
      <c r="C164" s="362"/>
      <c r="D164" s="451"/>
      <c r="E164" s="663"/>
      <c r="F164" s="597"/>
      <c r="G164" s="598"/>
      <c r="H164" s="599"/>
      <c r="I164" s="275">
        <f t="shared" si="23"/>
        <v>0</v>
      </c>
      <c r="J164" s="256"/>
      <c r="K164" s="239"/>
      <c r="L164" s="292"/>
      <c r="M164" s="238"/>
      <c r="N164" s="514"/>
      <c r="O164" s="562"/>
      <c r="P164" s="686"/>
      <c r="Q164" s="857"/>
      <c r="R164" s="687"/>
      <c r="S164" s="65"/>
      <c r="T164" s="65"/>
    </row>
    <row r="165" spans="1:20" s="157" customFormat="1" x14ac:dyDescent="0.25">
      <c r="A165" s="100"/>
      <c r="B165" s="596"/>
      <c r="C165" s="73"/>
      <c r="D165" s="161"/>
      <c r="E165" s="154"/>
      <c r="F165" s="105"/>
      <c r="G165" s="100"/>
      <c r="H165" s="507"/>
      <c r="I165" s="275">
        <f t="shared" si="23"/>
        <v>0</v>
      </c>
      <c r="J165" s="256"/>
      <c r="K165" s="239"/>
      <c r="L165" s="292"/>
      <c r="M165" s="238"/>
      <c r="N165" s="514"/>
      <c r="O165" s="562"/>
      <c r="P165" s="518"/>
      <c r="Q165" s="858"/>
      <c r="R165" s="519"/>
      <c r="S165" s="65"/>
      <c r="T165" s="65"/>
    </row>
    <row r="166" spans="1:20" s="157" customFormat="1" x14ac:dyDescent="0.25">
      <c r="A166" s="100"/>
      <c r="B166" s="75"/>
      <c r="C166" s="73"/>
      <c r="D166" s="161"/>
      <c r="E166" s="154"/>
      <c r="F166" s="105"/>
      <c r="G166" s="100"/>
      <c r="H166" s="507"/>
      <c r="I166" s="275">
        <f t="shared" si="23"/>
        <v>0</v>
      </c>
      <c r="J166" s="256"/>
      <c r="K166" s="239"/>
      <c r="L166" s="292"/>
      <c r="M166" s="238"/>
      <c r="N166" s="514"/>
      <c r="O166" s="562"/>
      <c r="P166" s="518"/>
      <c r="Q166" s="858"/>
      <c r="R166" s="519"/>
      <c r="S166" s="65"/>
      <c r="T166" s="65"/>
    </row>
    <row r="167" spans="1:20" s="157" customFormat="1" x14ac:dyDescent="0.25">
      <c r="A167" s="100"/>
      <c r="B167" s="75"/>
      <c r="C167" s="73"/>
      <c r="D167" s="161"/>
      <c r="E167" s="154"/>
      <c r="F167" s="105"/>
      <c r="G167" s="100"/>
      <c r="H167" s="507"/>
      <c r="I167" s="275">
        <f t="shared" si="23"/>
        <v>0</v>
      </c>
      <c r="J167" s="256"/>
      <c r="K167" s="239"/>
      <c r="L167" s="292"/>
      <c r="M167" s="238"/>
      <c r="N167" s="514"/>
      <c r="O167" s="562"/>
      <c r="P167" s="518"/>
      <c r="Q167" s="858"/>
      <c r="R167" s="519"/>
      <c r="S167" s="65"/>
      <c r="T167" s="65"/>
    </row>
    <row r="168" spans="1:20" s="157" customFormat="1" x14ac:dyDescent="0.25">
      <c r="A168" s="100"/>
      <c r="B168" s="75"/>
      <c r="C168" s="73"/>
      <c r="D168" s="161"/>
      <c r="E168" s="154"/>
      <c r="F168" s="105"/>
      <c r="G168" s="100"/>
      <c r="H168" s="507"/>
      <c r="I168" s="275">
        <f t="shared" si="23"/>
        <v>0</v>
      </c>
      <c r="J168" s="256"/>
      <c r="K168" s="239"/>
      <c r="L168" s="292"/>
      <c r="M168" s="238"/>
      <c r="N168" s="514"/>
      <c r="O168" s="562"/>
      <c r="P168" s="518"/>
      <c r="Q168" s="858"/>
      <c r="R168" s="519"/>
      <c r="S168" s="65"/>
      <c r="T168" s="65"/>
    </row>
    <row r="169" spans="1:20" s="157" customFormat="1" x14ac:dyDescent="0.25">
      <c r="A169" s="100"/>
      <c r="B169" s="75"/>
      <c r="C169" s="73"/>
      <c r="D169" s="161"/>
      <c r="E169" s="154"/>
      <c r="F169" s="105"/>
      <c r="G169" s="100"/>
      <c r="H169" s="507"/>
      <c r="I169" s="275">
        <f t="shared" si="23"/>
        <v>0</v>
      </c>
      <c r="J169" s="256"/>
      <c r="K169" s="239"/>
      <c r="L169" s="292"/>
      <c r="M169" s="238"/>
      <c r="N169" s="514"/>
      <c r="O169" s="562"/>
      <c r="P169" s="518"/>
      <c r="Q169" s="858"/>
      <c r="R169" s="519"/>
      <c r="S169" s="65"/>
      <c r="T169" s="65"/>
    </row>
    <row r="170" spans="1:20" s="157" customFormat="1" x14ac:dyDescent="0.25">
      <c r="A170" s="100"/>
      <c r="B170" s="75"/>
      <c r="C170" s="73"/>
      <c r="D170" s="161"/>
      <c r="E170" s="154"/>
      <c r="F170" s="105"/>
      <c r="G170" s="100"/>
      <c r="H170" s="507"/>
      <c r="I170" s="275">
        <f t="shared" si="23"/>
        <v>0</v>
      </c>
      <c r="J170" s="256"/>
      <c r="K170" s="239"/>
      <c r="L170" s="292"/>
      <c r="M170" s="238"/>
      <c r="N170" s="514"/>
      <c r="O170" s="562"/>
      <c r="P170" s="518"/>
      <c r="Q170" s="858"/>
      <c r="R170" s="519"/>
      <c r="S170" s="65"/>
      <c r="T170" s="65"/>
    </row>
    <row r="171" spans="1:20" s="157" customFormat="1" x14ac:dyDescent="0.25">
      <c r="A171" s="100"/>
      <c r="B171" s="75"/>
      <c r="C171" s="73"/>
      <c r="D171" s="161"/>
      <c r="E171" s="154"/>
      <c r="F171" s="105"/>
      <c r="G171" s="100"/>
      <c r="H171" s="507"/>
      <c r="I171" s="275">
        <f t="shared" si="23"/>
        <v>0</v>
      </c>
      <c r="J171" s="256"/>
      <c r="K171" s="239"/>
      <c r="L171" s="292"/>
      <c r="M171" s="238"/>
      <c r="N171" s="514"/>
      <c r="O171" s="562"/>
      <c r="P171" s="518"/>
      <c r="Q171" s="858"/>
      <c r="R171" s="519"/>
      <c r="S171" s="65"/>
      <c r="T171" s="65"/>
    </row>
    <row r="172" spans="1:20" s="157" customFormat="1" x14ac:dyDescent="0.25">
      <c r="A172" s="100"/>
      <c r="B172" s="75"/>
      <c r="C172" s="73"/>
      <c r="D172" s="161"/>
      <c r="E172" s="154"/>
      <c r="F172" s="105"/>
      <c r="G172" s="100"/>
      <c r="H172" s="507"/>
      <c r="I172" s="275">
        <f t="shared" si="23"/>
        <v>0</v>
      </c>
      <c r="J172" s="256"/>
      <c r="K172" s="239"/>
      <c r="L172" s="292"/>
      <c r="M172" s="238"/>
      <c r="N172" s="441"/>
      <c r="O172" s="563"/>
      <c r="P172" s="237"/>
      <c r="Q172" s="859"/>
      <c r="R172" s="482"/>
      <c r="S172" s="65"/>
      <c r="T172" s="65"/>
    </row>
    <row r="173" spans="1:20" s="157" customFormat="1" x14ac:dyDescent="0.25">
      <c r="A173" s="100"/>
      <c r="B173" s="75"/>
      <c r="C173" s="73"/>
      <c r="D173" s="161"/>
      <c r="E173" s="154"/>
      <c r="F173" s="105"/>
      <c r="G173" s="100"/>
      <c r="H173" s="507"/>
      <c r="I173" s="275">
        <f t="shared" si="23"/>
        <v>0</v>
      </c>
      <c r="J173" s="256"/>
      <c r="K173" s="239"/>
      <c r="L173" s="292"/>
      <c r="M173" s="238"/>
      <c r="N173" s="441"/>
      <c r="O173" s="563"/>
      <c r="P173" s="237"/>
      <c r="Q173" s="859"/>
      <c r="R173" s="482"/>
      <c r="S173" s="65"/>
      <c r="T173" s="65"/>
    </row>
    <row r="174" spans="1:20" s="157" customFormat="1" x14ac:dyDescent="0.25">
      <c r="A174" s="100"/>
      <c r="B174" s="75"/>
      <c r="C174" s="73"/>
      <c r="D174" s="161"/>
      <c r="E174" s="154"/>
      <c r="F174" s="105"/>
      <c r="G174" s="100"/>
      <c r="H174" s="507"/>
      <c r="I174" s="275">
        <f t="shared" si="23"/>
        <v>0</v>
      </c>
      <c r="J174" s="256"/>
      <c r="K174" s="239"/>
      <c r="L174" s="292"/>
      <c r="M174" s="238"/>
      <c r="N174" s="441"/>
      <c r="O174" s="563"/>
      <c r="P174" s="237"/>
      <c r="Q174" s="859"/>
      <c r="R174" s="482"/>
      <c r="S174" s="65"/>
      <c r="T174" s="65"/>
    </row>
    <row r="175" spans="1:20" s="157" customFormat="1" ht="15.75" thickBot="1" x14ac:dyDescent="0.3">
      <c r="A175" s="100"/>
      <c r="B175" s="75"/>
      <c r="C175" s="147"/>
      <c r="D175" s="147"/>
      <c r="E175" s="134"/>
      <c r="F175" s="657"/>
      <c r="G175" s="100"/>
      <c r="H175" s="507"/>
      <c r="I175" s="275">
        <f t="shared" si="23"/>
        <v>0</v>
      </c>
      <c r="J175" s="256"/>
      <c r="K175" s="291"/>
      <c r="L175" s="292"/>
      <c r="M175" s="266"/>
      <c r="N175" s="441"/>
      <c r="O175" s="268"/>
      <c r="P175" s="289"/>
      <c r="Q175" s="860"/>
      <c r="R175" s="483"/>
      <c r="S175" s="65">
        <f t="shared" ref="S175:S180" si="34">Q175+M175+K175</f>
        <v>0</v>
      </c>
      <c r="T175" s="65" t="e">
        <f t="shared" ref="T175:T183" si="35">S175/H175+0.1</f>
        <v>#DIV/0!</v>
      </c>
    </row>
    <row r="176" spans="1:20" s="157" customFormat="1" ht="15.75" hidden="1" thickBot="1" x14ac:dyDescent="0.3">
      <c r="A176" s="100"/>
      <c r="B176" s="75"/>
      <c r="C176" s="75"/>
      <c r="D176" s="147"/>
      <c r="E176" s="134"/>
      <c r="F176" s="657"/>
      <c r="G176" s="100"/>
      <c r="H176" s="507"/>
      <c r="I176" s="105">
        <f t="shared" si="23"/>
        <v>0</v>
      </c>
      <c r="J176" s="189"/>
      <c r="K176" s="108"/>
      <c r="L176" s="172"/>
      <c r="M176" s="71"/>
      <c r="N176" s="442"/>
      <c r="O176" s="127"/>
      <c r="P176" s="116"/>
      <c r="Q176" s="861"/>
      <c r="R176" s="175"/>
      <c r="S176" s="65">
        <f t="shared" si="34"/>
        <v>0</v>
      </c>
      <c r="T176" s="65" t="e">
        <f t="shared" si="35"/>
        <v>#DIV/0!</v>
      </c>
    </row>
    <row r="177" spans="1:20" s="157" customFormat="1" ht="15.75" hidden="1" thickBot="1" x14ac:dyDescent="0.3">
      <c r="A177" s="100"/>
      <c r="B177" s="75"/>
      <c r="C177" s="75"/>
      <c r="D177" s="147"/>
      <c r="E177" s="134"/>
      <c r="F177" s="657"/>
      <c r="G177" s="100"/>
      <c r="H177" s="507"/>
      <c r="I177" s="105">
        <f t="shared" si="23"/>
        <v>0</v>
      </c>
      <c r="J177" s="189"/>
      <c r="K177" s="108"/>
      <c r="L177" s="172"/>
      <c r="M177" s="71"/>
      <c r="N177" s="442"/>
      <c r="O177" s="127"/>
      <c r="P177" s="116"/>
      <c r="Q177" s="861"/>
      <c r="R177" s="175"/>
      <c r="S177" s="65">
        <f t="shared" si="34"/>
        <v>0</v>
      </c>
      <c r="T177" s="65" t="e">
        <f t="shared" si="35"/>
        <v>#DIV/0!</v>
      </c>
    </row>
    <row r="178" spans="1:20" s="157" customFormat="1" ht="15.75" hidden="1" thickBot="1" x14ac:dyDescent="0.3">
      <c r="A178" s="100"/>
      <c r="B178" s="75"/>
      <c r="C178" s="75"/>
      <c r="D178" s="147"/>
      <c r="E178" s="134"/>
      <c r="F178" s="657"/>
      <c r="G178" s="100"/>
      <c r="H178" s="507"/>
      <c r="I178" s="105">
        <f t="shared" si="23"/>
        <v>0</v>
      </c>
      <c r="J178" s="189"/>
      <c r="K178" s="108"/>
      <c r="L178" s="172"/>
      <c r="M178" s="71"/>
      <c r="N178" s="442"/>
      <c r="O178" s="127"/>
      <c r="P178" s="116"/>
      <c r="Q178" s="861"/>
      <c r="R178" s="176"/>
      <c r="S178" s="65">
        <f t="shared" si="34"/>
        <v>0</v>
      </c>
      <c r="T178" s="65" t="e">
        <f t="shared" si="35"/>
        <v>#DIV/0!</v>
      </c>
    </row>
    <row r="179" spans="1:20" s="157" customFormat="1" ht="15.75" hidden="1" thickBot="1" x14ac:dyDescent="0.3">
      <c r="A179" s="100"/>
      <c r="B179" s="75"/>
      <c r="C179" s="75"/>
      <c r="D179" s="147"/>
      <c r="E179" s="134"/>
      <c r="F179" s="657"/>
      <c r="G179" s="100"/>
      <c r="H179" s="507"/>
      <c r="I179" s="105">
        <f t="shared" si="23"/>
        <v>0</v>
      </c>
      <c r="J179" s="189"/>
      <c r="K179" s="108"/>
      <c r="L179" s="172"/>
      <c r="M179" s="71"/>
      <c r="N179" s="442"/>
      <c r="O179" s="127"/>
      <c r="P179" s="116"/>
      <c r="Q179" s="861"/>
      <c r="R179" s="176"/>
      <c r="S179" s="65">
        <f t="shared" si="34"/>
        <v>0</v>
      </c>
      <c r="T179" s="65" t="e">
        <f t="shared" si="35"/>
        <v>#DIV/0!</v>
      </c>
    </row>
    <row r="180" spans="1:20" s="157" customFormat="1" ht="15.75" hidden="1" thickBot="1" x14ac:dyDescent="0.3">
      <c r="A180" s="100"/>
      <c r="B180" s="75"/>
      <c r="C180" s="147"/>
      <c r="E180" s="134"/>
      <c r="F180" s="657"/>
      <c r="G180" s="100"/>
      <c r="H180" s="507"/>
      <c r="I180" s="105">
        <f t="shared" si="23"/>
        <v>0</v>
      </c>
      <c r="J180" s="189"/>
      <c r="K180" s="108"/>
      <c r="L180" s="172"/>
      <c r="M180" s="71"/>
      <c r="N180" s="442"/>
      <c r="O180" s="127"/>
      <c r="P180" s="116"/>
      <c r="Q180" s="569"/>
      <c r="R180" s="173"/>
      <c r="S180" s="65">
        <f t="shared" si="34"/>
        <v>0</v>
      </c>
      <c r="T180" s="65" t="e">
        <f t="shared" si="35"/>
        <v>#DIV/0!</v>
      </c>
    </row>
    <row r="181" spans="1:20" s="157" customFormat="1" ht="15.75" hidden="1" thickBot="1" x14ac:dyDescent="0.3">
      <c r="A181" s="100"/>
      <c r="B181" s="75"/>
      <c r="C181" s="147"/>
      <c r="D181" s="101"/>
      <c r="E181" s="134"/>
      <c r="F181" s="657"/>
      <c r="G181" s="100"/>
      <c r="H181" s="507"/>
      <c r="I181" s="105">
        <f t="shared" si="23"/>
        <v>0</v>
      </c>
      <c r="J181" s="189"/>
      <c r="K181" s="108"/>
      <c r="L181" s="172"/>
      <c r="M181" s="71"/>
      <c r="N181" s="442"/>
      <c r="O181" s="127"/>
      <c r="P181" s="116"/>
      <c r="Q181" s="569"/>
      <c r="R181" s="173"/>
      <c r="S181" s="65">
        <f t="shared" ref="S181:S186" si="36">Q181+M181+K181</f>
        <v>0</v>
      </c>
      <c r="T181" s="65" t="e">
        <f t="shared" si="35"/>
        <v>#DIV/0!</v>
      </c>
    </row>
    <row r="182" spans="1:20" s="157" customFormat="1" ht="15.75" hidden="1" thickBot="1" x14ac:dyDescent="0.3">
      <c r="A182" s="100"/>
      <c r="B182" s="75"/>
      <c r="C182" s="153"/>
      <c r="D182" s="101"/>
      <c r="E182" s="134"/>
      <c r="F182" s="657"/>
      <c r="G182" s="100"/>
      <c r="H182" s="507"/>
      <c r="I182" s="105">
        <f t="shared" si="23"/>
        <v>0</v>
      </c>
      <c r="J182" s="189"/>
      <c r="K182" s="108"/>
      <c r="L182" s="172"/>
      <c r="M182" s="71"/>
      <c r="N182" s="442"/>
      <c r="O182" s="127"/>
      <c r="P182" s="116"/>
      <c r="Q182" s="569"/>
      <c r="R182" s="173"/>
      <c r="S182" s="65">
        <f t="shared" si="36"/>
        <v>0</v>
      </c>
      <c r="T182" s="65" t="e">
        <f t="shared" si="35"/>
        <v>#DIV/0!</v>
      </c>
    </row>
    <row r="183" spans="1:20" s="157" customFormat="1" ht="15.75" hidden="1" thickBot="1" x14ac:dyDescent="0.3">
      <c r="A183" s="100"/>
      <c r="B183" s="75"/>
      <c r="C183" s="153"/>
      <c r="D183" s="101"/>
      <c r="E183" s="134"/>
      <c r="F183" s="657"/>
      <c r="G183" s="100"/>
      <c r="H183" s="507"/>
      <c r="I183" s="105">
        <f t="shared" si="23"/>
        <v>0</v>
      </c>
      <c r="J183" s="189"/>
      <c r="K183" s="108"/>
      <c r="L183" s="172"/>
      <c r="M183" s="71"/>
      <c r="N183" s="442"/>
      <c r="O183" s="127"/>
      <c r="P183" s="116"/>
      <c r="Q183" s="569"/>
      <c r="R183" s="173"/>
      <c r="S183" s="65">
        <f t="shared" si="36"/>
        <v>0</v>
      </c>
      <c r="T183" s="65" t="e">
        <f t="shared" si="35"/>
        <v>#DIV/0!</v>
      </c>
    </row>
    <row r="184" spans="1:20" s="157" customFormat="1" ht="15.75" hidden="1" thickBot="1" x14ac:dyDescent="0.3">
      <c r="A184" s="100"/>
      <c r="B184" s="75"/>
      <c r="C184" s="153"/>
      <c r="D184" s="101"/>
      <c r="E184" s="134"/>
      <c r="F184" s="657"/>
      <c r="G184" s="100"/>
      <c r="H184" s="507"/>
      <c r="I184" s="105">
        <f t="shared" si="23"/>
        <v>0</v>
      </c>
      <c r="J184" s="189"/>
      <c r="K184" s="108"/>
      <c r="L184" s="172"/>
      <c r="M184" s="71"/>
      <c r="N184" s="442"/>
      <c r="O184" s="127"/>
      <c r="P184" s="116"/>
      <c r="Q184" s="569"/>
      <c r="R184" s="173"/>
      <c r="S184" s="65">
        <f t="shared" si="36"/>
        <v>0</v>
      </c>
      <c r="T184" s="65" t="e">
        <f>S184/H184</f>
        <v>#DIV/0!</v>
      </c>
    </row>
    <row r="185" spans="1:20" s="157" customFormat="1" ht="15.75" hidden="1" thickBot="1" x14ac:dyDescent="0.3">
      <c r="A185" s="100"/>
      <c r="B185" s="75"/>
      <c r="C185" s="153"/>
      <c r="D185" s="158"/>
      <c r="E185" s="134"/>
      <c r="F185" s="657"/>
      <c r="G185" s="100"/>
      <c r="H185" s="507"/>
      <c r="I185" s="105">
        <f t="shared" si="23"/>
        <v>0</v>
      </c>
      <c r="J185" s="189"/>
      <c r="K185" s="108"/>
      <c r="L185" s="172"/>
      <c r="M185" s="71"/>
      <c r="N185" s="442"/>
      <c r="O185" s="127"/>
      <c r="P185" s="116"/>
      <c r="Q185" s="862"/>
      <c r="R185" s="174"/>
      <c r="S185" s="65">
        <f t="shared" si="36"/>
        <v>0</v>
      </c>
      <c r="T185" s="65" t="e">
        <f>S185/H185</f>
        <v>#DIV/0!</v>
      </c>
    </row>
    <row r="186" spans="1:20" s="157" customFormat="1" ht="15.75" hidden="1" thickBot="1" x14ac:dyDescent="0.3">
      <c r="A186" s="100"/>
      <c r="B186" s="75"/>
      <c r="C186" s="153"/>
      <c r="D186" s="158"/>
      <c r="E186" s="134"/>
      <c r="F186" s="657"/>
      <c r="G186" s="100"/>
      <c r="H186" s="507"/>
      <c r="I186" s="105">
        <f t="shared" si="23"/>
        <v>0</v>
      </c>
      <c r="J186" s="189"/>
      <c r="K186" s="108"/>
      <c r="L186" s="172"/>
      <c r="M186" s="71"/>
      <c r="N186" s="442"/>
      <c r="O186" s="127"/>
      <c r="P186" s="116"/>
      <c r="Q186" s="862"/>
      <c r="R186" s="167"/>
      <c r="S186" s="65">
        <f t="shared" si="36"/>
        <v>0</v>
      </c>
      <c r="T186" s="65" t="e">
        <f>S186/H186</f>
        <v>#DIV/0!</v>
      </c>
    </row>
    <row r="187" spans="1:20" s="157" customFormat="1" ht="15.75" hidden="1" thickBot="1" x14ac:dyDescent="0.3">
      <c r="A187" s="100"/>
      <c r="B187" s="75"/>
      <c r="C187" s="95"/>
      <c r="D187" s="158"/>
      <c r="E187" s="666"/>
      <c r="F187" s="657"/>
      <c r="G187" s="100"/>
      <c r="H187" s="507"/>
      <c r="I187" s="105">
        <f t="shared" si="23"/>
        <v>0</v>
      </c>
      <c r="J187" s="129"/>
      <c r="K187" s="168"/>
      <c r="L187" s="607"/>
      <c r="M187" s="71"/>
      <c r="N187" s="443"/>
      <c r="O187" s="127"/>
      <c r="P187" s="95"/>
      <c r="Q187" s="569"/>
      <c r="R187" s="151"/>
      <c r="S187" s="65">
        <f>Q187+M187+K187</f>
        <v>0</v>
      </c>
      <c r="T187" s="65" t="e">
        <f>S187/H187+0.1</f>
        <v>#DIV/0!</v>
      </c>
    </row>
    <row r="188" spans="1:20" s="157" customFormat="1" ht="29.25" customHeight="1" thickTop="1" thickBot="1" x14ac:dyDescent="0.3">
      <c r="A188" s="100"/>
      <c r="B188" s="75"/>
      <c r="C188" s="95"/>
      <c r="D188" s="169"/>
      <c r="E188" s="134"/>
      <c r="F188" s="662" t="s">
        <v>31</v>
      </c>
      <c r="G188" s="72">
        <f>SUM(G5:G187)</f>
        <v>3488</v>
      </c>
      <c r="H188" s="509">
        <f>SUM(H3:H187)</f>
        <v>678132.17999999982</v>
      </c>
      <c r="I188" s="694">
        <f>PIERNA!I37</f>
        <v>0</v>
      </c>
      <c r="J188" s="46"/>
      <c r="K188" s="170">
        <f>SUM(K5:K187)</f>
        <v>431290</v>
      </c>
      <c r="L188" s="608"/>
      <c r="M188" s="170">
        <f>SUM(M5:M187)</f>
        <v>1009200</v>
      </c>
      <c r="N188" s="444"/>
      <c r="O188" s="564"/>
      <c r="P188" s="117"/>
      <c r="Q188" s="863">
        <f>SUM(Q5:Q187)</f>
        <v>26286462.615820002</v>
      </c>
      <c r="R188" s="152"/>
      <c r="S188" s="178">
        <f>Q188+M188+K188</f>
        <v>27726952.615820002</v>
      </c>
      <c r="T188" s="65"/>
    </row>
    <row r="189" spans="1:20" s="157" customFormat="1" ht="15.75" thickTop="1" x14ac:dyDescent="0.25">
      <c r="B189" s="75"/>
      <c r="C189" s="75"/>
      <c r="D189" s="100"/>
      <c r="E189" s="134"/>
      <c r="F189" s="165"/>
      <c r="G189" s="100"/>
      <c r="H189" s="165"/>
      <c r="I189" s="75"/>
      <c r="J189" s="129"/>
      <c r="L189" s="609"/>
      <c r="N189" s="183"/>
      <c r="O189" s="166"/>
      <c r="P189" s="95"/>
      <c r="Q189" s="569"/>
      <c r="R189" s="153" t="s">
        <v>42</v>
      </c>
    </row>
  </sheetData>
  <sortState ref="B98:O105">
    <sortCondition ref="E98:E105"/>
  </sortState>
  <mergeCells count="28">
    <mergeCell ref="R116:R118"/>
    <mergeCell ref="R113:R114"/>
    <mergeCell ref="R110:R111"/>
    <mergeCell ref="B116:B118"/>
    <mergeCell ref="E116:E118"/>
    <mergeCell ref="O116:O118"/>
    <mergeCell ref="B110:B111"/>
    <mergeCell ref="E110:E111"/>
    <mergeCell ref="O110:O111"/>
    <mergeCell ref="B113:B114"/>
    <mergeCell ref="O113:O114"/>
    <mergeCell ref="Q1:Q2"/>
    <mergeCell ref="K1:K2"/>
    <mergeCell ref="M1:M2"/>
    <mergeCell ref="R103:R104"/>
    <mergeCell ref="B103:B104"/>
    <mergeCell ref="O103:O104"/>
    <mergeCell ref="B106:B107"/>
    <mergeCell ref="O106:O107"/>
    <mergeCell ref="B100:B102"/>
    <mergeCell ref="O100:O102"/>
    <mergeCell ref="R100:R102"/>
    <mergeCell ref="B122:B125"/>
    <mergeCell ref="E122:E125"/>
    <mergeCell ref="O122:O125"/>
    <mergeCell ref="B127:B131"/>
    <mergeCell ref="E127:E131"/>
    <mergeCell ref="O127:O131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T40"/>
  <sheetViews>
    <sheetView topLeftCell="L1" workbookViewId="0">
      <pane ySplit="9" topLeftCell="A10" activePane="bottomLeft" state="frozen"/>
      <selection pane="bottomLeft" activeCell="K2" sqref="K1:S104857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1056"/>
    <col min="11" max="11" width="34.140625" customWidth="1"/>
    <col min="12" max="12" width="18" customWidth="1"/>
    <col min="13" max="13" width="11.85546875" customWidth="1"/>
    <col min="15" max="15" width="13" bestFit="1" customWidth="1"/>
    <col min="19" max="19" width="11.42578125" style="1056"/>
  </cols>
  <sheetData>
    <row r="1" spans="1:20" ht="40.5" x14ac:dyDescent="0.55000000000000004">
      <c r="A1" s="1198" t="s">
        <v>219</v>
      </c>
      <c r="B1" s="1198"/>
      <c r="C1" s="1198"/>
      <c r="D1" s="1198"/>
      <c r="E1" s="1198"/>
      <c r="F1" s="1198"/>
      <c r="G1" s="1198"/>
      <c r="H1" s="11">
        <v>1</v>
      </c>
      <c r="I1" s="1055"/>
      <c r="K1" s="1202" t="s">
        <v>556</v>
      </c>
      <c r="L1" s="1202"/>
      <c r="M1" s="1202"/>
      <c r="N1" s="1202"/>
      <c r="O1" s="1202"/>
      <c r="P1" s="1202"/>
      <c r="Q1" s="1202"/>
      <c r="R1" s="11">
        <v>2</v>
      </c>
      <c r="S1" s="1055"/>
    </row>
    <row r="2" spans="1:20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2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057"/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1057"/>
    </row>
    <row r="4" spans="1:20" ht="15.75" thickTop="1" x14ac:dyDescent="0.25">
      <c r="A4" s="294"/>
      <c r="B4" s="294"/>
      <c r="C4" s="294"/>
      <c r="D4" s="243"/>
      <c r="E4" s="334"/>
      <c r="F4" s="253"/>
      <c r="G4" s="160"/>
      <c r="H4" s="160"/>
      <c r="I4" s="1058"/>
      <c r="K4" s="294"/>
      <c r="L4" s="294"/>
      <c r="M4" s="294"/>
      <c r="N4" s="243"/>
      <c r="O4" s="334"/>
      <c r="P4" s="253"/>
      <c r="Q4" s="160"/>
      <c r="R4" s="160"/>
      <c r="S4" s="1058"/>
    </row>
    <row r="5" spans="1:20" x14ac:dyDescent="0.25">
      <c r="A5" s="1196" t="s">
        <v>115</v>
      </c>
      <c r="B5" s="1209" t="s">
        <v>86</v>
      </c>
      <c r="C5" s="283">
        <v>52</v>
      </c>
      <c r="D5" s="248">
        <v>44669</v>
      </c>
      <c r="E5" s="259">
        <v>784.48</v>
      </c>
      <c r="F5" s="253">
        <v>31</v>
      </c>
      <c r="G5" s="295"/>
      <c r="H5" t="s">
        <v>41</v>
      </c>
      <c r="K5" s="1196" t="s">
        <v>115</v>
      </c>
      <c r="L5" s="1209" t="s">
        <v>86</v>
      </c>
      <c r="M5" s="283">
        <v>52</v>
      </c>
      <c r="N5" s="248">
        <v>44695</v>
      </c>
      <c r="O5" s="259">
        <v>806.17</v>
      </c>
      <c r="P5" s="253">
        <v>30</v>
      </c>
      <c r="Q5" s="295"/>
      <c r="R5" t="s">
        <v>41</v>
      </c>
    </row>
    <row r="6" spans="1:20" ht="15.75" x14ac:dyDescent="0.25">
      <c r="A6" s="1196"/>
      <c r="B6" s="1209"/>
      <c r="C6" s="700">
        <v>52</v>
      </c>
      <c r="D6" s="261">
        <v>44679</v>
      </c>
      <c r="E6" s="259">
        <v>2051.25</v>
      </c>
      <c r="F6" s="253">
        <v>72</v>
      </c>
      <c r="G6" s="262">
        <f>F35</f>
        <v>2835.7300000000005</v>
      </c>
      <c r="H6" s="7">
        <f>E6-G6+E7+E5-G5+E4+E8</f>
        <v>-4.5474735088646412E-13</v>
      </c>
      <c r="I6" s="1059"/>
      <c r="K6" s="1196"/>
      <c r="L6" s="1209"/>
      <c r="M6" s="700">
        <v>52</v>
      </c>
      <c r="N6" s="261">
        <v>44700</v>
      </c>
      <c r="O6" s="259">
        <v>481.67</v>
      </c>
      <c r="P6" s="253">
        <v>19</v>
      </c>
      <c r="Q6" s="262">
        <f>P35</f>
        <v>0</v>
      </c>
      <c r="R6" s="7">
        <f>O6-Q6+O7+O5-Q5+O4+O8</f>
        <v>1287.8399999999999</v>
      </c>
      <c r="S6" s="1059"/>
    </row>
    <row r="7" spans="1:20" x14ac:dyDescent="0.25">
      <c r="A7" s="240"/>
      <c r="B7" s="282"/>
      <c r="C7" s="283"/>
      <c r="D7" s="248"/>
      <c r="E7" s="259"/>
      <c r="F7" s="253"/>
      <c r="G7" s="240"/>
      <c r="H7" s="240"/>
      <c r="K7" s="240"/>
      <c r="L7" s="282"/>
      <c r="M7" s="283"/>
      <c r="N7" s="248"/>
      <c r="O7" s="259"/>
      <c r="P7" s="253"/>
      <c r="Q7" s="240"/>
      <c r="R7" s="240"/>
    </row>
    <row r="8" spans="1:20" ht="15.75" thickBot="1" x14ac:dyDescent="0.3">
      <c r="A8" s="240"/>
      <c r="B8" s="282"/>
      <c r="C8" s="283"/>
      <c r="D8" s="248"/>
      <c r="E8" s="259"/>
      <c r="F8" s="253"/>
      <c r="G8" s="240"/>
      <c r="H8" s="240"/>
      <c r="K8" s="240"/>
      <c r="L8" s="282"/>
      <c r="M8" s="283"/>
      <c r="N8" s="248"/>
      <c r="O8" s="259"/>
      <c r="P8" s="253"/>
      <c r="Q8" s="240"/>
      <c r="R8" s="240"/>
    </row>
    <row r="9" spans="1:2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1060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  <c r="S9" s="1060"/>
    </row>
    <row r="10" spans="1:20" ht="15.75" thickTop="1" x14ac:dyDescent="0.25">
      <c r="A10" s="80" t="s">
        <v>32</v>
      </c>
      <c r="B10" s="284">
        <f>F4+F5+F6+F7-C10+F8</f>
        <v>72</v>
      </c>
      <c r="C10" s="15">
        <v>31</v>
      </c>
      <c r="D10" s="264">
        <v>784.48</v>
      </c>
      <c r="E10" s="293">
        <v>44673</v>
      </c>
      <c r="F10" s="264">
        <f t="shared" ref="F10:F11" si="0">D10</f>
        <v>784.48</v>
      </c>
      <c r="G10" s="265" t="s">
        <v>183</v>
      </c>
      <c r="H10" s="266">
        <v>48</v>
      </c>
      <c r="I10" s="301">
        <f>E4+E5+E6+E7-F10+E8</f>
        <v>2051.25</v>
      </c>
      <c r="J10" s="240"/>
      <c r="K10" s="80" t="s">
        <v>32</v>
      </c>
      <c r="L10" s="284">
        <f>P4+P5+P6+P7-M10+P8</f>
        <v>49</v>
      </c>
      <c r="M10" s="15"/>
      <c r="N10" s="264"/>
      <c r="O10" s="293"/>
      <c r="P10" s="264">
        <f t="shared" ref="P10:P26" si="1">N10</f>
        <v>0</v>
      </c>
      <c r="Q10" s="265"/>
      <c r="R10" s="266"/>
      <c r="S10" s="301">
        <f>O4+O5+O6+O7-P10+O8</f>
        <v>1287.8399999999999</v>
      </c>
      <c r="T10" s="240"/>
    </row>
    <row r="11" spans="1:20" x14ac:dyDescent="0.25">
      <c r="A11" s="207"/>
      <c r="B11" s="284">
        <f>B10-C11</f>
        <v>40</v>
      </c>
      <c r="C11" s="15">
        <v>32</v>
      </c>
      <c r="D11" s="264">
        <v>909.59</v>
      </c>
      <c r="E11" s="293">
        <v>44681</v>
      </c>
      <c r="F11" s="264">
        <f t="shared" si="0"/>
        <v>909.59</v>
      </c>
      <c r="G11" s="265" t="s">
        <v>210</v>
      </c>
      <c r="H11" s="266">
        <v>54</v>
      </c>
      <c r="I11" s="301">
        <f>I10-F11</f>
        <v>1141.6599999999999</v>
      </c>
      <c r="J11" s="240"/>
      <c r="K11" s="207"/>
      <c r="L11" s="284">
        <f>L10-M11</f>
        <v>49</v>
      </c>
      <c r="M11" s="15"/>
      <c r="N11" s="264"/>
      <c r="O11" s="293"/>
      <c r="P11" s="264">
        <f t="shared" si="1"/>
        <v>0</v>
      </c>
      <c r="Q11" s="265"/>
      <c r="R11" s="266"/>
      <c r="S11" s="301">
        <f>S10-P11</f>
        <v>1287.8399999999999</v>
      </c>
      <c r="T11" s="240"/>
    </row>
    <row r="12" spans="1:20" x14ac:dyDescent="0.25">
      <c r="A12" s="195"/>
      <c r="B12" s="284">
        <f t="shared" ref="B12:B28" si="2">B11-C12</f>
        <v>0</v>
      </c>
      <c r="C12" s="15">
        <v>40</v>
      </c>
      <c r="D12" s="1043">
        <v>1141.6600000000001</v>
      </c>
      <c r="E12" s="1044">
        <v>44684</v>
      </c>
      <c r="F12" s="1043">
        <f t="shared" ref="F12" si="3">D12</f>
        <v>1141.6600000000001</v>
      </c>
      <c r="G12" s="1037" t="s">
        <v>374</v>
      </c>
      <c r="H12" s="1038">
        <v>48</v>
      </c>
      <c r="I12" s="301">
        <f t="shared" ref="I12:I30" si="4">I11-F12</f>
        <v>0</v>
      </c>
      <c r="J12" s="240"/>
      <c r="K12" s="195"/>
      <c r="L12" s="284">
        <f t="shared" ref="L12:L28" si="5">L11-M12</f>
        <v>49</v>
      </c>
      <c r="M12" s="15"/>
      <c r="N12" s="264"/>
      <c r="O12" s="293"/>
      <c r="P12" s="264">
        <f t="shared" si="1"/>
        <v>0</v>
      </c>
      <c r="Q12" s="265"/>
      <c r="R12" s="266"/>
      <c r="S12" s="301">
        <f t="shared" ref="S12:S30" si="6">S11-P12</f>
        <v>1287.8399999999999</v>
      </c>
      <c r="T12" s="240"/>
    </row>
    <row r="13" spans="1:20" x14ac:dyDescent="0.25">
      <c r="A13" s="82" t="s">
        <v>33</v>
      </c>
      <c r="B13" s="284">
        <f t="shared" si="2"/>
        <v>0</v>
      </c>
      <c r="C13" s="15"/>
      <c r="D13" s="1043"/>
      <c r="E13" s="1044"/>
      <c r="F13" s="1061">
        <f t="shared" ref="F13:F33" si="7">D13</f>
        <v>0</v>
      </c>
      <c r="G13" s="1062"/>
      <c r="H13" s="1063"/>
      <c r="I13" s="1064">
        <f t="shared" si="4"/>
        <v>0</v>
      </c>
      <c r="J13" s="240"/>
      <c r="K13" s="82" t="s">
        <v>33</v>
      </c>
      <c r="L13" s="284">
        <f t="shared" si="5"/>
        <v>49</v>
      </c>
      <c r="M13" s="15"/>
      <c r="N13" s="264"/>
      <c r="O13" s="293"/>
      <c r="P13" s="264">
        <f t="shared" si="1"/>
        <v>0</v>
      </c>
      <c r="Q13" s="265"/>
      <c r="R13" s="266"/>
      <c r="S13" s="301">
        <f t="shared" si="6"/>
        <v>1287.8399999999999</v>
      </c>
      <c r="T13" s="240"/>
    </row>
    <row r="14" spans="1:20" x14ac:dyDescent="0.25">
      <c r="A14" s="73"/>
      <c r="B14" s="284">
        <f t="shared" si="2"/>
        <v>0</v>
      </c>
      <c r="C14" s="15"/>
      <c r="D14" s="1043"/>
      <c r="E14" s="1044"/>
      <c r="F14" s="1061">
        <f t="shared" ref="F14:F26" si="8">D14</f>
        <v>0</v>
      </c>
      <c r="G14" s="1062"/>
      <c r="H14" s="1063"/>
      <c r="I14" s="1064">
        <f t="shared" si="4"/>
        <v>0</v>
      </c>
      <c r="J14" s="240"/>
      <c r="K14" s="73"/>
      <c r="L14" s="284">
        <f t="shared" si="5"/>
        <v>49</v>
      </c>
      <c r="M14" s="15"/>
      <c r="N14" s="264"/>
      <c r="O14" s="293"/>
      <c r="P14" s="264">
        <f t="shared" si="1"/>
        <v>0</v>
      </c>
      <c r="Q14" s="265"/>
      <c r="R14" s="266"/>
      <c r="S14" s="301">
        <f t="shared" si="6"/>
        <v>1287.8399999999999</v>
      </c>
      <c r="T14" s="240"/>
    </row>
    <row r="15" spans="1:20" x14ac:dyDescent="0.25">
      <c r="A15" s="73"/>
      <c r="B15" s="284">
        <f t="shared" si="2"/>
        <v>0</v>
      </c>
      <c r="C15" s="15"/>
      <c r="D15" s="1043"/>
      <c r="E15" s="1044"/>
      <c r="F15" s="1061">
        <f t="shared" si="8"/>
        <v>0</v>
      </c>
      <c r="G15" s="1062"/>
      <c r="H15" s="1063"/>
      <c r="I15" s="1064">
        <f t="shared" si="4"/>
        <v>0</v>
      </c>
      <c r="J15" s="240"/>
      <c r="K15" s="73"/>
      <c r="L15" s="284">
        <f t="shared" si="5"/>
        <v>49</v>
      </c>
      <c r="M15" s="15"/>
      <c r="N15" s="264"/>
      <c r="O15" s="293"/>
      <c r="P15" s="264">
        <f t="shared" si="1"/>
        <v>0</v>
      </c>
      <c r="Q15" s="265"/>
      <c r="R15" s="266"/>
      <c r="S15" s="301">
        <f t="shared" si="6"/>
        <v>1287.8399999999999</v>
      </c>
      <c r="T15" s="240"/>
    </row>
    <row r="16" spans="1:20" x14ac:dyDescent="0.25">
      <c r="B16" s="284">
        <f t="shared" si="2"/>
        <v>0</v>
      </c>
      <c r="C16" s="15"/>
      <c r="D16" s="1033"/>
      <c r="E16" s="1044"/>
      <c r="F16" s="1061">
        <f t="shared" si="8"/>
        <v>0</v>
      </c>
      <c r="G16" s="1062"/>
      <c r="H16" s="1063"/>
      <c r="I16" s="1064">
        <f t="shared" si="4"/>
        <v>0</v>
      </c>
      <c r="J16" s="240"/>
      <c r="L16" s="284">
        <f t="shared" si="5"/>
        <v>49</v>
      </c>
      <c r="M16" s="15"/>
      <c r="N16" s="69"/>
      <c r="O16" s="293"/>
      <c r="P16" s="264">
        <f t="shared" si="1"/>
        <v>0</v>
      </c>
      <c r="Q16" s="265"/>
      <c r="R16" s="266"/>
      <c r="S16" s="301">
        <f t="shared" si="6"/>
        <v>1287.8399999999999</v>
      </c>
      <c r="T16" s="240"/>
    </row>
    <row r="17" spans="1:20" x14ac:dyDescent="0.25">
      <c r="B17" s="284">
        <f t="shared" si="2"/>
        <v>0</v>
      </c>
      <c r="C17" s="15"/>
      <c r="D17" s="1033"/>
      <c r="E17" s="1044"/>
      <c r="F17" s="1061">
        <f t="shared" si="8"/>
        <v>0</v>
      </c>
      <c r="G17" s="1062"/>
      <c r="H17" s="1063"/>
      <c r="I17" s="1064">
        <f t="shared" si="4"/>
        <v>0</v>
      </c>
      <c r="J17" s="240"/>
      <c r="L17" s="284">
        <f t="shared" si="5"/>
        <v>49</v>
      </c>
      <c r="M17" s="15"/>
      <c r="N17" s="69"/>
      <c r="O17" s="293"/>
      <c r="P17" s="264">
        <f t="shared" si="1"/>
        <v>0</v>
      </c>
      <c r="Q17" s="265"/>
      <c r="R17" s="266"/>
      <c r="S17" s="301">
        <f t="shared" si="6"/>
        <v>1287.8399999999999</v>
      </c>
      <c r="T17" s="240"/>
    </row>
    <row r="18" spans="1:20" x14ac:dyDescent="0.25">
      <c r="A18" s="122"/>
      <c r="B18" s="284">
        <f t="shared" si="2"/>
        <v>0</v>
      </c>
      <c r="C18" s="15"/>
      <c r="D18" s="1033"/>
      <c r="E18" s="1044"/>
      <c r="F18" s="1043">
        <f t="shared" si="8"/>
        <v>0</v>
      </c>
      <c r="G18" s="1037"/>
      <c r="H18" s="1038"/>
      <c r="I18" s="301">
        <f t="shared" si="4"/>
        <v>0</v>
      </c>
      <c r="J18" s="240"/>
      <c r="K18" s="122"/>
      <c r="L18" s="284">
        <f t="shared" si="5"/>
        <v>49</v>
      </c>
      <c r="M18" s="15"/>
      <c r="N18" s="69"/>
      <c r="O18" s="293"/>
      <c r="P18" s="264">
        <f t="shared" si="1"/>
        <v>0</v>
      </c>
      <c r="Q18" s="265"/>
      <c r="R18" s="266"/>
      <c r="S18" s="301">
        <f t="shared" si="6"/>
        <v>1287.8399999999999</v>
      </c>
      <c r="T18" s="240"/>
    </row>
    <row r="19" spans="1:20" x14ac:dyDescent="0.25">
      <c r="A19" s="122"/>
      <c r="B19" s="284">
        <f t="shared" si="2"/>
        <v>0</v>
      </c>
      <c r="C19" s="15"/>
      <c r="D19" s="1033"/>
      <c r="E19" s="1044"/>
      <c r="F19" s="1043">
        <f t="shared" si="8"/>
        <v>0</v>
      </c>
      <c r="G19" s="1037"/>
      <c r="H19" s="1038"/>
      <c r="I19" s="301">
        <f t="shared" si="4"/>
        <v>0</v>
      </c>
      <c r="J19" s="240"/>
      <c r="K19" s="122"/>
      <c r="L19" s="284">
        <f t="shared" si="5"/>
        <v>49</v>
      </c>
      <c r="M19" s="15"/>
      <c r="N19" s="69"/>
      <c r="O19" s="293"/>
      <c r="P19" s="264">
        <f t="shared" si="1"/>
        <v>0</v>
      </c>
      <c r="Q19" s="265"/>
      <c r="R19" s="266"/>
      <c r="S19" s="301">
        <f t="shared" si="6"/>
        <v>1287.8399999999999</v>
      </c>
      <c r="T19" s="240"/>
    </row>
    <row r="20" spans="1:20" x14ac:dyDescent="0.25">
      <c r="A20" s="122"/>
      <c r="B20" s="284">
        <f t="shared" si="2"/>
        <v>0</v>
      </c>
      <c r="C20" s="15"/>
      <c r="D20" s="1033"/>
      <c r="E20" s="1044"/>
      <c r="F20" s="1043">
        <f t="shared" si="8"/>
        <v>0</v>
      </c>
      <c r="G20" s="1037"/>
      <c r="H20" s="1038"/>
      <c r="I20" s="301">
        <f t="shared" si="4"/>
        <v>0</v>
      </c>
      <c r="J20" s="240"/>
      <c r="K20" s="122"/>
      <c r="L20" s="284">
        <f t="shared" si="5"/>
        <v>49</v>
      </c>
      <c r="M20" s="15"/>
      <c r="N20" s="69"/>
      <c r="O20" s="293"/>
      <c r="P20" s="264">
        <f t="shared" si="1"/>
        <v>0</v>
      </c>
      <c r="Q20" s="265"/>
      <c r="R20" s="266"/>
      <c r="S20" s="301">
        <f t="shared" si="6"/>
        <v>1287.8399999999999</v>
      </c>
      <c r="T20" s="240"/>
    </row>
    <row r="21" spans="1:20" x14ac:dyDescent="0.25">
      <c r="A21" s="122"/>
      <c r="B21" s="284">
        <f t="shared" si="2"/>
        <v>0</v>
      </c>
      <c r="C21" s="15"/>
      <c r="D21" s="1033"/>
      <c r="E21" s="1044"/>
      <c r="F21" s="1043">
        <f t="shared" si="8"/>
        <v>0</v>
      </c>
      <c r="G21" s="1037"/>
      <c r="H21" s="1038"/>
      <c r="I21" s="301">
        <f t="shared" si="4"/>
        <v>0</v>
      </c>
      <c r="J21" s="240"/>
      <c r="K21" s="122"/>
      <c r="L21" s="284">
        <f t="shared" si="5"/>
        <v>49</v>
      </c>
      <c r="M21" s="15"/>
      <c r="N21" s="69"/>
      <c r="O21" s="293"/>
      <c r="P21" s="264">
        <f t="shared" si="1"/>
        <v>0</v>
      </c>
      <c r="Q21" s="265"/>
      <c r="R21" s="266"/>
      <c r="S21" s="301">
        <f t="shared" si="6"/>
        <v>1287.8399999999999</v>
      </c>
      <c r="T21" s="240"/>
    </row>
    <row r="22" spans="1:20" x14ac:dyDescent="0.25">
      <c r="A22" s="122"/>
      <c r="B22" s="284">
        <f t="shared" si="2"/>
        <v>0</v>
      </c>
      <c r="C22" s="15"/>
      <c r="D22" s="1033"/>
      <c r="E22" s="1054"/>
      <c r="F22" s="1033">
        <f t="shared" si="8"/>
        <v>0</v>
      </c>
      <c r="G22" s="1037"/>
      <c r="H22" s="1038"/>
      <c r="I22" s="60">
        <f t="shared" si="4"/>
        <v>0</v>
      </c>
      <c r="J22" s="240"/>
      <c r="K22" s="122"/>
      <c r="L22" s="284">
        <f t="shared" si="5"/>
        <v>49</v>
      </c>
      <c r="M22" s="15"/>
      <c r="N22" s="69"/>
      <c r="O22" s="216"/>
      <c r="P22" s="69">
        <f t="shared" si="1"/>
        <v>0</v>
      </c>
      <c r="Q22" s="265"/>
      <c r="R22" s="266"/>
      <c r="S22" s="60">
        <f t="shared" si="6"/>
        <v>1287.8399999999999</v>
      </c>
      <c r="T22" s="240"/>
    </row>
    <row r="23" spans="1:20" x14ac:dyDescent="0.25">
      <c r="A23" s="123"/>
      <c r="B23" s="284">
        <f t="shared" si="2"/>
        <v>0</v>
      </c>
      <c r="C23" s="15"/>
      <c r="D23" s="1033"/>
      <c r="E23" s="1054"/>
      <c r="F23" s="1033">
        <f t="shared" si="8"/>
        <v>0</v>
      </c>
      <c r="G23" s="1037"/>
      <c r="H23" s="1038"/>
      <c r="I23" s="60">
        <f t="shared" si="4"/>
        <v>0</v>
      </c>
      <c r="J23" s="240"/>
      <c r="K23" s="123"/>
      <c r="L23" s="284">
        <f t="shared" si="5"/>
        <v>49</v>
      </c>
      <c r="M23" s="15"/>
      <c r="N23" s="69"/>
      <c r="O23" s="216"/>
      <c r="P23" s="69">
        <f t="shared" si="1"/>
        <v>0</v>
      </c>
      <c r="Q23" s="265"/>
      <c r="R23" s="266"/>
      <c r="S23" s="60">
        <f t="shared" si="6"/>
        <v>1287.8399999999999</v>
      </c>
      <c r="T23" s="240"/>
    </row>
    <row r="24" spans="1:20" x14ac:dyDescent="0.25">
      <c r="A24" s="122"/>
      <c r="B24" s="284">
        <f t="shared" si="2"/>
        <v>0</v>
      </c>
      <c r="C24" s="15"/>
      <c r="D24" s="1033"/>
      <c r="E24" s="1054"/>
      <c r="F24" s="1033">
        <f t="shared" si="8"/>
        <v>0</v>
      </c>
      <c r="G24" s="1037"/>
      <c r="H24" s="1038"/>
      <c r="I24" s="60">
        <f t="shared" si="4"/>
        <v>0</v>
      </c>
      <c r="J24" s="240"/>
      <c r="K24" s="122"/>
      <c r="L24" s="284">
        <f t="shared" si="5"/>
        <v>49</v>
      </c>
      <c r="M24" s="15"/>
      <c r="N24" s="69"/>
      <c r="O24" s="216"/>
      <c r="P24" s="69">
        <f t="shared" si="1"/>
        <v>0</v>
      </c>
      <c r="Q24" s="265"/>
      <c r="R24" s="266"/>
      <c r="S24" s="60">
        <f t="shared" si="6"/>
        <v>1287.8399999999999</v>
      </c>
      <c r="T24" s="240"/>
    </row>
    <row r="25" spans="1:20" x14ac:dyDescent="0.25">
      <c r="A25" s="122"/>
      <c r="B25" s="284">
        <f t="shared" si="2"/>
        <v>0</v>
      </c>
      <c r="C25" s="15"/>
      <c r="D25" s="1033"/>
      <c r="E25" s="1054"/>
      <c r="F25" s="1033">
        <f t="shared" si="8"/>
        <v>0</v>
      </c>
      <c r="G25" s="1037"/>
      <c r="H25" s="1038"/>
      <c r="I25" s="60">
        <f t="shared" si="4"/>
        <v>0</v>
      </c>
      <c r="J25" s="240"/>
      <c r="K25" s="122"/>
      <c r="L25" s="284">
        <f t="shared" si="5"/>
        <v>49</v>
      </c>
      <c r="M25" s="15"/>
      <c r="N25" s="69"/>
      <c r="O25" s="216"/>
      <c r="P25" s="69">
        <f t="shared" si="1"/>
        <v>0</v>
      </c>
      <c r="Q25" s="265"/>
      <c r="R25" s="266"/>
      <c r="S25" s="60">
        <f t="shared" si="6"/>
        <v>1287.8399999999999</v>
      </c>
      <c r="T25" s="240"/>
    </row>
    <row r="26" spans="1:20" x14ac:dyDescent="0.25">
      <c r="A26" s="122"/>
      <c r="B26" s="284">
        <f t="shared" si="2"/>
        <v>0</v>
      </c>
      <c r="C26" s="15"/>
      <c r="D26" s="1033"/>
      <c r="E26" s="1054"/>
      <c r="F26" s="1033">
        <f t="shared" si="8"/>
        <v>0</v>
      </c>
      <c r="G26" s="1037"/>
      <c r="H26" s="1038"/>
      <c r="I26" s="60">
        <f t="shared" si="4"/>
        <v>0</v>
      </c>
      <c r="J26" s="240"/>
      <c r="K26" s="122"/>
      <c r="L26" s="284">
        <f t="shared" si="5"/>
        <v>49</v>
      </c>
      <c r="M26" s="15"/>
      <c r="N26" s="69"/>
      <c r="O26" s="216"/>
      <c r="P26" s="69">
        <f t="shared" si="1"/>
        <v>0</v>
      </c>
      <c r="Q26" s="265"/>
      <c r="R26" s="266"/>
      <c r="S26" s="60">
        <f t="shared" si="6"/>
        <v>1287.8399999999999</v>
      </c>
      <c r="T26" s="240"/>
    </row>
    <row r="27" spans="1:20" x14ac:dyDescent="0.25">
      <c r="A27" s="122"/>
      <c r="B27" s="284">
        <f t="shared" si="2"/>
        <v>0</v>
      </c>
      <c r="C27" s="15"/>
      <c r="D27" s="1033"/>
      <c r="E27" s="1054"/>
      <c r="F27" s="1033">
        <v>0</v>
      </c>
      <c r="G27" s="1037"/>
      <c r="H27" s="1038"/>
      <c r="I27" s="301">
        <f t="shared" si="4"/>
        <v>0</v>
      </c>
      <c r="J27" s="240"/>
      <c r="K27" s="122"/>
      <c r="L27" s="284">
        <f t="shared" si="5"/>
        <v>49</v>
      </c>
      <c r="M27" s="15"/>
      <c r="N27" s="69"/>
      <c r="O27" s="216"/>
      <c r="P27" s="69">
        <v>0</v>
      </c>
      <c r="Q27" s="265"/>
      <c r="R27" s="266"/>
      <c r="S27" s="301">
        <f t="shared" si="6"/>
        <v>1287.8399999999999</v>
      </c>
      <c r="T27" s="240"/>
    </row>
    <row r="28" spans="1:20" x14ac:dyDescent="0.25">
      <c r="A28" s="122"/>
      <c r="B28" s="284">
        <f t="shared" si="2"/>
        <v>0</v>
      </c>
      <c r="C28" s="15"/>
      <c r="D28" s="1033"/>
      <c r="E28" s="1054"/>
      <c r="F28" s="1033">
        <f t="shared" si="7"/>
        <v>0</v>
      </c>
      <c r="G28" s="1037"/>
      <c r="H28" s="1038"/>
      <c r="I28" s="301">
        <f t="shared" si="4"/>
        <v>0</v>
      </c>
      <c r="K28" s="122"/>
      <c r="L28" s="284">
        <f t="shared" si="5"/>
        <v>49</v>
      </c>
      <c r="M28" s="15"/>
      <c r="N28" s="69"/>
      <c r="O28" s="216"/>
      <c r="P28" s="69">
        <f t="shared" ref="P28:P33" si="9">N28</f>
        <v>0</v>
      </c>
      <c r="Q28" s="265"/>
      <c r="R28" s="266"/>
      <c r="S28" s="301">
        <f t="shared" si="6"/>
        <v>1287.8399999999999</v>
      </c>
    </row>
    <row r="29" spans="1:20" x14ac:dyDescent="0.25">
      <c r="A29" s="122"/>
      <c r="B29" s="284"/>
      <c r="C29" s="15"/>
      <c r="D29" s="1033"/>
      <c r="E29" s="1054"/>
      <c r="F29" s="1033">
        <f t="shared" si="7"/>
        <v>0</v>
      </c>
      <c r="G29" s="1037"/>
      <c r="H29" s="1038"/>
      <c r="I29" s="301">
        <f t="shared" si="4"/>
        <v>0</v>
      </c>
      <c r="K29" s="122"/>
      <c r="L29" s="284"/>
      <c r="M29" s="15"/>
      <c r="N29" s="69"/>
      <c r="O29" s="216"/>
      <c r="P29" s="69">
        <f t="shared" si="9"/>
        <v>0</v>
      </c>
      <c r="Q29" s="265"/>
      <c r="R29" s="266"/>
      <c r="S29" s="301">
        <f t="shared" si="6"/>
        <v>1287.8399999999999</v>
      </c>
    </row>
    <row r="30" spans="1:20" x14ac:dyDescent="0.25">
      <c r="A30" s="122"/>
      <c r="B30" s="284"/>
      <c r="C30" s="15"/>
      <c r="D30" s="69"/>
      <c r="E30" s="216"/>
      <c r="F30" s="69">
        <f t="shared" si="7"/>
        <v>0</v>
      </c>
      <c r="G30" s="265"/>
      <c r="H30" s="266"/>
      <c r="I30" s="301">
        <f t="shared" si="4"/>
        <v>0</v>
      </c>
      <c r="K30" s="122"/>
      <c r="L30" s="284"/>
      <c r="M30" s="15"/>
      <c r="N30" s="69"/>
      <c r="O30" s="216"/>
      <c r="P30" s="69">
        <f t="shared" si="9"/>
        <v>0</v>
      </c>
      <c r="Q30" s="265"/>
      <c r="R30" s="266"/>
      <c r="S30" s="301">
        <f t="shared" si="6"/>
        <v>1287.8399999999999</v>
      </c>
    </row>
    <row r="31" spans="1:20" x14ac:dyDescent="0.25">
      <c r="A31" s="122"/>
      <c r="B31" s="284"/>
      <c r="C31" s="15"/>
      <c r="D31" s="69"/>
      <c r="E31" s="216"/>
      <c r="F31" s="69">
        <f t="shared" si="7"/>
        <v>0</v>
      </c>
      <c r="G31" s="70"/>
      <c r="H31" s="71"/>
      <c r="I31" s="60"/>
      <c r="K31" s="122"/>
      <c r="L31" s="284"/>
      <c r="M31" s="15"/>
      <c r="N31" s="69"/>
      <c r="O31" s="216"/>
      <c r="P31" s="69">
        <f t="shared" si="9"/>
        <v>0</v>
      </c>
      <c r="Q31" s="70"/>
      <c r="R31" s="71"/>
      <c r="S31" s="60"/>
    </row>
    <row r="32" spans="1:20" x14ac:dyDescent="0.25">
      <c r="A32" s="122"/>
      <c r="B32" s="284"/>
      <c r="C32" s="15"/>
      <c r="D32" s="69"/>
      <c r="E32" s="216"/>
      <c r="F32" s="69">
        <f t="shared" si="7"/>
        <v>0</v>
      </c>
      <c r="G32" s="70"/>
      <c r="H32" s="71"/>
      <c r="I32" s="60"/>
      <c r="K32" s="122"/>
      <c r="L32" s="284"/>
      <c r="M32" s="15"/>
      <c r="N32" s="69"/>
      <c r="O32" s="216"/>
      <c r="P32" s="69">
        <f t="shared" si="9"/>
        <v>0</v>
      </c>
      <c r="Q32" s="70"/>
      <c r="R32" s="71"/>
      <c r="S32" s="60"/>
    </row>
    <row r="33" spans="1:19" x14ac:dyDescent="0.25">
      <c r="A33" s="122"/>
      <c r="B33" s="83"/>
      <c r="C33" s="15"/>
      <c r="D33" s="69"/>
      <c r="E33" s="216"/>
      <c r="F33" s="69">
        <f t="shared" si="7"/>
        <v>0</v>
      </c>
      <c r="G33" s="265"/>
      <c r="H33" s="266"/>
      <c r="I33" s="301"/>
      <c r="K33" s="122"/>
      <c r="L33" s="83"/>
      <c r="M33" s="15"/>
      <c r="N33" s="69"/>
      <c r="O33" s="216"/>
      <c r="P33" s="69">
        <f t="shared" si="9"/>
        <v>0</v>
      </c>
      <c r="Q33" s="265"/>
      <c r="R33" s="266"/>
      <c r="S33" s="301"/>
    </row>
    <row r="34" spans="1:1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  <c r="K34" s="122"/>
      <c r="L34" s="16"/>
      <c r="M34" s="52"/>
      <c r="N34" s="107"/>
      <c r="O34" s="209"/>
      <c r="P34" s="103"/>
      <c r="Q34" s="104"/>
      <c r="R34" s="60"/>
      <c r="S34" s="60"/>
    </row>
    <row r="35" spans="1:19" x14ac:dyDescent="0.25">
      <c r="C35" s="6">
        <f>SUM(C10:C34)</f>
        <v>103</v>
      </c>
      <c r="D35" s="6">
        <f>SUM(D10:D34)</f>
        <v>2835.7300000000005</v>
      </c>
      <c r="F35" s="6">
        <f>SUM(F10:F34)</f>
        <v>2835.7300000000005</v>
      </c>
      <c r="M35" s="6">
        <f>SUM(M10:M34)</f>
        <v>0</v>
      </c>
      <c r="N35" s="6">
        <f>SUM(N10:N34)</f>
        <v>0</v>
      </c>
      <c r="P35" s="6">
        <f>SUM(P10:P34)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6">
        <f>F5+F6-C35+F7+F4</f>
        <v>0</v>
      </c>
      <c r="N38" s="45" t="s">
        <v>4</v>
      </c>
      <c r="O38" s="56">
        <f>P5+P6-M35+P7+P4</f>
        <v>49</v>
      </c>
    </row>
    <row r="39" spans="1:19" ht="15.75" thickBot="1" x14ac:dyDescent="0.3"/>
    <row r="40" spans="1:19" ht="15.75" thickBot="1" x14ac:dyDescent="0.3">
      <c r="C40" s="1200" t="s">
        <v>11</v>
      </c>
      <c r="D40" s="1201"/>
      <c r="E40" s="57">
        <f>E4+E5+E6+E7-F35</f>
        <v>0</v>
      </c>
      <c r="F40" s="73"/>
      <c r="M40" s="1200" t="s">
        <v>11</v>
      </c>
      <c r="N40" s="1201"/>
      <c r="O40" s="57">
        <f>O4+O5+O6+O7-P35</f>
        <v>1287.8399999999999</v>
      </c>
      <c r="P40" s="73"/>
    </row>
  </sheetData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0"/>
  <sheetViews>
    <sheetView workbookViewId="0">
      <selection activeCell="B30" sqref="B30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02" t="s">
        <v>240</v>
      </c>
      <c r="B1" s="1202"/>
      <c r="C1" s="1202"/>
      <c r="D1" s="1202"/>
      <c r="E1" s="1202"/>
      <c r="F1" s="1202"/>
      <c r="G1" s="1202"/>
      <c r="H1" s="11">
        <v>1</v>
      </c>
      <c r="I1" s="321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6"/>
    </row>
    <row r="4" spans="1:13" ht="15.75" thickTop="1" x14ac:dyDescent="0.25">
      <c r="A4" s="294"/>
      <c r="B4" s="294"/>
      <c r="C4" s="294"/>
      <c r="D4" s="243"/>
      <c r="E4" s="334"/>
      <c r="F4" s="253"/>
      <c r="G4" s="160"/>
      <c r="H4" s="160"/>
      <c r="I4" s="160"/>
    </row>
    <row r="5" spans="1:13" x14ac:dyDescent="0.25">
      <c r="A5" s="1196" t="s">
        <v>270</v>
      </c>
      <c r="B5" s="1210" t="s">
        <v>271</v>
      </c>
      <c r="C5" s="283"/>
      <c r="D5" s="248">
        <v>44692</v>
      </c>
      <c r="E5" s="259">
        <v>1046.53</v>
      </c>
      <c r="F5" s="253">
        <v>30</v>
      </c>
      <c r="G5" s="295"/>
      <c r="H5" t="s">
        <v>41</v>
      </c>
    </row>
    <row r="6" spans="1:13" ht="15.75" x14ac:dyDescent="0.25">
      <c r="A6" s="1196"/>
      <c r="B6" s="1210"/>
      <c r="C6" s="700"/>
      <c r="D6" s="261"/>
      <c r="E6" s="259"/>
      <c r="F6" s="253"/>
      <c r="G6" s="262">
        <f>F35</f>
        <v>0</v>
      </c>
      <c r="H6" s="7">
        <f>E6-G6+E7+E5-G5+E4+E8</f>
        <v>1046.53</v>
      </c>
      <c r="I6" s="260"/>
    </row>
    <row r="7" spans="1:13" x14ac:dyDescent="0.25">
      <c r="A7" s="240"/>
      <c r="B7" s="282"/>
      <c r="C7" s="283"/>
      <c r="D7" s="248"/>
      <c r="E7" s="259"/>
      <c r="F7" s="253"/>
      <c r="G7" s="240"/>
      <c r="H7" s="240"/>
    </row>
    <row r="8" spans="1:13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317"/>
    </row>
    <row r="10" spans="1:13" ht="15.75" thickTop="1" x14ac:dyDescent="0.25">
      <c r="A10" s="80" t="s">
        <v>32</v>
      </c>
      <c r="B10" s="284">
        <f>F4+F5+F6+F7-C10+F8</f>
        <v>30</v>
      </c>
      <c r="C10" s="15"/>
      <c r="D10" s="264"/>
      <c r="E10" s="293"/>
      <c r="F10" s="264">
        <f t="shared" ref="F10:F33" si="0">D10</f>
        <v>0</v>
      </c>
      <c r="G10" s="265"/>
      <c r="H10" s="266"/>
      <c r="I10" s="318">
        <f>E4+E5+E6+E7-F10+E8</f>
        <v>1046.53</v>
      </c>
      <c r="J10" s="240"/>
    </row>
    <row r="11" spans="1:13" x14ac:dyDescent="0.25">
      <c r="A11" s="207"/>
      <c r="B11" s="284">
        <f>B10-C11</f>
        <v>30</v>
      </c>
      <c r="C11" s="15"/>
      <c r="D11" s="264"/>
      <c r="E11" s="293"/>
      <c r="F11" s="264">
        <f t="shared" si="0"/>
        <v>0</v>
      </c>
      <c r="G11" s="265"/>
      <c r="H11" s="266"/>
      <c r="I11" s="318">
        <f>I10-F11</f>
        <v>1046.53</v>
      </c>
      <c r="J11" s="240"/>
    </row>
    <row r="12" spans="1:13" x14ac:dyDescent="0.25">
      <c r="A12" s="195"/>
      <c r="B12" s="284">
        <f t="shared" ref="B12:B28" si="1">B11-C12</f>
        <v>30</v>
      </c>
      <c r="C12" s="15"/>
      <c r="D12" s="264"/>
      <c r="E12" s="293"/>
      <c r="F12" s="264">
        <f t="shared" si="0"/>
        <v>0</v>
      </c>
      <c r="G12" s="265"/>
      <c r="H12" s="266"/>
      <c r="I12" s="318">
        <f t="shared" ref="I12:I30" si="2">I11-F12</f>
        <v>1046.53</v>
      </c>
      <c r="J12" s="240"/>
      <c r="K12" s="240"/>
      <c r="L12" s="240"/>
      <c r="M12" s="240"/>
    </row>
    <row r="13" spans="1:13" x14ac:dyDescent="0.25">
      <c r="A13" s="82" t="s">
        <v>33</v>
      </c>
      <c r="B13" s="284">
        <f t="shared" si="1"/>
        <v>30</v>
      </c>
      <c r="C13" s="15"/>
      <c r="D13" s="264"/>
      <c r="E13" s="293"/>
      <c r="F13" s="264">
        <f t="shared" si="0"/>
        <v>0</v>
      </c>
      <c r="G13" s="265"/>
      <c r="H13" s="266"/>
      <c r="I13" s="318">
        <f t="shared" si="2"/>
        <v>1046.53</v>
      </c>
      <c r="J13" s="240"/>
      <c r="K13" s="240"/>
      <c r="L13" s="240"/>
      <c r="M13" s="240"/>
    </row>
    <row r="14" spans="1:13" x14ac:dyDescent="0.25">
      <c r="A14" s="73"/>
      <c r="B14" s="284">
        <f t="shared" si="1"/>
        <v>30</v>
      </c>
      <c r="C14" s="15"/>
      <c r="D14" s="264"/>
      <c r="E14" s="293"/>
      <c r="F14" s="264">
        <f t="shared" si="0"/>
        <v>0</v>
      </c>
      <c r="G14" s="265"/>
      <c r="H14" s="266"/>
      <c r="I14" s="318">
        <f t="shared" si="2"/>
        <v>1046.53</v>
      </c>
      <c r="J14" s="240"/>
      <c r="K14" s="240"/>
      <c r="L14" s="240"/>
      <c r="M14" s="240"/>
    </row>
    <row r="15" spans="1:13" x14ac:dyDescent="0.25">
      <c r="A15" s="73"/>
      <c r="B15" s="284">
        <f t="shared" si="1"/>
        <v>30</v>
      </c>
      <c r="C15" s="15"/>
      <c r="D15" s="264"/>
      <c r="E15" s="293"/>
      <c r="F15" s="264">
        <f t="shared" si="0"/>
        <v>0</v>
      </c>
      <c r="G15" s="265"/>
      <c r="H15" s="266"/>
      <c r="I15" s="318">
        <f t="shared" si="2"/>
        <v>1046.53</v>
      </c>
      <c r="J15" s="240"/>
      <c r="K15" s="240"/>
      <c r="L15" s="240"/>
      <c r="M15" s="240"/>
    </row>
    <row r="16" spans="1:13" x14ac:dyDescent="0.25">
      <c r="B16" s="284">
        <f t="shared" si="1"/>
        <v>30</v>
      </c>
      <c r="C16" s="15"/>
      <c r="D16" s="69"/>
      <c r="E16" s="293"/>
      <c r="F16" s="264">
        <f t="shared" si="0"/>
        <v>0</v>
      </c>
      <c r="G16" s="265"/>
      <c r="H16" s="266"/>
      <c r="I16" s="318">
        <f t="shared" si="2"/>
        <v>1046.53</v>
      </c>
      <c r="J16" s="240"/>
      <c r="K16" s="240"/>
      <c r="L16" s="240"/>
      <c r="M16" s="240"/>
    </row>
    <row r="17" spans="1:13" x14ac:dyDescent="0.25">
      <c r="B17" s="284">
        <f t="shared" si="1"/>
        <v>30</v>
      </c>
      <c r="C17" s="15"/>
      <c r="D17" s="69"/>
      <c r="E17" s="293"/>
      <c r="F17" s="264">
        <f t="shared" si="0"/>
        <v>0</v>
      </c>
      <c r="G17" s="265"/>
      <c r="H17" s="266"/>
      <c r="I17" s="318">
        <f t="shared" si="2"/>
        <v>1046.53</v>
      </c>
      <c r="J17" s="240"/>
      <c r="K17" s="240"/>
      <c r="L17" s="240"/>
      <c r="M17" s="240"/>
    </row>
    <row r="18" spans="1:13" x14ac:dyDescent="0.25">
      <c r="A18" s="122"/>
      <c r="B18" s="284">
        <f t="shared" si="1"/>
        <v>30</v>
      </c>
      <c r="C18" s="15"/>
      <c r="D18" s="69"/>
      <c r="E18" s="293"/>
      <c r="F18" s="264">
        <f t="shared" si="0"/>
        <v>0</v>
      </c>
      <c r="G18" s="265"/>
      <c r="H18" s="266"/>
      <c r="I18" s="318">
        <f t="shared" si="2"/>
        <v>1046.53</v>
      </c>
      <c r="J18" s="240"/>
      <c r="K18" s="240"/>
      <c r="L18" s="240"/>
      <c r="M18" s="240"/>
    </row>
    <row r="19" spans="1:13" x14ac:dyDescent="0.25">
      <c r="A19" s="122"/>
      <c r="B19" s="284">
        <f t="shared" si="1"/>
        <v>30</v>
      </c>
      <c r="C19" s="15"/>
      <c r="D19" s="69"/>
      <c r="E19" s="293"/>
      <c r="F19" s="264">
        <f t="shared" si="0"/>
        <v>0</v>
      </c>
      <c r="G19" s="265"/>
      <c r="H19" s="266"/>
      <c r="I19" s="318">
        <f t="shared" si="2"/>
        <v>1046.53</v>
      </c>
      <c r="J19" s="240"/>
      <c r="K19" s="240"/>
      <c r="L19" s="240"/>
      <c r="M19" s="240"/>
    </row>
    <row r="20" spans="1:13" x14ac:dyDescent="0.25">
      <c r="A20" s="122"/>
      <c r="B20" s="284">
        <f t="shared" si="1"/>
        <v>30</v>
      </c>
      <c r="C20" s="15"/>
      <c r="D20" s="69"/>
      <c r="E20" s="293"/>
      <c r="F20" s="264">
        <f t="shared" si="0"/>
        <v>0</v>
      </c>
      <c r="G20" s="265"/>
      <c r="H20" s="266"/>
      <c r="I20" s="318">
        <f t="shared" si="2"/>
        <v>1046.53</v>
      </c>
      <c r="J20" s="240"/>
      <c r="K20" s="240"/>
      <c r="L20" s="240"/>
      <c r="M20" s="240"/>
    </row>
    <row r="21" spans="1:13" x14ac:dyDescent="0.25">
      <c r="A21" s="122"/>
      <c r="B21" s="284">
        <f t="shared" si="1"/>
        <v>30</v>
      </c>
      <c r="C21" s="15"/>
      <c r="D21" s="69"/>
      <c r="E21" s="293"/>
      <c r="F21" s="264">
        <f t="shared" si="0"/>
        <v>0</v>
      </c>
      <c r="G21" s="265"/>
      <c r="H21" s="266"/>
      <c r="I21" s="318">
        <f t="shared" si="2"/>
        <v>1046.53</v>
      </c>
      <c r="J21" s="240"/>
    </row>
    <row r="22" spans="1:13" x14ac:dyDescent="0.25">
      <c r="A22" s="122"/>
      <c r="B22" s="284">
        <f t="shared" si="1"/>
        <v>30</v>
      </c>
      <c r="C22" s="15"/>
      <c r="D22" s="69"/>
      <c r="E22" s="216"/>
      <c r="F22" s="69">
        <f t="shared" si="0"/>
        <v>0</v>
      </c>
      <c r="G22" s="265"/>
      <c r="H22" s="266"/>
      <c r="I22" s="219">
        <f t="shared" si="2"/>
        <v>1046.53</v>
      </c>
      <c r="J22" s="240"/>
    </row>
    <row r="23" spans="1:13" x14ac:dyDescent="0.25">
      <c r="A23" s="123"/>
      <c r="B23" s="284">
        <f t="shared" si="1"/>
        <v>30</v>
      </c>
      <c r="C23" s="15"/>
      <c r="D23" s="69"/>
      <c r="E23" s="216"/>
      <c r="F23" s="69">
        <f t="shared" si="0"/>
        <v>0</v>
      </c>
      <c r="G23" s="265"/>
      <c r="H23" s="266"/>
      <c r="I23" s="219">
        <f t="shared" si="2"/>
        <v>1046.53</v>
      </c>
      <c r="J23" s="240"/>
    </row>
    <row r="24" spans="1:13" x14ac:dyDescent="0.25">
      <c r="A24" s="122"/>
      <c r="B24" s="284">
        <f t="shared" si="1"/>
        <v>30</v>
      </c>
      <c r="C24" s="15"/>
      <c r="D24" s="69"/>
      <c r="E24" s="216"/>
      <c r="F24" s="69">
        <f t="shared" si="0"/>
        <v>0</v>
      </c>
      <c r="G24" s="265"/>
      <c r="H24" s="266"/>
      <c r="I24" s="219">
        <f t="shared" si="2"/>
        <v>1046.53</v>
      </c>
      <c r="J24" s="240"/>
    </row>
    <row r="25" spans="1:13" x14ac:dyDescent="0.25">
      <c r="A25" s="122"/>
      <c r="B25" s="284">
        <f t="shared" si="1"/>
        <v>30</v>
      </c>
      <c r="C25" s="15"/>
      <c r="D25" s="69"/>
      <c r="E25" s="216"/>
      <c r="F25" s="69">
        <f t="shared" si="0"/>
        <v>0</v>
      </c>
      <c r="G25" s="265"/>
      <c r="H25" s="266"/>
      <c r="I25" s="219">
        <f t="shared" si="2"/>
        <v>1046.53</v>
      </c>
      <c r="J25" s="240"/>
    </row>
    <row r="26" spans="1:13" x14ac:dyDescent="0.25">
      <c r="A26" s="122"/>
      <c r="B26" s="284">
        <f t="shared" si="1"/>
        <v>30</v>
      </c>
      <c r="C26" s="15"/>
      <c r="D26" s="69"/>
      <c r="E26" s="216"/>
      <c r="F26" s="69">
        <f t="shared" si="0"/>
        <v>0</v>
      </c>
      <c r="G26" s="265"/>
      <c r="H26" s="266"/>
      <c r="I26" s="219">
        <f t="shared" si="2"/>
        <v>1046.53</v>
      </c>
      <c r="J26" s="240"/>
    </row>
    <row r="27" spans="1:13" x14ac:dyDescent="0.25">
      <c r="A27" s="122"/>
      <c r="B27" s="284">
        <f t="shared" si="1"/>
        <v>30</v>
      </c>
      <c r="C27" s="15"/>
      <c r="D27" s="69"/>
      <c r="E27" s="216"/>
      <c r="F27" s="69">
        <v>0</v>
      </c>
      <c r="G27" s="265"/>
      <c r="H27" s="266"/>
      <c r="I27" s="318">
        <f t="shared" si="2"/>
        <v>1046.53</v>
      </c>
      <c r="J27" s="240"/>
    </row>
    <row r="28" spans="1:13" x14ac:dyDescent="0.25">
      <c r="A28" s="122"/>
      <c r="B28" s="284">
        <f t="shared" si="1"/>
        <v>30</v>
      </c>
      <c r="C28" s="15"/>
      <c r="D28" s="69"/>
      <c r="E28" s="216"/>
      <c r="F28" s="69">
        <f t="shared" si="0"/>
        <v>0</v>
      </c>
      <c r="G28" s="265"/>
      <c r="H28" s="266"/>
      <c r="I28" s="318">
        <f t="shared" si="2"/>
        <v>1046.53</v>
      </c>
    </row>
    <row r="29" spans="1:13" x14ac:dyDescent="0.25">
      <c r="A29" s="122"/>
      <c r="B29" s="284"/>
      <c r="C29" s="15"/>
      <c r="D29" s="69"/>
      <c r="E29" s="216"/>
      <c r="F29" s="69">
        <f t="shared" si="0"/>
        <v>0</v>
      </c>
      <c r="G29" s="265"/>
      <c r="H29" s="266"/>
      <c r="I29" s="318">
        <f t="shared" si="2"/>
        <v>1046.53</v>
      </c>
    </row>
    <row r="30" spans="1:13" x14ac:dyDescent="0.25">
      <c r="A30" s="122"/>
      <c r="B30" s="284"/>
      <c r="C30" s="15"/>
      <c r="D30" s="69"/>
      <c r="E30" s="216"/>
      <c r="F30" s="69">
        <f t="shared" si="0"/>
        <v>0</v>
      </c>
      <c r="G30" s="265"/>
      <c r="H30" s="266"/>
      <c r="I30" s="318">
        <f t="shared" si="2"/>
        <v>1046.53</v>
      </c>
    </row>
    <row r="31" spans="1:13" x14ac:dyDescent="0.25">
      <c r="A31" s="122"/>
      <c r="B31" s="284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4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5"/>
      <c r="H33" s="266"/>
      <c r="I33" s="266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30</v>
      </c>
    </row>
    <row r="39" spans="1:9" ht="15.75" thickBot="1" x14ac:dyDescent="0.3"/>
    <row r="40" spans="1:9" ht="15.75" thickBot="1" x14ac:dyDescent="0.3">
      <c r="C40" s="1200" t="s">
        <v>11</v>
      </c>
      <c r="D40" s="1201"/>
      <c r="E40" s="57">
        <f>E4+E5+E6+E7-F35</f>
        <v>1046.53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opLeftCell="J1" workbookViewId="0">
      <selection activeCell="P6" sqref="P6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</cols>
  <sheetData>
    <row r="1" spans="1:19" ht="40.5" customHeight="1" x14ac:dyDescent="0.55000000000000004">
      <c r="A1" s="1198" t="s">
        <v>220</v>
      </c>
      <c r="B1" s="1198"/>
      <c r="C1" s="1198"/>
      <c r="D1" s="1198"/>
      <c r="E1" s="1198"/>
      <c r="F1" s="1198"/>
      <c r="G1" s="1198"/>
      <c r="H1" s="11">
        <v>1</v>
      </c>
      <c r="K1" s="1202" t="s">
        <v>240</v>
      </c>
      <c r="L1" s="1202"/>
      <c r="M1" s="1202"/>
      <c r="N1" s="1202"/>
      <c r="O1" s="1202"/>
      <c r="P1" s="1202"/>
      <c r="Q1" s="1202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8"/>
      <c r="D4" s="154"/>
      <c r="E4" s="86"/>
      <c r="F4" s="73"/>
      <c r="G4" s="38"/>
      <c r="M4" s="128"/>
      <c r="N4" s="154"/>
      <c r="O4" s="86"/>
      <c r="P4" s="73"/>
      <c r="Q4" s="38"/>
    </row>
    <row r="5" spans="1:19" ht="15" customHeight="1" x14ac:dyDescent="0.25">
      <c r="A5" s="984" t="s">
        <v>90</v>
      </c>
      <c r="B5" s="1210" t="s">
        <v>91</v>
      </c>
      <c r="C5" s="782">
        <v>48.5</v>
      </c>
      <c r="D5" s="783">
        <v>44676</v>
      </c>
      <c r="E5" s="784">
        <v>500</v>
      </c>
      <c r="F5" s="785">
        <v>50</v>
      </c>
      <c r="G5" s="276">
        <f>F36</f>
        <v>260</v>
      </c>
      <c r="H5" s="7">
        <f>E5-G5+E4+E6</f>
        <v>240</v>
      </c>
      <c r="K5" s="1110" t="s">
        <v>90</v>
      </c>
      <c r="L5" s="1210" t="s">
        <v>91</v>
      </c>
      <c r="M5" s="782">
        <v>50</v>
      </c>
      <c r="N5" s="783">
        <v>44709</v>
      </c>
      <c r="O5" s="784">
        <v>515.65</v>
      </c>
      <c r="P5" s="785">
        <v>27</v>
      </c>
      <c r="Q5" s="276">
        <f>P36</f>
        <v>0</v>
      </c>
      <c r="R5" s="7">
        <f>O5-Q5+O4+O6</f>
        <v>515.65</v>
      </c>
    </row>
    <row r="6" spans="1:19" ht="15.75" customHeight="1" thickBot="1" x14ac:dyDescent="0.3">
      <c r="A6" s="243"/>
      <c r="B6" s="1211"/>
      <c r="C6" s="277"/>
      <c r="D6" s="278"/>
      <c r="E6" s="270"/>
      <c r="F6" s="243"/>
      <c r="K6" s="243"/>
      <c r="L6" s="1211"/>
      <c r="M6" s="277"/>
      <c r="N6" s="278"/>
      <c r="O6" s="270"/>
      <c r="P6" s="243"/>
    </row>
    <row r="7" spans="1:19" ht="16.5" customHeight="1" thickTop="1" thickBot="1" x14ac:dyDescent="0.3">
      <c r="A7" s="243"/>
      <c r="B7" s="8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243"/>
      <c r="L7" s="865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736"/>
      <c r="B8" s="867">
        <f>F4+F5+F6-C8</f>
        <v>40</v>
      </c>
      <c r="C8" s="53">
        <v>10</v>
      </c>
      <c r="D8" s="69">
        <v>100</v>
      </c>
      <c r="E8" s="328">
        <v>44676</v>
      </c>
      <c r="F8" s="275">
        <f t="shared" ref="F8:F35" si="0">D8</f>
        <v>100</v>
      </c>
      <c r="G8" s="265" t="s">
        <v>194</v>
      </c>
      <c r="H8" s="266">
        <v>50</v>
      </c>
      <c r="I8" s="269">
        <f>E5-F8+E4+E6</f>
        <v>400</v>
      </c>
      <c r="K8" s="736"/>
      <c r="L8" s="867">
        <f>P4+P5+P6-M8</f>
        <v>27</v>
      </c>
      <c r="M8" s="53"/>
      <c r="N8" s="69">
        <v>0</v>
      </c>
      <c r="O8" s="328"/>
      <c r="P8" s="275">
        <f t="shared" ref="P8:P35" si="1">N8</f>
        <v>0</v>
      </c>
      <c r="Q8" s="265"/>
      <c r="R8" s="266"/>
      <c r="S8" s="269">
        <f>O5-P8+O4+O6</f>
        <v>515.65</v>
      </c>
    </row>
    <row r="9" spans="1:19" ht="15" customHeight="1" x14ac:dyDescent="0.25">
      <c r="B9" s="868">
        <f>B8-C9</f>
        <v>35</v>
      </c>
      <c r="C9" s="53">
        <v>5</v>
      </c>
      <c r="D9" s="1033">
        <v>50</v>
      </c>
      <c r="E9" s="1036">
        <v>44693</v>
      </c>
      <c r="F9" s="1070">
        <f t="shared" si="0"/>
        <v>50</v>
      </c>
      <c r="G9" s="1037" t="s">
        <v>467</v>
      </c>
      <c r="H9" s="1038">
        <v>47</v>
      </c>
      <c r="I9" s="269">
        <f>I8-F9</f>
        <v>350</v>
      </c>
      <c r="L9" s="868">
        <f>L8-M9</f>
        <v>27</v>
      </c>
      <c r="M9" s="53"/>
      <c r="N9" s="69">
        <v>0</v>
      </c>
      <c r="O9" s="324"/>
      <c r="P9" s="275">
        <f t="shared" si="1"/>
        <v>0</v>
      </c>
      <c r="Q9" s="265"/>
      <c r="R9" s="266"/>
      <c r="S9" s="269">
        <f>S8-P9</f>
        <v>515.65</v>
      </c>
    </row>
    <row r="10" spans="1:19" ht="15" customHeight="1" x14ac:dyDescent="0.25">
      <c r="B10" s="868">
        <f t="shared" ref="B10:B35" si="2">B9-C10</f>
        <v>25</v>
      </c>
      <c r="C10" s="15">
        <v>10</v>
      </c>
      <c r="D10" s="1033">
        <v>100</v>
      </c>
      <c r="E10" s="1036">
        <v>44698</v>
      </c>
      <c r="F10" s="1070">
        <f t="shared" si="0"/>
        <v>100</v>
      </c>
      <c r="G10" s="1037" t="s">
        <v>515</v>
      </c>
      <c r="H10" s="1038">
        <v>47</v>
      </c>
      <c r="I10" s="269">
        <f>I9-F10</f>
        <v>250</v>
      </c>
      <c r="L10" s="868">
        <f t="shared" ref="L10:L35" si="3">L9-M10</f>
        <v>27</v>
      </c>
      <c r="M10" s="15"/>
      <c r="N10" s="69">
        <v>0</v>
      </c>
      <c r="O10" s="324"/>
      <c r="P10" s="275">
        <f t="shared" si="1"/>
        <v>0</v>
      </c>
      <c r="Q10" s="265"/>
      <c r="R10" s="266"/>
      <c r="S10" s="269">
        <f>S9-P10</f>
        <v>515.65</v>
      </c>
    </row>
    <row r="11" spans="1:19" ht="15" customHeight="1" x14ac:dyDescent="0.25">
      <c r="A11" s="55" t="s">
        <v>33</v>
      </c>
      <c r="B11" s="868">
        <f t="shared" si="2"/>
        <v>24</v>
      </c>
      <c r="C11" s="15">
        <v>1</v>
      </c>
      <c r="D11" s="1033">
        <v>10</v>
      </c>
      <c r="E11" s="1036">
        <v>44702</v>
      </c>
      <c r="F11" s="1070">
        <f t="shared" si="0"/>
        <v>10</v>
      </c>
      <c r="G11" s="1037" t="s">
        <v>513</v>
      </c>
      <c r="H11" s="1038">
        <v>47</v>
      </c>
      <c r="I11" s="269">
        <f t="shared" ref="I11:I34" si="4">I10-F11</f>
        <v>240</v>
      </c>
      <c r="K11" s="55" t="s">
        <v>33</v>
      </c>
      <c r="L11" s="868">
        <f t="shared" si="3"/>
        <v>27</v>
      </c>
      <c r="M11" s="15"/>
      <c r="N11" s="69">
        <v>0</v>
      </c>
      <c r="O11" s="324"/>
      <c r="P11" s="275">
        <f t="shared" si="1"/>
        <v>0</v>
      </c>
      <c r="Q11" s="265"/>
      <c r="R11" s="266"/>
      <c r="S11" s="269">
        <f t="shared" ref="S11:S34" si="5">S10-P11</f>
        <v>515.65</v>
      </c>
    </row>
    <row r="12" spans="1:19" ht="15" customHeight="1" x14ac:dyDescent="0.25">
      <c r="A12" s="19"/>
      <c r="B12" s="868">
        <f t="shared" si="2"/>
        <v>24</v>
      </c>
      <c r="C12" s="53"/>
      <c r="D12" s="1033">
        <v>0</v>
      </c>
      <c r="E12" s="1036"/>
      <c r="F12" s="1070">
        <f t="shared" si="0"/>
        <v>0</v>
      </c>
      <c r="G12" s="1037"/>
      <c r="H12" s="1038"/>
      <c r="I12" s="269">
        <f t="shared" si="4"/>
        <v>240</v>
      </c>
      <c r="K12" s="19"/>
      <c r="L12" s="868">
        <f t="shared" si="3"/>
        <v>27</v>
      </c>
      <c r="M12" s="53"/>
      <c r="N12" s="69">
        <v>0</v>
      </c>
      <c r="O12" s="324"/>
      <c r="P12" s="275">
        <f t="shared" si="1"/>
        <v>0</v>
      </c>
      <c r="Q12" s="265"/>
      <c r="R12" s="266"/>
      <c r="S12" s="269">
        <f t="shared" si="5"/>
        <v>515.65</v>
      </c>
    </row>
    <row r="13" spans="1:19" ht="15" customHeight="1" x14ac:dyDescent="0.25">
      <c r="B13" s="868">
        <f t="shared" si="2"/>
        <v>24</v>
      </c>
      <c r="C13" s="53"/>
      <c r="D13" s="1033">
        <v>0</v>
      </c>
      <c r="E13" s="1036"/>
      <c r="F13" s="1070">
        <f t="shared" si="0"/>
        <v>0</v>
      </c>
      <c r="G13" s="1037"/>
      <c r="H13" s="1038"/>
      <c r="I13" s="269">
        <f t="shared" si="4"/>
        <v>240</v>
      </c>
      <c r="L13" s="868">
        <f t="shared" si="3"/>
        <v>27</v>
      </c>
      <c r="M13" s="53"/>
      <c r="N13" s="69">
        <v>0</v>
      </c>
      <c r="O13" s="324"/>
      <c r="P13" s="275">
        <f t="shared" si="1"/>
        <v>0</v>
      </c>
      <c r="Q13" s="265"/>
      <c r="R13" s="266"/>
      <c r="S13" s="269">
        <f t="shared" si="5"/>
        <v>515.65</v>
      </c>
    </row>
    <row r="14" spans="1:19" ht="15" customHeight="1" x14ac:dyDescent="0.25">
      <c r="B14" s="868">
        <f t="shared" si="2"/>
        <v>24</v>
      </c>
      <c r="C14" s="15"/>
      <c r="D14" s="1033">
        <v>0</v>
      </c>
      <c r="E14" s="1036"/>
      <c r="F14" s="1070">
        <f t="shared" si="0"/>
        <v>0</v>
      </c>
      <c r="G14" s="1037"/>
      <c r="H14" s="1038"/>
      <c r="I14" s="269">
        <f t="shared" si="4"/>
        <v>240</v>
      </c>
      <c r="L14" s="868">
        <f t="shared" si="3"/>
        <v>27</v>
      </c>
      <c r="M14" s="15"/>
      <c r="N14" s="69">
        <v>0</v>
      </c>
      <c r="O14" s="324"/>
      <c r="P14" s="275">
        <f t="shared" si="1"/>
        <v>0</v>
      </c>
      <c r="Q14" s="265"/>
      <c r="R14" s="266"/>
      <c r="S14" s="269">
        <f t="shared" si="5"/>
        <v>515.65</v>
      </c>
    </row>
    <row r="15" spans="1:19" ht="15" customHeight="1" x14ac:dyDescent="0.25">
      <c r="B15" s="868">
        <f t="shared" si="2"/>
        <v>24</v>
      </c>
      <c r="C15" s="15"/>
      <c r="D15" s="1033">
        <v>0</v>
      </c>
      <c r="E15" s="1036"/>
      <c r="F15" s="1070">
        <f t="shared" si="0"/>
        <v>0</v>
      </c>
      <c r="G15" s="1037"/>
      <c r="H15" s="1038"/>
      <c r="I15" s="269">
        <f t="shared" si="4"/>
        <v>240</v>
      </c>
      <c r="L15" s="868">
        <f t="shared" si="3"/>
        <v>27</v>
      </c>
      <c r="M15" s="15"/>
      <c r="N15" s="69">
        <v>0</v>
      </c>
      <c r="O15" s="324"/>
      <c r="P15" s="275">
        <f t="shared" si="1"/>
        <v>0</v>
      </c>
      <c r="Q15" s="265"/>
      <c r="R15" s="266"/>
      <c r="S15" s="269">
        <f t="shared" si="5"/>
        <v>515.65</v>
      </c>
    </row>
    <row r="16" spans="1:19" ht="15" customHeight="1" x14ac:dyDescent="0.25">
      <c r="B16" s="868">
        <f t="shared" si="2"/>
        <v>24</v>
      </c>
      <c r="C16" s="15"/>
      <c r="D16" s="1033">
        <v>0</v>
      </c>
      <c r="E16" s="1036"/>
      <c r="F16" s="1070">
        <f t="shared" si="0"/>
        <v>0</v>
      </c>
      <c r="G16" s="1037"/>
      <c r="H16" s="1038"/>
      <c r="I16" s="269">
        <f t="shared" si="4"/>
        <v>240</v>
      </c>
      <c r="L16" s="868">
        <f t="shared" si="3"/>
        <v>27</v>
      </c>
      <c r="M16" s="15"/>
      <c r="N16" s="69">
        <v>0</v>
      </c>
      <c r="O16" s="324"/>
      <c r="P16" s="275">
        <f t="shared" si="1"/>
        <v>0</v>
      </c>
      <c r="Q16" s="265"/>
      <c r="R16" s="266"/>
      <c r="S16" s="269">
        <f t="shared" si="5"/>
        <v>515.65</v>
      </c>
    </row>
    <row r="17" spans="1:19" ht="15" customHeight="1" x14ac:dyDescent="0.25">
      <c r="B17" s="868">
        <f t="shared" si="2"/>
        <v>24</v>
      </c>
      <c r="C17" s="15"/>
      <c r="D17" s="1033">
        <v>0</v>
      </c>
      <c r="E17" s="1036"/>
      <c r="F17" s="1070">
        <f t="shared" si="0"/>
        <v>0</v>
      </c>
      <c r="G17" s="1037"/>
      <c r="H17" s="1038"/>
      <c r="I17" s="269">
        <f t="shared" si="4"/>
        <v>240</v>
      </c>
      <c r="L17" s="868">
        <f t="shared" si="3"/>
        <v>27</v>
      </c>
      <c r="M17" s="15"/>
      <c r="N17" s="69">
        <v>0</v>
      </c>
      <c r="O17" s="324"/>
      <c r="P17" s="275">
        <f t="shared" si="1"/>
        <v>0</v>
      </c>
      <c r="Q17" s="265"/>
      <c r="R17" s="266"/>
      <c r="S17" s="269">
        <f t="shared" si="5"/>
        <v>515.65</v>
      </c>
    </row>
    <row r="18" spans="1:19" ht="15" customHeight="1" x14ac:dyDescent="0.25">
      <c r="B18" s="868">
        <f t="shared" si="2"/>
        <v>24</v>
      </c>
      <c r="C18" s="15"/>
      <c r="D18" s="69">
        <v>0</v>
      </c>
      <c r="E18" s="324"/>
      <c r="F18" s="275">
        <f t="shared" si="0"/>
        <v>0</v>
      </c>
      <c r="G18" s="265"/>
      <c r="H18" s="266"/>
      <c r="I18" s="269">
        <f t="shared" si="4"/>
        <v>240</v>
      </c>
      <c r="L18" s="868">
        <f t="shared" si="3"/>
        <v>27</v>
      </c>
      <c r="M18" s="15"/>
      <c r="N18" s="69">
        <v>0</v>
      </c>
      <c r="O18" s="324"/>
      <c r="P18" s="275">
        <f t="shared" si="1"/>
        <v>0</v>
      </c>
      <c r="Q18" s="265"/>
      <c r="R18" s="266"/>
      <c r="S18" s="269">
        <f t="shared" si="5"/>
        <v>515.65</v>
      </c>
    </row>
    <row r="19" spans="1:19" ht="15" customHeight="1" x14ac:dyDescent="0.25">
      <c r="B19" s="868">
        <f t="shared" si="2"/>
        <v>24</v>
      </c>
      <c r="C19" s="15"/>
      <c r="D19" s="69">
        <v>0</v>
      </c>
      <c r="E19" s="324"/>
      <c r="F19" s="275">
        <f t="shared" si="0"/>
        <v>0</v>
      </c>
      <c r="G19" s="265"/>
      <c r="H19" s="266"/>
      <c r="I19" s="269">
        <f t="shared" si="4"/>
        <v>240</v>
      </c>
      <c r="L19" s="868">
        <f t="shared" si="3"/>
        <v>27</v>
      </c>
      <c r="M19" s="15"/>
      <c r="N19" s="69">
        <v>0</v>
      </c>
      <c r="O19" s="324"/>
      <c r="P19" s="275">
        <f t="shared" si="1"/>
        <v>0</v>
      </c>
      <c r="Q19" s="265"/>
      <c r="R19" s="266"/>
      <c r="S19" s="269">
        <f t="shared" si="5"/>
        <v>515.65</v>
      </c>
    </row>
    <row r="20" spans="1:19" ht="15" customHeight="1" x14ac:dyDescent="0.25">
      <c r="B20" s="868">
        <f t="shared" si="2"/>
        <v>24</v>
      </c>
      <c r="C20" s="15"/>
      <c r="D20" s="69">
        <v>0</v>
      </c>
      <c r="E20" s="324"/>
      <c r="F20" s="275">
        <f t="shared" si="0"/>
        <v>0</v>
      </c>
      <c r="G20" s="265"/>
      <c r="H20" s="266"/>
      <c r="I20" s="269">
        <f t="shared" si="4"/>
        <v>240</v>
      </c>
      <c r="L20" s="868">
        <f t="shared" si="3"/>
        <v>27</v>
      </c>
      <c r="M20" s="15"/>
      <c r="N20" s="69">
        <v>0</v>
      </c>
      <c r="O20" s="324"/>
      <c r="P20" s="275">
        <f t="shared" si="1"/>
        <v>0</v>
      </c>
      <c r="Q20" s="265"/>
      <c r="R20" s="266"/>
      <c r="S20" s="269">
        <f t="shared" si="5"/>
        <v>515.65</v>
      </c>
    </row>
    <row r="21" spans="1:19" ht="15" customHeight="1" x14ac:dyDescent="0.25">
      <c r="B21" s="868">
        <f t="shared" si="2"/>
        <v>24</v>
      </c>
      <c r="C21" s="15"/>
      <c r="D21" s="69">
        <v>0</v>
      </c>
      <c r="E21" s="324"/>
      <c r="F21" s="275">
        <f t="shared" si="0"/>
        <v>0</v>
      </c>
      <c r="G21" s="265"/>
      <c r="H21" s="266"/>
      <c r="I21" s="269">
        <f t="shared" si="4"/>
        <v>240</v>
      </c>
      <c r="L21" s="868">
        <f t="shared" si="3"/>
        <v>27</v>
      </c>
      <c r="M21" s="15"/>
      <c r="N21" s="69">
        <v>0</v>
      </c>
      <c r="O21" s="324"/>
      <c r="P21" s="275">
        <f t="shared" si="1"/>
        <v>0</v>
      </c>
      <c r="Q21" s="265"/>
      <c r="R21" s="266"/>
      <c r="S21" s="269">
        <f t="shared" si="5"/>
        <v>515.65</v>
      </c>
    </row>
    <row r="22" spans="1:19" ht="15" customHeight="1" x14ac:dyDescent="0.25">
      <c r="B22" s="868">
        <f t="shared" si="2"/>
        <v>24</v>
      </c>
      <c r="C22" s="15"/>
      <c r="D22" s="69">
        <v>0</v>
      </c>
      <c r="E22" s="324"/>
      <c r="F22" s="275">
        <f t="shared" si="0"/>
        <v>0</v>
      </c>
      <c r="G22" s="70"/>
      <c r="H22" s="71"/>
      <c r="I22" s="269">
        <f t="shared" si="4"/>
        <v>240</v>
      </c>
      <c r="L22" s="868">
        <f t="shared" si="3"/>
        <v>27</v>
      </c>
      <c r="M22" s="15"/>
      <c r="N22" s="69">
        <v>0</v>
      </c>
      <c r="O22" s="324"/>
      <c r="P22" s="275">
        <f t="shared" si="1"/>
        <v>0</v>
      </c>
      <c r="Q22" s="70"/>
      <c r="R22" s="71"/>
      <c r="S22" s="269">
        <f t="shared" si="5"/>
        <v>515.65</v>
      </c>
    </row>
    <row r="23" spans="1:19" ht="15" customHeight="1" x14ac:dyDescent="0.25">
      <c r="B23" s="868">
        <f t="shared" si="2"/>
        <v>24</v>
      </c>
      <c r="C23" s="15"/>
      <c r="D23" s="69">
        <v>0</v>
      </c>
      <c r="E23" s="324"/>
      <c r="F23" s="275">
        <f t="shared" si="0"/>
        <v>0</v>
      </c>
      <c r="G23" s="70"/>
      <c r="H23" s="71"/>
      <c r="I23" s="269">
        <f t="shared" si="4"/>
        <v>240</v>
      </c>
      <c r="L23" s="868">
        <f t="shared" si="3"/>
        <v>27</v>
      </c>
      <c r="M23" s="15"/>
      <c r="N23" s="69">
        <v>0</v>
      </c>
      <c r="O23" s="324"/>
      <c r="P23" s="275">
        <f t="shared" si="1"/>
        <v>0</v>
      </c>
      <c r="Q23" s="70"/>
      <c r="R23" s="71"/>
      <c r="S23" s="269">
        <f t="shared" si="5"/>
        <v>515.65</v>
      </c>
    </row>
    <row r="24" spans="1:19" ht="15" customHeight="1" x14ac:dyDescent="0.25">
      <c r="B24" s="868">
        <f t="shared" si="2"/>
        <v>24</v>
      </c>
      <c r="C24" s="15"/>
      <c r="D24" s="69">
        <v>0</v>
      </c>
      <c r="E24" s="324"/>
      <c r="F24" s="275">
        <f t="shared" si="0"/>
        <v>0</v>
      </c>
      <c r="G24" s="70"/>
      <c r="H24" s="71"/>
      <c r="I24" s="269">
        <f t="shared" si="4"/>
        <v>240</v>
      </c>
      <c r="L24" s="868">
        <f t="shared" si="3"/>
        <v>27</v>
      </c>
      <c r="M24" s="15"/>
      <c r="N24" s="69">
        <v>0</v>
      </c>
      <c r="O24" s="324"/>
      <c r="P24" s="275">
        <f t="shared" si="1"/>
        <v>0</v>
      </c>
      <c r="Q24" s="70"/>
      <c r="R24" s="71"/>
      <c r="S24" s="269">
        <f t="shared" si="5"/>
        <v>515.65</v>
      </c>
    </row>
    <row r="25" spans="1:19" ht="15" customHeight="1" x14ac:dyDescent="0.25">
      <c r="B25" s="868">
        <f t="shared" si="2"/>
        <v>24</v>
      </c>
      <c r="C25" s="15"/>
      <c r="D25" s="69">
        <v>0</v>
      </c>
      <c r="E25" s="324"/>
      <c r="F25" s="275">
        <f t="shared" si="0"/>
        <v>0</v>
      </c>
      <c r="G25" s="70"/>
      <c r="H25" s="71"/>
      <c r="I25" s="269">
        <f t="shared" si="4"/>
        <v>240</v>
      </c>
      <c r="L25" s="868">
        <f t="shared" si="3"/>
        <v>27</v>
      </c>
      <c r="M25" s="15"/>
      <c r="N25" s="69">
        <v>0</v>
      </c>
      <c r="O25" s="324"/>
      <c r="P25" s="275">
        <f t="shared" si="1"/>
        <v>0</v>
      </c>
      <c r="Q25" s="70"/>
      <c r="R25" s="71"/>
      <c r="S25" s="269">
        <f t="shared" si="5"/>
        <v>515.65</v>
      </c>
    </row>
    <row r="26" spans="1:19" ht="15" customHeight="1" x14ac:dyDescent="0.25">
      <c r="B26" s="868">
        <f t="shared" si="2"/>
        <v>24</v>
      </c>
      <c r="C26" s="15"/>
      <c r="D26" s="69">
        <v>0</v>
      </c>
      <c r="E26" s="324"/>
      <c r="F26" s="275">
        <f t="shared" si="0"/>
        <v>0</v>
      </c>
      <c r="G26" s="70"/>
      <c r="H26" s="71"/>
      <c r="I26" s="269">
        <f t="shared" si="4"/>
        <v>240</v>
      </c>
      <c r="L26" s="868">
        <f t="shared" si="3"/>
        <v>27</v>
      </c>
      <c r="M26" s="15"/>
      <c r="N26" s="69">
        <v>0</v>
      </c>
      <c r="O26" s="324"/>
      <c r="P26" s="275">
        <f t="shared" si="1"/>
        <v>0</v>
      </c>
      <c r="Q26" s="70"/>
      <c r="R26" s="71"/>
      <c r="S26" s="269">
        <f t="shared" si="5"/>
        <v>515.65</v>
      </c>
    </row>
    <row r="27" spans="1:19" ht="15" customHeight="1" x14ac:dyDescent="0.25">
      <c r="B27" s="868">
        <f t="shared" si="2"/>
        <v>24</v>
      </c>
      <c r="C27" s="15"/>
      <c r="D27" s="69">
        <v>0</v>
      </c>
      <c r="E27" s="324"/>
      <c r="F27" s="275">
        <f t="shared" si="0"/>
        <v>0</v>
      </c>
      <c r="G27" s="70"/>
      <c r="H27" s="71"/>
      <c r="I27" s="229">
        <f t="shared" si="4"/>
        <v>240</v>
      </c>
      <c r="L27" s="868">
        <f t="shared" si="3"/>
        <v>27</v>
      </c>
      <c r="M27" s="15"/>
      <c r="N27" s="69">
        <v>0</v>
      </c>
      <c r="O27" s="324"/>
      <c r="P27" s="275">
        <f t="shared" si="1"/>
        <v>0</v>
      </c>
      <c r="Q27" s="70"/>
      <c r="R27" s="71"/>
      <c r="S27" s="229">
        <f t="shared" si="5"/>
        <v>515.65</v>
      </c>
    </row>
    <row r="28" spans="1:19" ht="15" customHeight="1" x14ac:dyDescent="0.25">
      <c r="A28" s="47"/>
      <c r="B28" s="868">
        <f t="shared" si="2"/>
        <v>24</v>
      </c>
      <c r="C28" s="15"/>
      <c r="D28" s="69">
        <v>0</v>
      </c>
      <c r="E28" s="324"/>
      <c r="F28" s="275">
        <f t="shared" si="0"/>
        <v>0</v>
      </c>
      <c r="G28" s="70"/>
      <c r="H28" s="71"/>
      <c r="I28" s="229">
        <f t="shared" si="4"/>
        <v>240</v>
      </c>
      <c r="K28" s="47"/>
      <c r="L28" s="868">
        <f t="shared" si="3"/>
        <v>27</v>
      </c>
      <c r="M28" s="15"/>
      <c r="N28" s="69">
        <v>0</v>
      </c>
      <c r="O28" s="324"/>
      <c r="P28" s="275">
        <f t="shared" si="1"/>
        <v>0</v>
      </c>
      <c r="Q28" s="70"/>
      <c r="R28" s="71"/>
      <c r="S28" s="229">
        <f t="shared" si="5"/>
        <v>515.65</v>
      </c>
    </row>
    <row r="29" spans="1:19" ht="15" customHeight="1" x14ac:dyDescent="0.25">
      <c r="A29" s="47"/>
      <c r="B29" s="868">
        <f t="shared" si="2"/>
        <v>24</v>
      </c>
      <c r="C29" s="15"/>
      <c r="D29" s="69">
        <v>0</v>
      </c>
      <c r="E29" s="324"/>
      <c r="F29" s="275">
        <f t="shared" si="0"/>
        <v>0</v>
      </c>
      <c r="G29" s="265"/>
      <c r="H29" s="266"/>
      <c r="I29" s="269">
        <f t="shared" si="4"/>
        <v>240</v>
      </c>
      <c r="K29" s="47"/>
      <c r="L29" s="868">
        <f t="shared" si="3"/>
        <v>27</v>
      </c>
      <c r="M29" s="15"/>
      <c r="N29" s="69">
        <v>0</v>
      </c>
      <c r="O29" s="324"/>
      <c r="P29" s="275">
        <f t="shared" si="1"/>
        <v>0</v>
      </c>
      <c r="Q29" s="265"/>
      <c r="R29" s="266"/>
      <c r="S29" s="269">
        <f t="shared" si="5"/>
        <v>515.65</v>
      </c>
    </row>
    <row r="30" spans="1:19" ht="15" customHeight="1" x14ac:dyDescent="0.25">
      <c r="A30" s="47"/>
      <c r="B30" s="868">
        <f t="shared" si="2"/>
        <v>24</v>
      </c>
      <c r="C30" s="15"/>
      <c r="D30" s="69">
        <v>0</v>
      </c>
      <c r="E30" s="324"/>
      <c r="F30" s="275">
        <f t="shared" si="0"/>
        <v>0</v>
      </c>
      <c r="G30" s="265"/>
      <c r="H30" s="266"/>
      <c r="I30" s="269">
        <f t="shared" si="4"/>
        <v>240</v>
      </c>
      <c r="K30" s="47"/>
      <c r="L30" s="868">
        <f t="shared" si="3"/>
        <v>27</v>
      </c>
      <c r="M30" s="15"/>
      <c r="N30" s="69">
        <v>0</v>
      </c>
      <c r="O30" s="324"/>
      <c r="P30" s="275">
        <f t="shared" si="1"/>
        <v>0</v>
      </c>
      <c r="Q30" s="265"/>
      <c r="R30" s="266"/>
      <c r="S30" s="269">
        <f t="shared" si="5"/>
        <v>515.65</v>
      </c>
    </row>
    <row r="31" spans="1:19" ht="15" customHeight="1" x14ac:dyDescent="0.25">
      <c r="A31" s="47"/>
      <c r="B31" s="868">
        <f t="shared" si="2"/>
        <v>24</v>
      </c>
      <c r="C31" s="15"/>
      <c r="D31" s="69">
        <v>0</v>
      </c>
      <c r="E31" s="324"/>
      <c r="F31" s="275">
        <f t="shared" si="0"/>
        <v>0</v>
      </c>
      <c r="G31" s="265"/>
      <c r="H31" s="266"/>
      <c r="I31" s="269">
        <f t="shared" si="4"/>
        <v>240</v>
      </c>
      <c r="K31" s="47"/>
      <c r="L31" s="868">
        <f t="shared" si="3"/>
        <v>27</v>
      </c>
      <c r="M31" s="15"/>
      <c r="N31" s="69">
        <v>0</v>
      </c>
      <c r="O31" s="324"/>
      <c r="P31" s="275">
        <f t="shared" si="1"/>
        <v>0</v>
      </c>
      <c r="Q31" s="265"/>
      <c r="R31" s="266"/>
      <c r="S31" s="269">
        <f t="shared" si="5"/>
        <v>515.65</v>
      </c>
    </row>
    <row r="32" spans="1:19" ht="15" customHeight="1" x14ac:dyDescent="0.25">
      <c r="A32" s="47"/>
      <c r="B32" s="868">
        <f t="shared" si="2"/>
        <v>24</v>
      </c>
      <c r="C32" s="15"/>
      <c r="D32" s="69">
        <v>0</v>
      </c>
      <c r="E32" s="324"/>
      <c r="F32" s="275">
        <f t="shared" si="0"/>
        <v>0</v>
      </c>
      <c r="G32" s="265"/>
      <c r="H32" s="266"/>
      <c r="I32" s="269">
        <f t="shared" si="4"/>
        <v>240</v>
      </c>
      <c r="K32" s="47"/>
      <c r="L32" s="868">
        <f t="shared" si="3"/>
        <v>27</v>
      </c>
      <c r="M32" s="15"/>
      <c r="N32" s="69">
        <v>0</v>
      </c>
      <c r="O32" s="324"/>
      <c r="P32" s="275">
        <f t="shared" si="1"/>
        <v>0</v>
      </c>
      <c r="Q32" s="265"/>
      <c r="R32" s="266"/>
      <c r="S32" s="269">
        <f t="shared" si="5"/>
        <v>515.65</v>
      </c>
    </row>
    <row r="33" spans="1:19" ht="15" customHeight="1" x14ac:dyDescent="0.25">
      <c r="A33" s="47"/>
      <c r="B33" s="868">
        <f t="shared" si="2"/>
        <v>24</v>
      </c>
      <c r="C33" s="15"/>
      <c r="D33" s="69">
        <v>0</v>
      </c>
      <c r="E33" s="324"/>
      <c r="F33" s="275">
        <f t="shared" si="0"/>
        <v>0</v>
      </c>
      <c r="G33" s="265"/>
      <c r="H33" s="266"/>
      <c r="I33" s="269">
        <f t="shared" si="4"/>
        <v>240</v>
      </c>
      <c r="K33" s="47"/>
      <c r="L33" s="868">
        <f t="shared" si="3"/>
        <v>27</v>
      </c>
      <c r="M33" s="15"/>
      <c r="N33" s="69">
        <v>0</v>
      </c>
      <c r="O33" s="324"/>
      <c r="P33" s="275">
        <f t="shared" si="1"/>
        <v>0</v>
      </c>
      <c r="Q33" s="265"/>
      <c r="R33" s="266"/>
      <c r="S33" s="269">
        <f t="shared" si="5"/>
        <v>515.65</v>
      </c>
    </row>
    <row r="34" spans="1:19" ht="15" customHeight="1" x14ac:dyDescent="0.25">
      <c r="A34" s="47"/>
      <c r="B34" s="868">
        <f t="shared" si="2"/>
        <v>24</v>
      </c>
      <c r="C34" s="15"/>
      <c r="D34" s="69">
        <v>0</v>
      </c>
      <c r="E34" s="324"/>
      <c r="F34" s="275">
        <f t="shared" si="0"/>
        <v>0</v>
      </c>
      <c r="G34" s="265"/>
      <c r="H34" s="266"/>
      <c r="I34" s="269">
        <f t="shared" si="4"/>
        <v>240</v>
      </c>
      <c r="K34" s="47"/>
      <c r="L34" s="868">
        <f t="shared" si="3"/>
        <v>27</v>
      </c>
      <c r="M34" s="15"/>
      <c r="N34" s="69">
        <v>0</v>
      </c>
      <c r="O34" s="324"/>
      <c r="P34" s="275">
        <f t="shared" si="1"/>
        <v>0</v>
      </c>
      <c r="Q34" s="265"/>
      <c r="R34" s="266"/>
      <c r="S34" s="269">
        <f t="shared" si="5"/>
        <v>515.65</v>
      </c>
    </row>
    <row r="35" spans="1:19" ht="15.75" thickBot="1" x14ac:dyDescent="0.3">
      <c r="A35" s="121"/>
      <c r="B35" s="868">
        <f t="shared" si="2"/>
        <v>24</v>
      </c>
      <c r="C35" s="37"/>
      <c r="D35" s="69">
        <v>0</v>
      </c>
      <c r="E35" s="217"/>
      <c r="F35" s="275">
        <f t="shared" si="0"/>
        <v>0</v>
      </c>
      <c r="G35" s="139"/>
      <c r="H35" s="211"/>
      <c r="I35" s="303"/>
      <c r="K35" s="121"/>
      <c r="L35" s="868">
        <f t="shared" si="3"/>
        <v>27</v>
      </c>
      <c r="M35" s="37"/>
      <c r="N35" s="69">
        <v>0</v>
      </c>
      <c r="O35" s="217"/>
      <c r="P35" s="275">
        <f t="shared" si="1"/>
        <v>0</v>
      </c>
      <c r="Q35" s="139"/>
      <c r="R35" s="211"/>
      <c r="S35" s="303"/>
    </row>
    <row r="36" spans="1:19" ht="15.75" thickTop="1" x14ac:dyDescent="0.25">
      <c r="A36" s="47">
        <f>SUM(A28:A35)</f>
        <v>0</v>
      </c>
      <c r="C36" s="73">
        <f>SUM(C8:C35)</f>
        <v>26</v>
      </c>
      <c r="D36" s="105">
        <f>SUM(D8:D35)</f>
        <v>260</v>
      </c>
      <c r="E36" s="75"/>
      <c r="F36" s="105">
        <f>SUM(F8:F35)</f>
        <v>260</v>
      </c>
      <c r="K36" s="47">
        <f>SUM(K28:K35)</f>
        <v>0</v>
      </c>
      <c r="M36" s="73">
        <f>SUM(M8:M35)</f>
        <v>0</v>
      </c>
      <c r="N36" s="105">
        <f>SUM(N8:N35)</f>
        <v>0</v>
      </c>
      <c r="O36" s="75"/>
      <c r="P36" s="105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866"/>
      <c r="D38" s="1187" t="s">
        <v>21</v>
      </c>
      <c r="E38" s="1188"/>
      <c r="F38" s="141">
        <f>E4+E5-F36+E6</f>
        <v>240</v>
      </c>
      <c r="L38" s="866"/>
      <c r="N38" s="1187" t="s">
        <v>21</v>
      </c>
      <c r="O38" s="1188"/>
      <c r="P38" s="141">
        <f>O4+O5-P36+O6</f>
        <v>515.65</v>
      </c>
    </row>
    <row r="39" spans="1:19" ht="15.75" thickBot="1" x14ac:dyDescent="0.3">
      <c r="A39" s="125"/>
      <c r="D39" s="985" t="s">
        <v>4</v>
      </c>
      <c r="E39" s="986"/>
      <c r="F39" s="49">
        <f>F4+F5-C36+F6</f>
        <v>24</v>
      </c>
      <c r="K39" s="125"/>
      <c r="N39" s="1111" t="s">
        <v>4</v>
      </c>
      <c r="O39" s="1112"/>
      <c r="P39" s="49">
        <f>P4+P5-M36+P6</f>
        <v>27</v>
      </c>
    </row>
    <row r="40" spans="1:19" x14ac:dyDescent="0.25">
      <c r="B40" s="866"/>
      <c r="L40" s="866"/>
    </row>
  </sheetData>
  <mergeCells count="6">
    <mergeCell ref="A1:G1"/>
    <mergeCell ref="B5:B6"/>
    <mergeCell ref="D38:E38"/>
    <mergeCell ref="K1:Q1"/>
    <mergeCell ref="L5:L6"/>
    <mergeCell ref="N38:O3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202"/>
      <c r="B1" s="1202"/>
      <c r="C1" s="1202"/>
      <c r="D1" s="1202"/>
      <c r="E1" s="1202"/>
      <c r="F1" s="1202"/>
      <c r="G1" s="120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77"/>
      <c r="D4" s="278"/>
      <c r="E4" s="270"/>
      <c r="F4" s="243"/>
      <c r="G4" s="38"/>
    </row>
    <row r="5" spans="1:10" ht="15" customHeight="1" x14ac:dyDescent="0.25">
      <c r="A5" s="1196"/>
      <c r="B5" s="1212" t="s">
        <v>79</v>
      </c>
      <c r="C5" s="277"/>
      <c r="D5" s="278"/>
      <c r="E5" s="270"/>
      <c r="F5" s="243"/>
      <c r="G5" s="276">
        <f>F40</f>
        <v>0</v>
      </c>
      <c r="H5" s="7">
        <f>E5-G5+E4+E6</f>
        <v>0</v>
      </c>
    </row>
    <row r="6" spans="1:10" ht="15.75" customHeight="1" thickBot="1" x14ac:dyDescent="0.3">
      <c r="A6" s="1196"/>
      <c r="B6" s="1213"/>
      <c r="C6" s="249"/>
      <c r="D6" s="154"/>
      <c r="E6" s="86"/>
      <c r="F6" s="73"/>
      <c r="G6" s="240"/>
    </row>
    <row r="7" spans="1:10" ht="16.5" customHeight="1" thickTop="1" thickBot="1" x14ac:dyDescent="0.3">
      <c r="A7" s="426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73"/>
      <c r="J7" s="24"/>
    </row>
    <row r="8" spans="1:10" ht="16.5" thickTop="1" x14ac:dyDescent="0.25">
      <c r="A8" s="55" t="s">
        <v>32</v>
      </c>
      <c r="B8" s="195">
        <v>13</v>
      </c>
      <c r="C8" s="678"/>
      <c r="D8" s="69">
        <f t="shared" ref="D8:D39" si="0">C8*B8</f>
        <v>0</v>
      </c>
      <c r="E8" s="326"/>
      <c r="F8" s="679">
        <f t="shared" ref="F8:F15" si="1">D8</f>
        <v>0</v>
      </c>
      <c r="G8" s="265"/>
      <c r="H8" s="286"/>
      <c r="I8" s="718">
        <f>E4+E5+E6-F8</f>
        <v>0</v>
      </c>
      <c r="J8" s="677">
        <f>H8*F8</f>
        <v>0</v>
      </c>
    </row>
    <row r="9" spans="1:10" ht="15.75" x14ac:dyDescent="0.25">
      <c r="B9" s="195">
        <v>13</v>
      </c>
      <c r="C9" s="678"/>
      <c r="D9" s="69">
        <f t="shared" si="0"/>
        <v>0</v>
      </c>
      <c r="E9" s="326"/>
      <c r="F9" s="719">
        <f t="shared" si="1"/>
        <v>0</v>
      </c>
      <c r="G9" s="265"/>
      <c r="H9" s="286"/>
      <c r="I9" s="720">
        <f>I8-F9</f>
        <v>0</v>
      </c>
      <c r="J9" s="717">
        <f t="shared" ref="J9:J39" si="2">H9*F9</f>
        <v>0</v>
      </c>
    </row>
    <row r="10" spans="1:10" ht="15.75" x14ac:dyDescent="0.25">
      <c r="B10" s="195">
        <v>13</v>
      </c>
      <c r="C10" s="678"/>
      <c r="D10" s="69">
        <f t="shared" si="0"/>
        <v>0</v>
      </c>
      <c r="E10" s="326"/>
      <c r="F10" s="719">
        <f t="shared" si="1"/>
        <v>0</v>
      </c>
      <c r="G10" s="265"/>
      <c r="H10" s="286"/>
      <c r="I10" s="720">
        <f t="shared" ref="I10:I38" si="3">I9-F10</f>
        <v>0</v>
      </c>
      <c r="J10" s="717">
        <f t="shared" si="2"/>
        <v>0</v>
      </c>
    </row>
    <row r="11" spans="1:10" ht="15.75" x14ac:dyDescent="0.25">
      <c r="A11" s="55" t="s">
        <v>33</v>
      </c>
      <c r="B11" s="195">
        <v>13</v>
      </c>
      <c r="C11" s="678"/>
      <c r="D11" s="69">
        <f t="shared" si="0"/>
        <v>0</v>
      </c>
      <c r="E11" s="326"/>
      <c r="F11" s="719">
        <f t="shared" si="1"/>
        <v>0</v>
      </c>
      <c r="G11" s="265"/>
      <c r="H11" s="286"/>
      <c r="I11" s="720">
        <f t="shared" si="3"/>
        <v>0</v>
      </c>
      <c r="J11" s="717">
        <f t="shared" si="2"/>
        <v>0</v>
      </c>
    </row>
    <row r="12" spans="1:10" ht="15.75" x14ac:dyDescent="0.25">
      <c r="B12" s="195">
        <v>13</v>
      </c>
      <c r="C12" s="678"/>
      <c r="D12" s="69">
        <f t="shared" si="0"/>
        <v>0</v>
      </c>
      <c r="E12" s="326"/>
      <c r="F12" s="719">
        <f t="shared" si="1"/>
        <v>0</v>
      </c>
      <c r="G12" s="265"/>
      <c r="H12" s="286"/>
      <c r="I12" s="720">
        <f t="shared" si="3"/>
        <v>0</v>
      </c>
      <c r="J12" s="717">
        <f t="shared" si="2"/>
        <v>0</v>
      </c>
    </row>
    <row r="13" spans="1:10" ht="15.75" x14ac:dyDescent="0.25">
      <c r="A13" s="19"/>
      <c r="B13" s="195">
        <v>13</v>
      </c>
      <c r="C13" s="911"/>
      <c r="D13" s="69">
        <f t="shared" si="0"/>
        <v>0</v>
      </c>
      <c r="E13" s="326"/>
      <c r="F13" s="719">
        <f t="shared" si="1"/>
        <v>0</v>
      </c>
      <c r="G13" s="265"/>
      <c r="H13" s="286"/>
      <c r="I13" s="720">
        <f t="shared" si="3"/>
        <v>0</v>
      </c>
      <c r="J13" s="717">
        <f t="shared" si="2"/>
        <v>0</v>
      </c>
    </row>
    <row r="14" spans="1:10" ht="15.75" x14ac:dyDescent="0.25">
      <c r="B14" s="195">
        <v>13</v>
      </c>
      <c r="C14" s="339"/>
      <c r="D14" s="69">
        <f t="shared" si="0"/>
        <v>0</v>
      </c>
      <c r="E14" s="326"/>
      <c r="F14" s="679">
        <f t="shared" si="1"/>
        <v>0</v>
      </c>
      <c r="G14" s="265"/>
      <c r="H14" s="286"/>
      <c r="I14" s="720">
        <f t="shared" si="3"/>
        <v>0</v>
      </c>
      <c r="J14" s="680">
        <f t="shared" si="2"/>
        <v>0</v>
      </c>
    </row>
    <row r="15" spans="1:10" ht="15.75" x14ac:dyDescent="0.25">
      <c r="B15" s="195">
        <v>13</v>
      </c>
      <c r="C15" s="339"/>
      <c r="D15" s="69">
        <f t="shared" si="0"/>
        <v>0</v>
      </c>
      <c r="E15" s="326"/>
      <c r="F15" s="679">
        <f t="shared" si="1"/>
        <v>0</v>
      </c>
      <c r="G15" s="70"/>
      <c r="H15" s="591"/>
      <c r="I15" s="720">
        <f t="shared" si="3"/>
        <v>0</v>
      </c>
      <c r="J15" s="680">
        <f t="shared" si="2"/>
        <v>0</v>
      </c>
    </row>
    <row r="16" spans="1:10" ht="15.75" x14ac:dyDescent="0.25">
      <c r="B16" s="195">
        <v>13</v>
      </c>
      <c r="C16" s="339"/>
      <c r="D16" s="69">
        <f t="shared" si="0"/>
        <v>0</v>
      </c>
      <c r="E16" s="326"/>
      <c r="F16" s="679">
        <f>D16</f>
        <v>0</v>
      </c>
      <c r="G16" s="70"/>
      <c r="H16" s="591"/>
      <c r="I16" s="720">
        <f t="shared" si="3"/>
        <v>0</v>
      </c>
      <c r="J16" s="680">
        <f t="shared" si="2"/>
        <v>0</v>
      </c>
    </row>
    <row r="17" spans="1:10" ht="15.75" x14ac:dyDescent="0.25">
      <c r="B17" s="195">
        <v>13</v>
      </c>
      <c r="C17" s="339"/>
      <c r="D17" s="69">
        <f t="shared" si="0"/>
        <v>0</v>
      </c>
      <c r="E17" s="326"/>
      <c r="F17" s="679">
        <f>D17</f>
        <v>0</v>
      </c>
      <c r="G17" s="70"/>
      <c r="H17" s="591"/>
      <c r="I17" s="720">
        <f t="shared" si="3"/>
        <v>0</v>
      </c>
      <c r="J17" s="680">
        <f t="shared" si="2"/>
        <v>0</v>
      </c>
    </row>
    <row r="18" spans="1:10" ht="15.75" x14ac:dyDescent="0.25">
      <c r="B18" s="195">
        <v>13</v>
      </c>
      <c r="C18" s="339"/>
      <c r="D18" s="69">
        <f t="shared" si="0"/>
        <v>0</v>
      </c>
      <c r="E18" s="326"/>
      <c r="F18" s="679">
        <f t="shared" ref="F18:F39" si="4">D18</f>
        <v>0</v>
      </c>
      <c r="G18" s="70"/>
      <c r="H18" s="835"/>
      <c r="I18" s="720">
        <f t="shared" si="3"/>
        <v>0</v>
      </c>
      <c r="J18" s="680">
        <f t="shared" si="2"/>
        <v>0</v>
      </c>
    </row>
    <row r="19" spans="1:10" ht="15.75" x14ac:dyDescent="0.25">
      <c r="B19" s="195">
        <v>13</v>
      </c>
      <c r="C19" s="339"/>
      <c r="D19" s="69">
        <f t="shared" si="0"/>
        <v>0</v>
      </c>
      <c r="E19" s="326"/>
      <c r="F19" s="679">
        <f t="shared" si="4"/>
        <v>0</v>
      </c>
      <c r="G19" s="265"/>
      <c r="H19" s="836"/>
      <c r="I19" s="720">
        <f t="shared" si="3"/>
        <v>0</v>
      </c>
      <c r="J19" s="680">
        <f t="shared" si="2"/>
        <v>0</v>
      </c>
    </row>
    <row r="20" spans="1:10" ht="15.75" x14ac:dyDescent="0.25">
      <c r="B20" s="195">
        <v>13</v>
      </c>
      <c r="C20" s="339"/>
      <c r="D20" s="69">
        <f t="shared" si="0"/>
        <v>0</v>
      </c>
      <c r="E20" s="326"/>
      <c r="F20" s="679">
        <f t="shared" si="4"/>
        <v>0</v>
      </c>
      <c r="G20" s="265"/>
      <c r="H20" s="836"/>
      <c r="I20" s="720">
        <f t="shared" si="3"/>
        <v>0</v>
      </c>
      <c r="J20" s="680">
        <f t="shared" si="2"/>
        <v>0</v>
      </c>
    </row>
    <row r="21" spans="1:10" ht="15.75" x14ac:dyDescent="0.25">
      <c r="B21" s="195">
        <v>13</v>
      </c>
      <c r="C21" s="339"/>
      <c r="D21" s="69">
        <f t="shared" si="0"/>
        <v>0</v>
      </c>
      <c r="E21" s="326"/>
      <c r="F21" s="679">
        <f t="shared" si="4"/>
        <v>0</v>
      </c>
      <c r="G21" s="265"/>
      <c r="H21" s="836"/>
      <c r="I21" s="720">
        <f t="shared" si="3"/>
        <v>0</v>
      </c>
      <c r="J21" s="680">
        <f t="shared" si="2"/>
        <v>0</v>
      </c>
    </row>
    <row r="22" spans="1:10" ht="15.75" x14ac:dyDescent="0.25">
      <c r="B22" s="195">
        <v>13</v>
      </c>
      <c r="C22" s="339"/>
      <c r="D22" s="69">
        <f t="shared" si="0"/>
        <v>0</v>
      </c>
      <c r="E22" s="326"/>
      <c r="F22" s="679">
        <f t="shared" si="4"/>
        <v>0</v>
      </c>
      <c r="G22" s="265"/>
      <c r="H22" s="836"/>
      <c r="I22" s="720">
        <f t="shared" si="3"/>
        <v>0</v>
      </c>
      <c r="J22" s="680">
        <f t="shared" si="2"/>
        <v>0</v>
      </c>
    </row>
    <row r="23" spans="1:10" ht="15.75" x14ac:dyDescent="0.25">
      <c r="B23" s="195">
        <v>13</v>
      </c>
      <c r="C23" s="339"/>
      <c r="D23" s="69">
        <f t="shared" si="0"/>
        <v>0</v>
      </c>
      <c r="E23" s="326"/>
      <c r="F23" s="679">
        <f t="shared" si="4"/>
        <v>0</v>
      </c>
      <c r="G23" s="265"/>
      <c r="H23" s="873"/>
      <c r="I23" s="720">
        <f t="shared" si="3"/>
        <v>0</v>
      </c>
      <c r="J23" s="680">
        <f t="shared" si="2"/>
        <v>0</v>
      </c>
    </row>
    <row r="24" spans="1:10" ht="15.75" x14ac:dyDescent="0.25">
      <c r="B24" s="195">
        <v>13</v>
      </c>
      <c r="C24" s="339"/>
      <c r="D24" s="69">
        <f t="shared" si="0"/>
        <v>0</v>
      </c>
      <c r="E24" s="326"/>
      <c r="F24" s="679">
        <f t="shared" si="4"/>
        <v>0</v>
      </c>
      <c r="G24" s="265"/>
      <c r="H24" s="873"/>
      <c r="I24" s="721">
        <f t="shared" si="3"/>
        <v>0</v>
      </c>
      <c r="J24" s="680">
        <f t="shared" si="2"/>
        <v>0</v>
      </c>
    </row>
    <row r="25" spans="1:10" ht="15.75" x14ac:dyDescent="0.25">
      <c r="B25" s="195">
        <v>13</v>
      </c>
      <c r="C25" s="339"/>
      <c r="D25" s="69">
        <f t="shared" si="0"/>
        <v>0</v>
      </c>
      <c r="E25" s="326"/>
      <c r="F25" s="679">
        <f t="shared" si="4"/>
        <v>0</v>
      </c>
      <c r="G25" s="265"/>
      <c r="H25" s="873"/>
      <c r="I25" s="721">
        <f t="shared" si="3"/>
        <v>0</v>
      </c>
      <c r="J25" s="680">
        <f t="shared" si="2"/>
        <v>0</v>
      </c>
    </row>
    <row r="26" spans="1:10" ht="15.75" x14ac:dyDescent="0.25">
      <c r="B26" s="195">
        <v>13</v>
      </c>
      <c r="C26" s="339"/>
      <c r="D26" s="69">
        <f t="shared" si="0"/>
        <v>0</v>
      </c>
      <c r="E26" s="326"/>
      <c r="F26" s="679">
        <f t="shared" si="4"/>
        <v>0</v>
      </c>
      <c r="G26" s="70"/>
      <c r="H26" s="874"/>
      <c r="I26" s="721">
        <f t="shared" si="3"/>
        <v>0</v>
      </c>
      <c r="J26" s="680">
        <f t="shared" si="2"/>
        <v>0</v>
      </c>
    </row>
    <row r="27" spans="1:10" ht="15.75" x14ac:dyDescent="0.25">
      <c r="B27" s="195">
        <v>13</v>
      </c>
      <c r="C27" s="339"/>
      <c r="D27" s="69">
        <f t="shared" si="0"/>
        <v>0</v>
      </c>
      <c r="E27" s="326"/>
      <c r="F27" s="679">
        <f t="shared" si="4"/>
        <v>0</v>
      </c>
      <c r="G27" s="70"/>
      <c r="H27" s="874"/>
      <c r="I27" s="721">
        <f t="shared" si="3"/>
        <v>0</v>
      </c>
      <c r="J27" s="680">
        <f t="shared" si="2"/>
        <v>0</v>
      </c>
    </row>
    <row r="28" spans="1:10" ht="15.75" x14ac:dyDescent="0.25">
      <c r="B28" s="195">
        <v>13</v>
      </c>
      <c r="C28" s="339"/>
      <c r="D28" s="69">
        <f t="shared" si="0"/>
        <v>0</v>
      </c>
      <c r="E28" s="326"/>
      <c r="F28" s="679">
        <f t="shared" si="4"/>
        <v>0</v>
      </c>
      <c r="G28" s="70"/>
      <c r="H28" s="874"/>
      <c r="I28" s="721">
        <f t="shared" si="3"/>
        <v>0</v>
      </c>
      <c r="J28" s="680">
        <f t="shared" si="2"/>
        <v>0</v>
      </c>
    </row>
    <row r="29" spans="1:10" ht="15.75" x14ac:dyDescent="0.25">
      <c r="A29" s="47"/>
      <c r="B29" s="195">
        <v>13</v>
      </c>
      <c r="C29" s="339"/>
      <c r="D29" s="69">
        <f t="shared" si="0"/>
        <v>0</v>
      </c>
      <c r="E29" s="326"/>
      <c r="F29" s="679">
        <f t="shared" si="4"/>
        <v>0</v>
      </c>
      <c r="G29" s="70"/>
      <c r="H29" s="874"/>
      <c r="I29" s="721">
        <f t="shared" si="3"/>
        <v>0</v>
      </c>
      <c r="J29" s="680">
        <f t="shared" si="2"/>
        <v>0</v>
      </c>
    </row>
    <row r="30" spans="1:10" ht="15.75" x14ac:dyDescent="0.25">
      <c r="A30" s="47"/>
      <c r="B30" s="195">
        <v>13</v>
      </c>
      <c r="C30" s="339"/>
      <c r="D30" s="69">
        <f t="shared" si="0"/>
        <v>0</v>
      </c>
      <c r="E30" s="326"/>
      <c r="F30" s="679">
        <f t="shared" si="4"/>
        <v>0</v>
      </c>
      <c r="G30" s="70"/>
      <c r="H30" s="874"/>
      <c r="I30" s="721">
        <f t="shared" si="3"/>
        <v>0</v>
      </c>
      <c r="J30" s="680">
        <f t="shared" si="2"/>
        <v>0</v>
      </c>
    </row>
    <row r="31" spans="1:10" ht="15.75" x14ac:dyDescent="0.25">
      <c r="A31" s="47"/>
      <c r="B31" s="195">
        <v>13</v>
      </c>
      <c r="C31" s="339"/>
      <c r="D31" s="69">
        <f t="shared" si="0"/>
        <v>0</v>
      </c>
      <c r="E31" s="326"/>
      <c r="F31" s="679">
        <f t="shared" si="4"/>
        <v>0</v>
      </c>
      <c r="G31" s="70"/>
      <c r="H31" s="874"/>
      <c r="I31" s="721">
        <f t="shared" si="3"/>
        <v>0</v>
      </c>
      <c r="J31" s="680">
        <f t="shared" si="2"/>
        <v>0</v>
      </c>
    </row>
    <row r="32" spans="1:10" ht="15.75" x14ac:dyDescent="0.25">
      <c r="A32" s="47"/>
      <c r="B32" s="195">
        <v>13</v>
      </c>
      <c r="C32" s="339"/>
      <c r="D32" s="69">
        <f t="shared" si="0"/>
        <v>0</v>
      </c>
      <c r="E32" s="326"/>
      <c r="F32" s="679">
        <f t="shared" si="4"/>
        <v>0</v>
      </c>
      <c r="G32" s="70"/>
      <c r="H32" s="874"/>
      <c r="I32" s="721">
        <f t="shared" si="3"/>
        <v>0</v>
      </c>
      <c r="J32" s="680">
        <f t="shared" si="2"/>
        <v>0</v>
      </c>
    </row>
    <row r="33" spans="1:10" ht="15.75" x14ac:dyDescent="0.25">
      <c r="A33" s="47"/>
      <c r="B33" s="195">
        <v>13</v>
      </c>
      <c r="C33" s="339"/>
      <c r="D33" s="69">
        <f t="shared" si="0"/>
        <v>0</v>
      </c>
      <c r="E33" s="326"/>
      <c r="F33" s="679">
        <f t="shared" si="4"/>
        <v>0</v>
      </c>
      <c r="G33" s="70"/>
      <c r="H33" s="874"/>
      <c r="I33" s="721">
        <f t="shared" si="3"/>
        <v>0</v>
      </c>
      <c r="J33" s="680">
        <f t="shared" si="2"/>
        <v>0</v>
      </c>
    </row>
    <row r="34" spans="1:10" ht="15.75" x14ac:dyDescent="0.25">
      <c r="A34" s="47"/>
      <c r="B34" s="195">
        <v>13</v>
      </c>
      <c r="C34" s="339"/>
      <c r="D34" s="69">
        <f t="shared" si="0"/>
        <v>0</v>
      </c>
      <c r="E34" s="326"/>
      <c r="F34" s="679">
        <f t="shared" si="4"/>
        <v>0</v>
      </c>
      <c r="G34" s="70"/>
      <c r="H34" s="874"/>
      <c r="I34" s="721">
        <f t="shared" si="3"/>
        <v>0</v>
      </c>
      <c r="J34" s="680">
        <f t="shared" si="2"/>
        <v>0</v>
      </c>
    </row>
    <row r="35" spans="1:10" ht="15.75" x14ac:dyDescent="0.25">
      <c r="A35" s="47"/>
      <c r="B35" s="195">
        <v>13</v>
      </c>
      <c r="C35" s="339"/>
      <c r="D35" s="69">
        <f t="shared" si="0"/>
        <v>0</v>
      </c>
      <c r="E35" s="326"/>
      <c r="F35" s="679">
        <f t="shared" si="4"/>
        <v>0</v>
      </c>
      <c r="G35" s="70"/>
      <c r="H35" s="874"/>
      <c r="I35" s="721">
        <f t="shared" si="3"/>
        <v>0</v>
      </c>
      <c r="J35" s="680">
        <f t="shared" si="2"/>
        <v>0</v>
      </c>
    </row>
    <row r="36" spans="1:10" ht="15.75" x14ac:dyDescent="0.25">
      <c r="A36" s="47"/>
      <c r="B36" s="195">
        <v>13</v>
      </c>
      <c r="C36" s="339"/>
      <c r="D36" s="69">
        <f t="shared" si="0"/>
        <v>0</v>
      </c>
      <c r="E36" s="326"/>
      <c r="F36" s="679">
        <f t="shared" si="4"/>
        <v>0</v>
      </c>
      <c r="G36" s="70"/>
      <c r="H36" s="591"/>
      <c r="I36" s="721">
        <f t="shared" si="3"/>
        <v>0</v>
      </c>
      <c r="J36" s="680">
        <f t="shared" si="2"/>
        <v>0</v>
      </c>
    </row>
    <row r="37" spans="1:10" ht="15.75" x14ac:dyDescent="0.25">
      <c r="A37" s="47"/>
      <c r="B37" s="195">
        <v>13</v>
      </c>
      <c r="C37" s="339"/>
      <c r="D37" s="69">
        <f t="shared" si="0"/>
        <v>0</v>
      </c>
      <c r="E37" s="326"/>
      <c r="F37" s="679">
        <f t="shared" si="4"/>
        <v>0</v>
      </c>
      <c r="G37" s="70"/>
      <c r="H37" s="591"/>
      <c r="I37" s="721">
        <f t="shared" si="3"/>
        <v>0</v>
      </c>
      <c r="J37" s="680">
        <f t="shared" si="2"/>
        <v>0</v>
      </c>
    </row>
    <row r="38" spans="1:10" ht="15.75" x14ac:dyDescent="0.25">
      <c r="A38" s="47"/>
      <c r="B38" s="195">
        <v>13</v>
      </c>
      <c r="C38" s="678"/>
      <c r="D38" s="69">
        <f t="shared" si="0"/>
        <v>0</v>
      </c>
      <c r="E38" s="326"/>
      <c r="F38" s="679">
        <f t="shared" si="4"/>
        <v>0</v>
      </c>
      <c r="G38" s="70"/>
      <c r="H38" s="591"/>
      <c r="I38" s="721">
        <f t="shared" si="3"/>
        <v>0</v>
      </c>
      <c r="J38" s="680">
        <f t="shared" si="2"/>
        <v>0</v>
      </c>
    </row>
    <row r="39" spans="1:10" ht="15.75" thickBot="1" x14ac:dyDescent="0.3">
      <c r="A39" s="121"/>
      <c r="B39" s="195">
        <v>13</v>
      </c>
      <c r="C39" s="37"/>
      <c r="D39" s="69">
        <f t="shared" si="0"/>
        <v>0</v>
      </c>
      <c r="E39" s="217"/>
      <c r="F39" s="218">
        <f t="shared" si="4"/>
        <v>0</v>
      </c>
      <c r="G39" s="139"/>
      <c r="H39" s="211"/>
      <c r="I39" s="675"/>
      <c r="J39" s="676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87" t="s">
        <v>21</v>
      </c>
      <c r="E42" s="1188"/>
      <c r="F42" s="141">
        <f>E4+E5-F40+E6</f>
        <v>0</v>
      </c>
    </row>
    <row r="43" spans="1:10" ht="15.75" thickBot="1" x14ac:dyDescent="0.3">
      <c r="A43" s="125"/>
      <c r="D43" s="879" t="s">
        <v>4</v>
      </c>
      <c r="E43" s="880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02"/>
      <c r="B1" s="1202"/>
      <c r="C1" s="1202"/>
      <c r="D1" s="1202"/>
      <c r="E1" s="1202"/>
      <c r="F1" s="1202"/>
      <c r="G1" s="1202"/>
      <c r="H1" s="11">
        <v>1</v>
      </c>
    </row>
    <row r="2" spans="1:15" ht="16.5" thickBot="1" x14ac:dyDescent="0.3">
      <c r="K2" s="643"/>
      <c r="L2" s="249"/>
      <c r="M2" s="248"/>
      <c r="N2" s="308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93"/>
      <c r="F4" s="137"/>
      <c r="G4" s="38"/>
    </row>
    <row r="5" spans="1:15" ht="37.5" x14ac:dyDescent="0.3">
      <c r="A5" s="1214"/>
      <c r="B5" s="820" t="s">
        <v>89</v>
      </c>
      <c r="C5" s="128"/>
      <c r="D5" s="134"/>
      <c r="E5" s="193"/>
      <c r="F5" s="137"/>
      <c r="G5" s="88"/>
      <c r="H5" s="7">
        <f>E5-G5+E4+E6</f>
        <v>0</v>
      </c>
    </row>
    <row r="6" spans="1:15" ht="15.75" thickBot="1" x14ac:dyDescent="0.3">
      <c r="A6" s="1214"/>
      <c r="B6" s="190"/>
      <c r="C6" s="249"/>
      <c r="D6" s="248"/>
      <c r="E6" s="308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5">
        <f t="shared" ref="F8:F28" si="0">D8</f>
        <v>0</v>
      </c>
      <c r="G8" s="265"/>
      <c r="H8" s="266"/>
      <c r="I8" s="668">
        <f>E5+E6-F8+E4</f>
        <v>0</v>
      </c>
      <c r="J8" s="688">
        <f>H8*F8</f>
        <v>0</v>
      </c>
    </row>
    <row r="9" spans="1:15" x14ac:dyDescent="0.25">
      <c r="B9" s="195">
        <f>B8-C9</f>
        <v>0</v>
      </c>
      <c r="C9" s="15"/>
      <c r="D9" s="69">
        <v>0</v>
      </c>
      <c r="E9" s="134"/>
      <c r="F9" s="275">
        <f t="shared" si="0"/>
        <v>0</v>
      </c>
      <c r="G9" s="265"/>
      <c r="H9" s="266"/>
      <c r="I9" s="668">
        <f>I8-F9</f>
        <v>0</v>
      </c>
      <c r="J9" s="688">
        <f t="shared" ref="J9:J28" si="1">H9*F9</f>
        <v>0</v>
      </c>
    </row>
    <row r="10" spans="1:15" x14ac:dyDescent="0.25">
      <c r="B10" s="195">
        <f t="shared" ref="B10:B27" si="2">B9-C10</f>
        <v>0</v>
      </c>
      <c r="C10" s="15"/>
      <c r="D10" s="69">
        <v>0</v>
      </c>
      <c r="E10" s="134"/>
      <c r="F10" s="275">
        <f t="shared" si="0"/>
        <v>0</v>
      </c>
      <c r="G10" s="265"/>
      <c r="H10" s="266"/>
      <c r="I10" s="668">
        <f t="shared" ref="I10:I27" si="3">I9-F10</f>
        <v>0</v>
      </c>
      <c r="J10" s="688">
        <f t="shared" si="1"/>
        <v>0</v>
      </c>
    </row>
    <row r="11" spans="1:15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5">
        <f t="shared" si="0"/>
        <v>0</v>
      </c>
      <c r="G11" s="265"/>
      <c r="H11" s="266"/>
      <c r="I11" s="668">
        <f t="shared" si="3"/>
        <v>0</v>
      </c>
      <c r="J11" s="688">
        <f t="shared" si="1"/>
        <v>0</v>
      </c>
    </row>
    <row r="12" spans="1:15" x14ac:dyDescent="0.25">
      <c r="B12" s="195">
        <f t="shared" si="2"/>
        <v>0</v>
      </c>
      <c r="C12" s="15"/>
      <c r="D12" s="69">
        <v>0</v>
      </c>
      <c r="E12" s="134"/>
      <c r="F12" s="275">
        <f t="shared" si="0"/>
        <v>0</v>
      </c>
      <c r="G12" s="265"/>
      <c r="H12" s="266"/>
      <c r="I12" s="668">
        <f t="shared" si="3"/>
        <v>0</v>
      </c>
      <c r="J12" s="688">
        <f t="shared" si="1"/>
        <v>0</v>
      </c>
    </row>
    <row r="13" spans="1:15" x14ac:dyDescent="0.25">
      <c r="A13" s="19"/>
      <c r="B13" s="195">
        <f t="shared" si="2"/>
        <v>0</v>
      </c>
      <c r="C13" s="15"/>
      <c r="D13" s="69">
        <v>0</v>
      </c>
      <c r="E13" s="134"/>
      <c r="F13" s="275">
        <f t="shared" si="0"/>
        <v>0</v>
      </c>
      <c r="G13" s="265"/>
      <c r="H13" s="266"/>
      <c r="I13" s="670">
        <f t="shared" si="3"/>
        <v>0</v>
      </c>
      <c r="J13" s="688">
        <f t="shared" si="1"/>
        <v>0</v>
      </c>
    </row>
    <row r="14" spans="1:15" x14ac:dyDescent="0.25">
      <c r="A14" s="19"/>
      <c r="B14" s="195">
        <f t="shared" si="2"/>
        <v>0</v>
      </c>
      <c r="C14" s="15"/>
      <c r="D14" s="69">
        <v>0</v>
      </c>
      <c r="E14" s="134"/>
      <c r="F14" s="275">
        <f t="shared" si="0"/>
        <v>0</v>
      </c>
      <c r="G14" s="265"/>
      <c r="H14" s="266"/>
      <c r="I14" s="670">
        <f t="shared" si="3"/>
        <v>0</v>
      </c>
      <c r="J14" s="688">
        <f t="shared" si="1"/>
        <v>0</v>
      </c>
    </row>
    <row r="15" spans="1:15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0"/>
        <v>0</v>
      </c>
      <c r="G15" s="265"/>
      <c r="H15" s="266"/>
      <c r="I15" s="670">
        <f t="shared" si="3"/>
        <v>0</v>
      </c>
      <c r="J15" s="688">
        <f t="shared" si="1"/>
        <v>0</v>
      </c>
    </row>
    <row r="16" spans="1:15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671">
        <f t="shared" si="3"/>
        <v>0</v>
      </c>
      <c r="J16" s="669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671">
        <f t="shared" si="3"/>
        <v>0</v>
      </c>
      <c r="J17" s="669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671">
        <f t="shared" si="3"/>
        <v>0</v>
      </c>
      <c r="J18" s="669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671">
        <f t="shared" si="3"/>
        <v>0</v>
      </c>
      <c r="J19" s="669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671">
        <f t="shared" si="3"/>
        <v>0</v>
      </c>
      <c r="J20" s="669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671">
        <f t="shared" si="3"/>
        <v>0</v>
      </c>
      <c r="J21" s="669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671">
        <f t="shared" si="3"/>
        <v>0</v>
      </c>
      <c r="J22" s="669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671">
        <f t="shared" si="3"/>
        <v>0</v>
      </c>
      <c r="J23" s="669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671">
        <f t="shared" si="3"/>
        <v>0</v>
      </c>
      <c r="J24" s="669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671">
        <f t="shared" si="3"/>
        <v>0</v>
      </c>
      <c r="J25" s="669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671">
        <f t="shared" si="3"/>
        <v>0</v>
      </c>
      <c r="J26" s="669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672">
        <f t="shared" si="3"/>
        <v>0</v>
      </c>
      <c r="J27" s="669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7"/>
      <c r="F28" s="218">
        <f t="shared" si="0"/>
        <v>0</v>
      </c>
      <c r="G28" s="139"/>
      <c r="H28" s="211"/>
      <c r="I28" s="673"/>
      <c r="J28" s="674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187" t="s">
        <v>21</v>
      </c>
      <c r="E31" s="1188"/>
      <c r="F31" s="141">
        <f>E4+E5-F29+E6</f>
        <v>0</v>
      </c>
    </row>
    <row r="32" spans="1:10" ht="15.75" thickBot="1" x14ac:dyDescent="0.3">
      <c r="A32" s="125"/>
      <c r="D32" s="817" t="s">
        <v>4</v>
      </c>
      <c r="E32" s="818"/>
      <c r="F32" s="49">
        <f>F4+F5-C29+F6</f>
        <v>0</v>
      </c>
    </row>
    <row r="33" spans="2:2" x14ac:dyDescent="0.25">
      <c r="B33" s="197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G8" sqref="G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02"/>
      <c r="B1" s="1202"/>
      <c r="C1" s="1202"/>
      <c r="D1" s="1202"/>
      <c r="E1" s="1202"/>
      <c r="F1" s="1202"/>
      <c r="G1" s="1202"/>
      <c r="H1" s="11">
        <v>1</v>
      </c>
    </row>
    <row r="2" spans="1:15" ht="16.5" thickBot="1" x14ac:dyDescent="0.3">
      <c r="K2" s="643"/>
      <c r="L2" s="249"/>
      <c r="M2" s="248"/>
      <c r="N2" s="308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15" t="s">
        <v>100</v>
      </c>
      <c r="C4" s="128"/>
      <c r="D4" s="134"/>
      <c r="E4" s="193"/>
      <c r="F4" s="137"/>
      <c r="G4" s="38"/>
    </row>
    <row r="5" spans="1:15" ht="15.75" x14ac:dyDescent="0.25">
      <c r="A5" s="1214"/>
      <c r="B5" s="1216"/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214"/>
      <c r="B6" s="190"/>
      <c r="C6" s="249"/>
      <c r="D6" s="248"/>
      <c r="E6" s="308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/>
      <c r="C8" s="15"/>
      <c r="D8" s="69">
        <v>0</v>
      </c>
      <c r="E8" s="134"/>
      <c r="F8" s="275">
        <f t="shared" ref="F8:F28" si="0">D8</f>
        <v>0</v>
      </c>
      <c r="G8" s="265"/>
      <c r="H8" s="266"/>
      <c r="I8" s="668">
        <f>E5+E6-F8+E4</f>
        <v>0</v>
      </c>
      <c r="J8" s="688">
        <f>H8*F8</f>
        <v>0</v>
      </c>
    </row>
    <row r="9" spans="1:15" x14ac:dyDescent="0.25">
      <c r="B9" s="195"/>
      <c r="C9" s="15"/>
      <c r="D9" s="69">
        <v>0</v>
      </c>
      <c r="E9" s="134"/>
      <c r="F9" s="275">
        <f t="shared" si="0"/>
        <v>0</v>
      </c>
      <c r="G9" s="265"/>
      <c r="H9" s="266"/>
      <c r="I9" s="668">
        <f>I8-F9</f>
        <v>0</v>
      </c>
      <c r="J9" s="688">
        <f t="shared" ref="J9:J28" si="1">H9*F9</f>
        <v>0</v>
      </c>
    </row>
    <row r="10" spans="1:15" x14ac:dyDescent="0.25">
      <c r="B10" s="195"/>
      <c r="C10" s="15"/>
      <c r="D10" s="69">
        <v>0</v>
      </c>
      <c r="E10" s="134"/>
      <c r="F10" s="275">
        <f t="shared" si="0"/>
        <v>0</v>
      </c>
      <c r="G10" s="265"/>
      <c r="H10" s="266"/>
      <c r="I10" s="668">
        <f t="shared" ref="I10:I27" si="2">I9-F10</f>
        <v>0</v>
      </c>
      <c r="J10" s="688">
        <f t="shared" si="1"/>
        <v>0</v>
      </c>
    </row>
    <row r="11" spans="1:15" x14ac:dyDescent="0.25">
      <c r="A11" s="55" t="s">
        <v>33</v>
      </c>
      <c r="B11" s="195"/>
      <c r="C11" s="15"/>
      <c r="D11" s="69">
        <v>0</v>
      </c>
      <c r="E11" s="134"/>
      <c r="F11" s="275">
        <f t="shared" si="0"/>
        <v>0</v>
      </c>
      <c r="G11" s="265"/>
      <c r="H11" s="266"/>
      <c r="I11" s="668">
        <f t="shared" si="2"/>
        <v>0</v>
      </c>
      <c r="J11" s="688">
        <f t="shared" si="1"/>
        <v>0</v>
      </c>
    </row>
    <row r="12" spans="1:15" x14ac:dyDescent="0.25">
      <c r="B12" s="195"/>
      <c r="C12" s="15"/>
      <c r="D12" s="69">
        <v>0</v>
      </c>
      <c r="E12" s="134"/>
      <c r="F12" s="275">
        <f t="shared" si="0"/>
        <v>0</v>
      </c>
      <c r="G12" s="265"/>
      <c r="H12" s="266"/>
      <c r="I12" s="668">
        <f t="shared" si="2"/>
        <v>0</v>
      </c>
      <c r="J12" s="688">
        <f t="shared" si="1"/>
        <v>0</v>
      </c>
    </row>
    <row r="13" spans="1:15" x14ac:dyDescent="0.25">
      <c r="A13" s="19"/>
      <c r="B13" s="195"/>
      <c r="C13" s="15"/>
      <c r="D13" s="69">
        <v>0</v>
      </c>
      <c r="E13" s="134"/>
      <c r="F13" s="275">
        <f t="shared" si="0"/>
        <v>0</v>
      </c>
      <c r="G13" s="265"/>
      <c r="H13" s="266"/>
      <c r="I13" s="670">
        <f t="shared" si="2"/>
        <v>0</v>
      </c>
      <c r="J13" s="688">
        <f t="shared" si="1"/>
        <v>0</v>
      </c>
    </row>
    <row r="14" spans="1:15" x14ac:dyDescent="0.25">
      <c r="A14" s="19"/>
      <c r="B14" s="195"/>
      <c r="C14" s="15"/>
      <c r="D14" s="69">
        <v>0</v>
      </c>
      <c r="E14" s="134"/>
      <c r="F14" s="275">
        <f t="shared" si="0"/>
        <v>0</v>
      </c>
      <c r="G14" s="265"/>
      <c r="H14" s="266"/>
      <c r="I14" s="670">
        <f t="shared" si="2"/>
        <v>0</v>
      </c>
      <c r="J14" s="688">
        <f t="shared" si="1"/>
        <v>0</v>
      </c>
    </row>
    <row r="15" spans="1:15" x14ac:dyDescent="0.25">
      <c r="A15" s="19"/>
      <c r="B15" s="195"/>
      <c r="C15" s="15"/>
      <c r="D15" s="69">
        <v>0</v>
      </c>
      <c r="E15" s="134"/>
      <c r="F15" s="105">
        <f t="shared" si="0"/>
        <v>0</v>
      </c>
      <c r="G15" s="265"/>
      <c r="H15" s="266"/>
      <c r="I15" s="670">
        <f t="shared" si="2"/>
        <v>0</v>
      </c>
      <c r="J15" s="688">
        <f t="shared" si="1"/>
        <v>0</v>
      </c>
    </row>
    <row r="16" spans="1:15" x14ac:dyDescent="0.25">
      <c r="A16" s="19"/>
      <c r="B16" s="195"/>
      <c r="C16" s="15"/>
      <c r="D16" s="69">
        <v>0</v>
      </c>
      <c r="E16" s="134"/>
      <c r="F16" s="105">
        <f t="shared" si="0"/>
        <v>0</v>
      </c>
      <c r="G16" s="70"/>
      <c r="H16" s="71"/>
      <c r="I16" s="671">
        <f t="shared" si="2"/>
        <v>0</v>
      </c>
      <c r="J16" s="669">
        <f t="shared" si="1"/>
        <v>0</v>
      </c>
    </row>
    <row r="17" spans="1:10" x14ac:dyDescent="0.25">
      <c r="A17" s="19"/>
      <c r="B17" s="195"/>
      <c r="C17" s="15"/>
      <c r="D17" s="69">
        <v>0</v>
      </c>
      <c r="E17" s="134"/>
      <c r="F17" s="105">
        <f t="shared" si="0"/>
        <v>0</v>
      </c>
      <c r="G17" s="70"/>
      <c r="H17" s="71"/>
      <c r="I17" s="671">
        <f t="shared" si="2"/>
        <v>0</v>
      </c>
      <c r="J17" s="669">
        <f t="shared" si="1"/>
        <v>0</v>
      </c>
    </row>
    <row r="18" spans="1:10" x14ac:dyDescent="0.25">
      <c r="A18" s="19"/>
      <c r="B18" s="195"/>
      <c r="C18" s="15"/>
      <c r="D18" s="69">
        <v>0</v>
      </c>
      <c r="E18" s="134"/>
      <c r="F18" s="105">
        <f t="shared" si="0"/>
        <v>0</v>
      </c>
      <c r="G18" s="70"/>
      <c r="H18" s="71"/>
      <c r="I18" s="671">
        <f t="shared" si="2"/>
        <v>0</v>
      </c>
      <c r="J18" s="669">
        <f t="shared" si="1"/>
        <v>0</v>
      </c>
    </row>
    <row r="19" spans="1:10" x14ac:dyDescent="0.25">
      <c r="A19" s="19"/>
      <c r="B19" s="195"/>
      <c r="C19" s="15"/>
      <c r="D19" s="69">
        <v>0</v>
      </c>
      <c r="E19" s="134"/>
      <c r="F19" s="105">
        <f t="shared" si="0"/>
        <v>0</v>
      </c>
      <c r="G19" s="70"/>
      <c r="H19" s="71"/>
      <c r="I19" s="671">
        <f t="shared" si="2"/>
        <v>0</v>
      </c>
      <c r="J19" s="669">
        <f t="shared" si="1"/>
        <v>0</v>
      </c>
    </row>
    <row r="20" spans="1:10" x14ac:dyDescent="0.25">
      <c r="A20" s="19"/>
      <c r="B20" s="195"/>
      <c r="C20" s="15"/>
      <c r="D20" s="69">
        <v>0</v>
      </c>
      <c r="E20" s="134"/>
      <c r="F20" s="105">
        <f t="shared" si="0"/>
        <v>0</v>
      </c>
      <c r="G20" s="70"/>
      <c r="H20" s="71"/>
      <c r="I20" s="671">
        <f t="shared" si="2"/>
        <v>0</v>
      </c>
      <c r="J20" s="669">
        <f t="shared" si="1"/>
        <v>0</v>
      </c>
    </row>
    <row r="21" spans="1:10" x14ac:dyDescent="0.25">
      <c r="A21" s="19"/>
      <c r="B21" s="195"/>
      <c r="C21" s="15"/>
      <c r="D21" s="69">
        <v>0</v>
      </c>
      <c r="E21" s="134"/>
      <c r="F21" s="105">
        <f t="shared" si="0"/>
        <v>0</v>
      </c>
      <c r="G21" s="70"/>
      <c r="H21" s="71"/>
      <c r="I21" s="671">
        <f t="shared" si="2"/>
        <v>0</v>
      </c>
      <c r="J21" s="669">
        <f t="shared" si="1"/>
        <v>0</v>
      </c>
    </row>
    <row r="22" spans="1:10" x14ac:dyDescent="0.25">
      <c r="A22" s="19"/>
      <c r="B22" s="195"/>
      <c r="C22" s="15"/>
      <c r="D22" s="69">
        <v>0</v>
      </c>
      <c r="E22" s="134"/>
      <c r="F22" s="105">
        <f t="shared" si="0"/>
        <v>0</v>
      </c>
      <c r="G22" s="70"/>
      <c r="H22" s="71"/>
      <c r="I22" s="671">
        <f t="shared" si="2"/>
        <v>0</v>
      </c>
      <c r="J22" s="669">
        <f t="shared" si="1"/>
        <v>0</v>
      </c>
    </row>
    <row r="23" spans="1:10" x14ac:dyDescent="0.25">
      <c r="A23" s="19"/>
      <c r="B23" s="195"/>
      <c r="C23" s="15"/>
      <c r="D23" s="69">
        <v>0</v>
      </c>
      <c r="E23" s="134"/>
      <c r="F23" s="105">
        <f t="shared" si="0"/>
        <v>0</v>
      </c>
      <c r="G23" s="70"/>
      <c r="H23" s="71"/>
      <c r="I23" s="671">
        <f t="shared" si="2"/>
        <v>0</v>
      </c>
      <c r="J23" s="669">
        <f t="shared" si="1"/>
        <v>0</v>
      </c>
    </row>
    <row r="24" spans="1:10" x14ac:dyDescent="0.25">
      <c r="A24" s="19"/>
      <c r="B24" s="195"/>
      <c r="C24" s="15"/>
      <c r="D24" s="69">
        <v>0</v>
      </c>
      <c r="E24" s="134"/>
      <c r="F24" s="105">
        <f t="shared" si="0"/>
        <v>0</v>
      </c>
      <c r="G24" s="70"/>
      <c r="H24" s="71"/>
      <c r="I24" s="671">
        <f t="shared" si="2"/>
        <v>0</v>
      </c>
      <c r="J24" s="669">
        <f t="shared" si="1"/>
        <v>0</v>
      </c>
    </row>
    <row r="25" spans="1:10" x14ac:dyDescent="0.25">
      <c r="A25" s="19"/>
      <c r="B25" s="195"/>
      <c r="C25" s="15"/>
      <c r="D25" s="69">
        <v>0</v>
      </c>
      <c r="E25" s="134"/>
      <c r="F25" s="105">
        <f t="shared" si="0"/>
        <v>0</v>
      </c>
      <c r="G25" s="70"/>
      <c r="H25" s="71"/>
      <c r="I25" s="671">
        <f t="shared" si="2"/>
        <v>0</v>
      </c>
      <c r="J25" s="669">
        <f t="shared" si="1"/>
        <v>0</v>
      </c>
    </row>
    <row r="26" spans="1:10" x14ac:dyDescent="0.25">
      <c r="A26" s="19"/>
      <c r="B26" s="195"/>
      <c r="C26" s="15"/>
      <c r="D26" s="69">
        <v>0</v>
      </c>
      <c r="E26" s="134"/>
      <c r="F26" s="105">
        <f t="shared" si="0"/>
        <v>0</v>
      </c>
      <c r="G26" s="70"/>
      <c r="H26" s="71"/>
      <c r="I26" s="671">
        <f t="shared" si="2"/>
        <v>0</v>
      </c>
      <c r="J26" s="669">
        <f t="shared" si="1"/>
        <v>0</v>
      </c>
    </row>
    <row r="27" spans="1:10" x14ac:dyDescent="0.25">
      <c r="B27" s="195"/>
      <c r="C27" s="15"/>
      <c r="D27" s="69">
        <v>0</v>
      </c>
      <c r="E27" s="134"/>
      <c r="F27" s="105">
        <f t="shared" si="0"/>
        <v>0</v>
      </c>
      <c r="G27" s="70"/>
      <c r="H27" s="71"/>
      <c r="I27" s="672">
        <f t="shared" si="2"/>
        <v>0</v>
      </c>
      <c r="J27" s="669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7"/>
      <c r="F28" s="218">
        <f t="shared" si="0"/>
        <v>0</v>
      </c>
      <c r="G28" s="139"/>
      <c r="H28" s="211"/>
      <c r="I28" s="673"/>
      <c r="J28" s="674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187" t="s">
        <v>21</v>
      </c>
      <c r="E31" s="1188"/>
      <c r="F31" s="141">
        <f>E4+E5-F29+E6</f>
        <v>0</v>
      </c>
    </row>
    <row r="32" spans="1:10" ht="15.75" thickBot="1" x14ac:dyDescent="0.3">
      <c r="A32" s="125"/>
      <c r="D32" s="579" t="s">
        <v>4</v>
      </c>
      <c r="E32" s="580"/>
      <c r="F32" s="49">
        <f>F4+F5-C29+F6</f>
        <v>0</v>
      </c>
    </row>
    <row r="33" spans="2:2" x14ac:dyDescent="0.25">
      <c r="B33" s="197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11"/>
    <col min="10" max="10" width="17.5703125" customWidth="1"/>
  </cols>
  <sheetData>
    <row r="1" spans="1:11" ht="40.5" x14ac:dyDescent="0.55000000000000004">
      <c r="A1" s="1202"/>
      <c r="B1" s="1202"/>
      <c r="C1" s="1202"/>
      <c r="D1" s="1202"/>
      <c r="E1" s="1202"/>
      <c r="F1" s="1202"/>
      <c r="G1" s="1202"/>
      <c r="H1" s="11">
        <v>1</v>
      </c>
    </row>
    <row r="2" spans="1:11" ht="16.5" thickBot="1" x14ac:dyDescent="0.3">
      <c r="K2" s="643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93"/>
      <c r="F4" s="137"/>
      <c r="G4" s="38"/>
    </row>
    <row r="5" spans="1:11" ht="18.75" x14ac:dyDescent="0.3">
      <c r="A5" s="75"/>
      <c r="B5" s="500" t="s">
        <v>58</v>
      </c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90"/>
      <c r="C6" s="249"/>
      <c r="D6" s="248"/>
      <c r="E6" s="308"/>
      <c r="F6" s="243"/>
    </row>
    <row r="7" spans="1:11" ht="17.2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12"/>
      <c r="J7" s="24"/>
    </row>
    <row r="8" spans="1:11" ht="16.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5">
        <f t="shared" ref="F8:F9" si="0">D8</f>
        <v>0</v>
      </c>
      <c r="G8" s="265"/>
      <c r="H8" s="266"/>
      <c r="I8" s="713">
        <f>E5+E6-F8+E4</f>
        <v>0</v>
      </c>
      <c r="J8" s="688">
        <f>H8*F8</f>
        <v>0</v>
      </c>
    </row>
    <row r="9" spans="1:11" x14ac:dyDescent="0.25">
      <c r="B9" s="195">
        <f>B8-C9</f>
        <v>0</v>
      </c>
      <c r="C9" s="15"/>
      <c r="D9" s="69">
        <v>0</v>
      </c>
      <c r="E9" s="134"/>
      <c r="F9" s="275">
        <f t="shared" si="0"/>
        <v>0</v>
      </c>
      <c r="G9" s="265"/>
      <c r="H9" s="266"/>
      <c r="I9" s="713">
        <f>I8-F9</f>
        <v>0</v>
      </c>
      <c r="J9" s="688">
        <f t="shared" ref="J9:J28" si="1">H9*F9</f>
        <v>0</v>
      </c>
    </row>
    <row r="10" spans="1:11" x14ac:dyDescent="0.25">
      <c r="B10" s="195">
        <f t="shared" ref="B10:B27" si="2">B9-C10</f>
        <v>0</v>
      </c>
      <c r="C10" s="15"/>
      <c r="D10" s="69">
        <v>0</v>
      </c>
      <c r="E10" s="134"/>
      <c r="F10" s="275">
        <f t="shared" ref="F10:F28" si="3">D10</f>
        <v>0</v>
      </c>
      <c r="G10" s="265"/>
      <c r="H10" s="266"/>
      <c r="I10" s="713">
        <f t="shared" ref="I10:I27" si="4">I9-F10</f>
        <v>0</v>
      </c>
      <c r="J10" s="688">
        <f t="shared" si="1"/>
        <v>0</v>
      </c>
    </row>
    <row r="11" spans="1:11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5">
        <f t="shared" si="3"/>
        <v>0</v>
      </c>
      <c r="G11" s="265"/>
      <c r="H11" s="266"/>
      <c r="I11" s="713">
        <f t="shared" si="4"/>
        <v>0</v>
      </c>
      <c r="J11" s="688">
        <f t="shared" si="1"/>
        <v>0</v>
      </c>
    </row>
    <row r="12" spans="1:11" x14ac:dyDescent="0.25">
      <c r="B12" s="195">
        <f t="shared" si="2"/>
        <v>0</v>
      </c>
      <c r="C12" s="15"/>
      <c r="D12" s="69">
        <v>0</v>
      </c>
      <c r="E12" s="134"/>
      <c r="F12" s="275">
        <f t="shared" si="3"/>
        <v>0</v>
      </c>
      <c r="G12" s="265"/>
      <c r="H12" s="266"/>
      <c r="I12" s="713">
        <f t="shared" si="4"/>
        <v>0</v>
      </c>
      <c r="J12" s="688">
        <f t="shared" si="1"/>
        <v>0</v>
      </c>
    </row>
    <row r="13" spans="1:11" x14ac:dyDescent="0.25">
      <c r="A13" s="19"/>
      <c r="B13" s="195">
        <f t="shared" si="2"/>
        <v>0</v>
      </c>
      <c r="C13" s="15"/>
      <c r="D13" s="69">
        <v>0</v>
      </c>
      <c r="E13" s="134"/>
      <c r="F13" s="275">
        <f t="shared" si="3"/>
        <v>0</v>
      </c>
      <c r="G13" s="265"/>
      <c r="H13" s="266"/>
      <c r="I13" s="713">
        <f t="shared" si="4"/>
        <v>0</v>
      </c>
      <c r="J13" s="688">
        <f t="shared" si="1"/>
        <v>0</v>
      </c>
    </row>
    <row r="14" spans="1:11" x14ac:dyDescent="0.25">
      <c r="A14" s="19"/>
      <c r="B14" s="195">
        <f t="shared" si="2"/>
        <v>0</v>
      </c>
      <c r="C14" s="15"/>
      <c r="D14" s="69">
        <v>0</v>
      </c>
      <c r="E14" s="134"/>
      <c r="F14" s="275">
        <f t="shared" si="3"/>
        <v>0</v>
      </c>
      <c r="G14" s="265"/>
      <c r="H14" s="266"/>
      <c r="I14" s="713">
        <f t="shared" si="4"/>
        <v>0</v>
      </c>
      <c r="J14" s="688">
        <f t="shared" si="1"/>
        <v>0</v>
      </c>
    </row>
    <row r="15" spans="1:11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3"/>
        <v>0</v>
      </c>
      <c r="G15" s="265"/>
      <c r="H15" s="266"/>
      <c r="I15" s="713">
        <f t="shared" si="4"/>
        <v>0</v>
      </c>
      <c r="J15" s="688">
        <f t="shared" si="1"/>
        <v>0</v>
      </c>
    </row>
    <row r="16" spans="1:11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714">
        <f t="shared" si="4"/>
        <v>0</v>
      </c>
      <c r="J16" s="669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714">
        <f t="shared" si="4"/>
        <v>0</v>
      </c>
      <c r="J17" s="669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714">
        <f t="shared" si="4"/>
        <v>0</v>
      </c>
      <c r="J18" s="669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714">
        <f t="shared" si="4"/>
        <v>0</v>
      </c>
      <c r="J19" s="669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714">
        <f t="shared" si="4"/>
        <v>0</v>
      </c>
      <c r="J20" s="669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714">
        <f t="shared" si="4"/>
        <v>0</v>
      </c>
      <c r="J21" s="669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714">
        <f t="shared" si="4"/>
        <v>0</v>
      </c>
      <c r="J22" s="669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714">
        <f t="shared" si="4"/>
        <v>0</v>
      </c>
      <c r="J23" s="669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714">
        <f t="shared" si="4"/>
        <v>0</v>
      </c>
      <c r="J24" s="669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714">
        <f t="shared" si="4"/>
        <v>0</v>
      </c>
      <c r="J25" s="669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714">
        <f t="shared" si="4"/>
        <v>0</v>
      </c>
      <c r="J26" s="669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714">
        <f t="shared" si="4"/>
        <v>0</v>
      </c>
      <c r="J27" s="669">
        <f t="shared" si="1"/>
        <v>0</v>
      </c>
    </row>
    <row r="28" spans="1:10" ht="16.5" thickBot="1" x14ac:dyDescent="0.3">
      <c r="A28" s="121"/>
      <c r="B28" s="196"/>
      <c r="C28" s="37"/>
      <c r="D28" s="69">
        <v>0</v>
      </c>
      <c r="E28" s="327"/>
      <c r="F28" s="218">
        <f t="shared" si="3"/>
        <v>0</v>
      </c>
      <c r="G28" s="139"/>
      <c r="H28" s="211"/>
      <c r="I28" s="715"/>
      <c r="J28" s="674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6.5" thickBot="1" x14ac:dyDescent="0.3">
      <c r="A30" s="47"/>
    </row>
    <row r="31" spans="1:10" x14ac:dyDescent="0.25">
      <c r="B31" s="197"/>
      <c r="D31" s="1187" t="s">
        <v>21</v>
      </c>
      <c r="E31" s="1188"/>
      <c r="F31" s="141">
        <f>E4+E5-F29+E6</f>
        <v>0</v>
      </c>
    </row>
    <row r="32" spans="1:10" ht="16.5" thickBot="1" x14ac:dyDescent="0.3">
      <c r="A32" s="125"/>
      <c r="D32" s="708" t="s">
        <v>4</v>
      </c>
      <c r="E32" s="709"/>
      <c r="F32" s="49">
        <f>F4+F5-C29+F6</f>
        <v>0</v>
      </c>
    </row>
    <row r="33" spans="2:2" x14ac:dyDescent="0.25">
      <c r="B33" s="197"/>
    </row>
  </sheetData>
  <mergeCells count="2">
    <mergeCell ref="A1:G1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U34"/>
  <sheetViews>
    <sheetView topLeftCell="L1" zoomScaleNormal="100" workbookViewId="0">
      <selection activeCell="R5" sqref="R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6.75" customHeight="1" x14ac:dyDescent="0.5">
      <c r="A1" s="1217" t="s">
        <v>221</v>
      </c>
      <c r="B1" s="1217"/>
      <c r="C1" s="1217"/>
      <c r="D1" s="1217"/>
      <c r="E1" s="1217"/>
      <c r="F1" s="1217"/>
      <c r="G1" s="1217"/>
      <c r="H1" s="356">
        <v>1</v>
      </c>
      <c r="I1" s="571"/>
      <c r="L1" s="1191" t="s">
        <v>574</v>
      </c>
      <c r="M1" s="1191"/>
      <c r="N1" s="1191"/>
      <c r="O1" s="1191"/>
      <c r="P1" s="1191"/>
      <c r="Q1" s="1191"/>
      <c r="R1" s="1191"/>
      <c r="S1" s="356">
        <v>2</v>
      </c>
      <c r="T1" s="571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569"/>
      <c r="L2" s="75"/>
      <c r="M2" s="75"/>
      <c r="N2" s="75"/>
      <c r="O2" s="75"/>
      <c r="P2" s="75"/>
      <c r="Q2" s="75"/>
      <c r="R2" s="75"/>
      <c r="S2" s="75"/>
      <c r="T2" s="569"/>
    </row>
    <row r="3" spans="1:21" ht="16.5" thickTop="1" thickBot="1" x14ac:dyDescent="0.3">
      <c r="A3" s="72" t="s">
        <v>0</v>
      </c>
      <c r="B3" s="804" t="s">
        <v>1</v>
      </c>
      <c r="C3" s="72"/>
      <c r="D3" s="72" t="s">
        <v>2</v>
      </c>
      <c r="E3" s="72" t="s">
        <v>3</v>
      </c>
      <c r="F3" s="72" t="s">
        <v>4</v>
      </c>
      <c r="G3" s="366" t="s">
        <v>20</v>
      </c>
      <c r="H3" s="365" t="s">
        <v>6</v>
      </c>
      <c r="I3" s="572"/>
      <c r="L3" s="72">
        <v>0</v>
      </c>
      <c r="M3" s="804" t="s">
        <v>1</v>
      </c>
      <c r="N3" s="72"/>
      <c r="O3" s="72" t="s">
        <v>2</v>
      </c>
      <c r="P3" s="72" t="s">
        <v>3</v>
      </c>
      <c r="Q3" s="72" t="s">
        <v>4</v>
      </c>
      <c r="R3" s="366" t="s">
        <v>20</v>
      </c>
      <c r="S3" s="365" t="s">
        <v>6</v>
      </c>
      <c r="T3" s="572"/>
    </row>
    <row r="4" spans="1:21" ht="15.75" customHeight="1" thickTop="1" x14ac:dyDescent="0.25">
      <c r="A4" s="75"/>
      <c r="B4" s="1218" t="s">
        <v>99</v>
      </c>
      <c r="C4" s="322">
        <v>34</v>
      </c>
      <c r="D4" s="248">
        <v>44625</v>
      </c>
      <c r="E4" s="529">
        <v>522.41</v>
      </c>
      <c r="F4" s="243">
        <v>18</v>
      </c>
      <c r="G4" s="684"/>
      <c r="H4" s="153"/>
      <c r="I4" s="576"/>
      <c r="L4" s="75"/>
      <c r="M4" s="1218" t="s">
        <v>99</v>
      </c>
      <c r="N4" s="322"/>
      <c r="O4" s="248"/>
      <c r="P4" s="529"/>
      <c r="Q4" s="243"/>
      <c r="R4" s="1114"/>
      <c r="S4" s="153"/>
      <c r="T4" s="576"/>
    </row>
    <row r="5" spans="1:21" ht="14.25" customHeight="1" thickBot="1" x14ac:dyDescent="0.3">
      <c r="A5" s="681" t="s">
        <v>52</v>
      </c>
      <c r="B5" s="1219"/>
      <c r="C5" s="566">
        <v>35</v>
      </c>
      <c r="D5" s="248">
        <v>44629</v>
      </c>
      <c r="E5" s="246">
        <v>998.76</v>
      </c>
      <c r="F5" s="243">
        <v>35</v>
      </c>
      <c r="G5" s="241">
        <f>F30</f>
        <v>2013.8500000000001</v>
      </c>
      <c r="H5" s="138">
        <f>E5-G5+E4+E6+E7</f>
        <v>-1.7053025658242404E-13</v>
      </c>
      <c r="I5" s="573"/>
      <c r="L5" s="1192" t="s">
        <v>52</v>
      </c>
      <c r="M5" s="1219"/>
      <c r="N5" s="566">
        <v>27</v>
      </c>
      <c r="O5" s="248">
        <v>44707</v>
      </c>
      <c r="P5" s="246">
        <v>660.95</v>
      </c>
      <c r="Q5" s="243">
        <v>24</v>
      </c>
      <c r="R5" s="241">
        <f>Q30</f>
        <v>0</v>
      </c>
      <c r="S5" s="138">
        <f>P5-R5+P4+P6+P7</f>
        <v>660.95</v>
      </c>
      <c r="T5" s="573"/>
    </row>
    <row r="6" spans="1:21" ht="15.75" thickBot="1" x14ac:dyDescent="0.3">
      <c r="A6" s="250"/>
      <c r="B6" s="631"/>
      <c r="C6" s="569">
        <v>36</v>
      </c>
      <c r="D6" s="248">
        <v>44644</v>
      </c>
      <c r="E6" s="75">
        <v>492.68</v>
      </c>
      <c r="F6" s="73">
        <v>17</v>
      </c>
      <c r="G6" s="243"/>
      <c r="H6" s="242"/>
      <c r="I6" s="322"/>
      <c r="L6" s="1192"/>
      <c r="M6" s="631"/>
      <c r="N6" s="569"/>
      <c r="O6" s="248"/>
      <c r="P6" s="75"/>
      <c r="Q6" s="73"/>
      <c r="R6" s="243"/>
      <c r="S6" s="242"/>
      <c r="T6" s="322"/>
    </row>
    <row r="7" spans="1:21" ht="15.75" thickBot="1" x14ac:dyDescent="0.3">
      <c r="A7" s="250"/>
      <c r="B7" s="707"/>
      <c r="C7" s="569"/>
      <c r="D7" s="248"/>
      <c r="E7" s="75"/>
      <c r="F7" s="73"/>
      <c r="G7" s="243"/>
      <c r="H7" s="242"/>
      <c r="I7" s="322"/>
      <c r="L7" s="250"/>
      <c r="M7" s="707"/>
      <c r="N7" s="569"/>
      <c r="O7" s="248"/>
      <c r="P7" s="75"/>
      <c r="Q7" s="73"/>
      <c r="R7" s="243"/>
      <c r="S7" s="242"/>
      <c r="T7" s="322"/>
    </row>
    <row r="8" spans="1:21" ht="16.5" thickTop="1" thickBot="1" x14ac:dyDescent="0.3">
      <c r="A8" s="75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 t="s">
        <v>15</v>
      </c>
      <c r="H8" s="373"/>
      <c r="I8" s="574"/>
      <c r="L8" s="75"/>
      <c r="M8" s="374" t="s">
        <v>7</v>
      </c>
      <c r="N8" s="369" t="s">
        <v>8</v>
      </c>
      <c r="O8" s="370" t="s">
        <v>17</v>
      </c>
      <c r="P8" s="371" t="s">
        <v>2</v>
      </c>
      <c r="Q8" s="364" t="s">
        <v>18</v>
      </c>
      <c r="R8" s="372" t="s">
        <v>15</v>
      </c>
      <c r="S8" s="373"/>
      <c r="T8" s="574"/>
    </row>
    <row r="9" spans="1:21" ht="15.75" thickTop="1" x14ac:dyDescent="0.25">
      <c r="A9" s="61"/>
      <c r="B9" s="195">
        <f>F4+F5+F6-C9+F7</f>
        <v>63</v>
      </c>
      <c r="C9" s="15">
        <v>7</v>
      </c>
      <c r="D9" s="69">
        <v>206.97</v>
      </c>
      <c r="E9" s="336">
        <v>44625</v>
      </c>
      <c r="F9" s="279">
        <f>D9</f>
        <v>206.97</v>
      </c>
      <c r="G9" s="70" t="s">
        <v>104</v>
      </c>
      <c r="H9" s="71">
        <v>36</v>
      </c>
      <c r="I9" s="569">
        <f>E4+E5+E6-F9+E7</f>
        <v>1806.88</v>
      </c>
      <c r="J9" s="60">
        <f>H9*F9</f>
        <v>7450.92</v>
      </c>
      <c r="L9" s="61"/>
      <c r="M9" s="195">
        <f>Q4+Q5+Q6-N9+Q7</f>
        <v>24</v>
      </c>
      <c r="N9" s="15"/>
      <c r="O9" s="69">
        <v>0</v>
      </c>
      <c r="P9" s="336"/>
      <c r="Q9" s="279">
        <f>O9</f>
        <v>0</v>
      </c>
      <c r="R9" s="70"/>
      <c r="S9" s="71"/>
      <c r="T9" s="569">
        <f>P4+P5+P6-Q9+P7</f>
        <v>660.95</v>
      </c>
      <c r="U9" s="60">
        <f>S9*Q9</f>
        <v>0</v>
      </c>
    </row>
    <row r="10" spans="1:21" x14ac:dyDescent="0.25">
      <c r="A10" s="75"/>
      <c r="B10" s="195">
        <f>B9-C10</f>
        <v>52</v>
      </c>
      <c r="C10" s="15">
        <v>11</v>
      </c>
      <c r="D10" s="69">
        <v>315.44</v>
      </c>
      <c r="E10" s="495">
        <v>44629</v>
      </c>
      <c r="F10" s="279">
        <f t="shared" ref="F10" si="0">D10</f>
        <v>315.44</v>
      </c>
      <c r="G10" s="265" t="s">
        <v>106</v>
      </c>
      <c r="H10" s="266">
        <v>36</v>
      </c>
      <c r="I10" s="322">
        <f>I9-F10</f>
        <v>1491.44</v>
      </c>
      <c r="J10" s="60">
        <f t="shared" ref="J10:J28" si="1">H10*F10</f>
        <v>11355.84</v>
      </c>
      <c r="L10" s="75"/>
      <c r="M10" s="195">
        <f>M9-N10</f>
        <v>24</v>
      </c>
      <c r="N10" s="15"/>
      <c r="O10" s="69">
        <v>0</v>
      </c>
      <c r="P10" s="495"/>
      <c r="Q10" s="279">
        <f t="shared" ref="Q10:Q29" si="2">O10</f>
        <v>0</v>
      </c>
      <c r="R10" s="265"/>
      <c r="S10" s="266"/>
      <c r="T10" s="322">
        <f>T9-Q10</f>
        <v>660.95</v>
      </c>
      <c r="U10" s="60">
        <f t="shared" ref="U10:U28" si="3">S10*Q10</f>
        <v>0</v>
      </c>
    </row>
    <row r="11" spans="1:21" x14ac:dyDescent="0.25">
      <c r="A11" s="75"/>
      <c r="B11" s="195">
        <f t="shared" ref="B11:B29" si="4">B10-C11</f>
        <v>51</v>
      </c>
      <c r="C11" s="15">
        <v>1</v>
      </c>
      <c r="D11" s="69">
        <v>24.5</v>
      </c>
      <c r="E11" s="495">
        <v>44632</v>
      </c>
      <c r="F11" s="279">
        <f>D11</f>
        <v>24.5</v>
      </c>
      <c r="G11" s="265" t="s">
        <v>107</v>
      </c>
      <c r="H11" s="266">
        <v>35</v>
      </c>
      <c r="I11" s="322">
        <f t="shared" ref="I11:I28" si="5">I10-F11</f>
        <v>1466.94</v>
      </c>
      <c r="J11" s="60">
        <f t="shared" si="1"/>
        <v>857.5</v>
      </c>
      <c r="L11" s="75"/>
      <c r="M11" s="195">
        <f t="shared" ref="M11:M29" si="6">M10-N11</f>
        <v>24</v>
      </c>
      <c r="N11" s="15"/>
      <c r="O11" s="69">
        <v>0</v>
      </c>
      <c r="P11" s="495"/>
      <c r="Q11" s="279">
        <f t="shared" si="2"/>
        <v>0</v>
      </c>
      <c r="R11" s="265"/>
      <c r="S11" s="266"/>
      <c r="T11" s="322">
        <f t="shared" ref="T11:T28" si="7">T10-Q11</f>
        <v>660.95</v>
      </c>
      <c r="U11" s="60">
        <f t="shared" si="3"/>
        <v>0</v>
      </c>
    </row>
    <row r="12" spans="1:21" x14ac:dyDescent="0.25">
      <c r="A12" s="61"/>
      <c r="B12" s="195">
        <f t="shared" si="4"/>
        <v>43</v>
      </c>
      <c r="C12" s="15">
        <v>8</v>
      </c>
      <c r="D12" s="69">
        <v>223.55</v>
      </c>
      <c r="E12" s="495">
        <v>44634</v>
      </c>
      <c r="F12" s="279">
        <f>D12</f>
        <v>223.55</v>
      </c>
      <c r="G12" s="265" t="s">
        <v>108</v>
      </c>
      <c r="H12" s="266">
        <v>36</v>
      </c>
      <c r="I12" s="322">
        <f t="shared" si="5"/>
        <v>1243.3900000000001</v>
      </c>
      <c r="J12" s="60">
        <f t="shared" si="1"/>
        <v>8047.8</v>
      </c>
      <c r="L12" s="61"/>
      <c r="M12" s="195">
        <f t="shared" si="6"/>
        <v>24</v>
      </c>
      <c r="N12" s="15"/>
      <c r="O12" s="69">
        <v>0</v>
      </c>
      <c r="P12" s="495"/>
      <c r="Q12" s="279">
        <f t="shared" si="2"/>
        <v>0</v>
      </c>
      <c r="R12" s="265"/>
      <c r="S12" s="266"/>
      <c r="T12" s="322">
        <f t="shared" si="7"/>
        <v>660.95</v>
      </c>
      <c r="U12" s="60">
        <f t="shared" si="3"/>
        <v>0</v>
      </c>
    </row>
    <row r="13" spans="1:21" x14ac:dyDescent="0.25">
      <c r="A13" s="75"/>
      <c r="B13" s="195">
        <f t="shared" si="4"/>
        <v>41</v>
      </c>
      <c r="C13" s="15">
        <v>2</v>
      </c>
      <c r="D13" s="69">
        <v>59.24</v>
      </c>
      <c r="E13" s="495">
        <v>44644</v>
      </c>
      <c r="F13" s="279">
        <f>D13</f>
        <v>59.24</v>
      </c>
      <c r="G13" s="265" t="s">
        <v>110</v>
      </c>
      <c r="H13" s="266">
        <v>36</v>
      </c>
      <c r="I13" s="322">
        <f t="shared" si="5"/>
        <v>1184.1500000000001</v>
      </c>
      <c r="J13" s="60">
        <f t="shared" si="1"/>
        <v>2132.64</v>
      </c>
      <c r="L13" s="75"/>
      <c r="M13" s="195">
        <f t="shared" si="6"/>
        <v>24</v>
      </c>
      <c r="N13" s="15"/>
      <c r="O13" s="69">
        <v>0</v>
      </c>
      <c r="P13" s="495"/>
      <c r="Q13" s="279">
        <f t="shared" si="2"/>
        <v>0</v>
      </c>
      <c r="R13" s="265"/>
      <c r="S13" s="266"/>
      <c r="T13" s="322">
        <f t="shared" si="7"/>
        <v>660.95</v>
      </c>
      <c r="U13" s="60">
        <f t="shared" si="3"/>
        <v>0</v>
      </c>
    </row>
    <row r="14" spans="1:21" x14ac:dyDescent="0.25">
      <c r="A14" s="75"/>
      <c r="B14" s="195">
        <f t="shared" si="4"/>
        <v>35</v>
      </c>
      <c r="C14" s="15">
        <v>6</v>
      </c>
      <c r="D14" s="468">
        <v>172.69</v>
      </c>
      <c r="E14" s="949">
        <v>44649</v>
      </c>
      <c r="F14" s="950">
        <f t="shared" ref="F14:F29" si="8">D14</f>
        <v>172.69</v>
      </c>
      <c r="G14" s="469" t="s">
        <v>116</v>
      </c>
      <c r="H14" s="535">
        <v>36</v>
      </c>
      <c r="I14" s="322">
        <f t="shared" si="5"/>
        <v>1011.46</v>
      </c>
      <c r="J14" s="60">
        <f t="shared" si="1"/>
        <v>6216.84</v>
      </c>
      <c r="L14" s="75"/>
      <c r="M14" s="195">
        <f t="shared" si="6"/>
        <v>24</v>
      </c>
      <c r="N14" s="15"/>
      <c r="O14" s="69">
        <v>0</v>
      </c>
      <c r="P14" s="495"/>
      <c r="Q14" s="279">
        <f t="shared" si="2"/>
        <v>0</v>
      </c>
      <c r="R14" s="265"/>
      <c r="S14" s="266"/>
      <c r="T14" s="322">
        <f t="shared" si="7"/>
        <v>660.95</v>
      </c>
      <c r="U14" s="60">
        <f t="shared" si="3"/>
        <v>0</v>
      </c>
    </row>
    <row r="15" spans="1:21" x14ac:dyDescent="0.25">
      <c r="A15" s="75"/>
      <c r="B15" s="195">
        <f t="shared" si="4"/>
        <v>33</v>
      </c>
      <c r="C15" s="15">
        <v>2</v>
      </c>
      <c r="D15" s="468">
        <v>58.26</v>
      </c>
      <c r="E15" s="951">
        <v>44649</v>
      </c>
      <c r="F15" s="950">
        <f t="shared" si="8"/>
        <v>58.26</v>
      </c>
      <c r="G15" s="469" t="s">
        <v>117</v>
      </c>
      <c r="H15" s="535">
        <v>36</v>
      </c>
      <c r="I15" s="322">
        <f t="shared" si="5"/>
        <v>953.2</v>
      </c>
      <c r="J15" s="60">
        <f t="shared" si="1"/>
        <v>2097.36</v>
      </c>
      <c r="L15" s="75"/>
      <c r="M15" s="195">
        <f t="shared" si="6"/>
        <v>24</v>
      </c>
      <c r="N15" s="15"/>
      <c r="O15" s="69">
        <v>0</v>
      </c>
      <c r="P15" s="336"/>
      <c r="Q15" s="279">
        <f t="shared" si="2"/>
        <v>0</v>
      </c>
      <c r="R15" s="265"/>
      <c r="S15" s="266"/>
      <c r="T15" s="322">
        <f t="shared" si="7"/>
        <v>660.95</v>
      </c>
      <c r="U15" s="60">
        <f t="shared" si="3"/>
        <v>0</v>
      </c>
    </row>
    <row r="16" spans="1:21" x14ac:dyDescent="0.25">
      <c r="A16" s="75"/>
      <c r="B16" s="195">
        <f t="shared" si="4"/>
        <v>30</v>
      </c>
      <c r="C16" s="15">
        <v>3</v>
      </c>
      <c r="D16" s="468">
        <v>89.51</v>
      </c>
      <c r="E16" s="951">
        <v>44649</v>
      </c>
      <c r="F16" s="950">
        <f t="shared" si="8"/>
        <v>89.51</v>
      </c>
      <c r="G16" s="469" t="s">
        <v>119</v>
      </c>
      <c r="H16" s="535">
        <v>36</v>
      </c>
      <c r="I16" s="322">
        <f t="shared" si="5"/>
        <v>863.69</v>
      </c>
      <c r="J16" s="60">
        <f t="shared" si="1"/>
        <v>3222.36</v>
      </c>
      <c r="L16" s="75"/>
      <c r="M16" s="195">
        <f t="shared" si="6"/>
        <v>24</v>
      </c>
      <c r="N16" s="15"/>
      <c r="O16" s="69">
        <v>0</v>
      </c>
      <c r="P16" s="336"/>
      <c r="Q16" s="279">
        <f t="shared" si="2"/>
        <v>0</v>
      </c>
      <c r="R16" s="265"/>
      <c r="S16" s="266"/>
      <c r="T16" s="322">
        <f t="shared" si="7"/>
        <v>660.95</v>
      </c>
      <c r="U16" s="60">
        <f t="shared" si="3"/>
        <v>0</v>
      </c>
    </row>
    <row r="17" spans="1:21" x14ac:dyDescent="0.25">
      <c r="A17" s="75"/>
      <c r="B17" s="195">
        <f t="shared" si="4"/>
        <v>19</v>
      </c>
      <c r="C17" s="15">
        <v>11</v>
      </c>
      <c r="D17" s="468">
        <v>317.7</v>
      </c>
      <c r="E17" s="951">
        <v>44657</v>
      </c>
      <c r="F17" s="950">
        <f t="shared" si="8"/>
        <v>317.7</v>
      </c>
      <c r="G17" s="469" t="s">
        <v>134</v>
      </c>
      <c r="H17" s="535">
        <v>36</v>
      </c>
      <c r="I17" s="322">
        <f t="shared" si="5"/>
        <v>545.99</v>
      </c>
      <c r="J17" s="60">
        <f t="shared" si="1"/>
        <v>11437.199999999999</v>
      </c>
      <c r="L17" s="75"/>
      <c r="M17" s="195">
        <f t="shared" si="6"/>
        <v>24</v>
      </c>
      <c r="N17" s="15"/>
      <c r="O17" s="69">
        <v>0</v>
      </c>
      <c r="P17" s="336"/>
      <c r="Q17" s="279">
        <f t="shared" si="2"/>
        <v>0</v>
      </c>
      <c r="R17" s="265"/>
      <c r="S17" s="266"/>
      <c r="T17" s="322">
        <f t="shared" si="7"/>
        <v>660.95</v>
      </c>
      <c r="U17" s="60">
        <f t="shared" si="3"/>
        <v>0</v>
      </c>
    </row>
    <row r="18" spans="1:21" x14ac:dyDescent="0.25">
      <c r="A18" s="75"/>
      <c r="B18" s="195">
        <f t="shared" si="4"/>
        <v>18</v>
      </c>
      <c r="C18" s="15">
        <v>1</v>
      </c>
      <c r="D18" s="468">
        <v>30.29</v>
      </c>
      <c r="E18" s="951">
        <v>44663</v>
      </c>
      <c r="F18" s="950">
        <f t="shared" si="8"/>
        <v>30.29</v>
      </c>
      <c r="G18" s="536" t="s">
        <v>149</v>
      </c>
      <c r="H18" s="537">
        <v>36</v>
      </c>
      <c r="I18" s="322">
        <f t="shared" si="5"/>
        <v>515.70000000000005</v>
      </c>
      <c r="J18" s="60">
        <f t="shared" si="1"/>
        <v>1090.44</v>
      </c>
      <c r="L18" s="75"/>
      <c r="M18" s="195">
        <f t="shared" si="6"/>
        <v>24</v>
      </c>
      <c r="N18" s="15"/>
      <c r="O18" s="69">
        <v>0</v>
      </c>
      <c r="P18" s="336"/>
      <c r="Q18" s="279">
        <f t="shared" si="2"/>
        <v>0</v>
      </c>
      <c r="R18" s="70"/>
      <c r="S18" s="71"/>
      <c r="T18" s="322">
        <f t="shared" si="7"/>
        <v>660.95</v>
      </c>
      <c r="U18" s="60">
        <f t="shared" si="3"/>
        <v>0</v>
      </c>
    </row>
    <row r="19" spans="1:21" x14ac:dyDescent="0.25">
      <c r="A19" s="75"/>
      <c r="B19" s="195">
        <f t="shared" si="4"/>
        <v>15</v>
      </c>
      <c r="C19" s="15">
        <v>3</v>
      </c>
      <c r="D19" s="468">
        <v>83.89</v>
      </c>
      <c r="E19" s="951">
        <v>44664</v>
      </c>
      <c r="F19" s="950">
        <f t="shared" si="8"/>
        <v>83.89</v>
      </c>
      <c r="G19" s="536" t="s">
        <v>158</v>
      </c>
      <c r="H19" s="537">
        <v>36</v>
      </c>
      <c r="I19" s="322">
        <f t="shared" si="5"/>
        <v>431.81000000000006</v>
      </c>
      <c r="J19" s="60">
        <f t="shared" si="1"/>
        <v>3020.04</v>
      </c>
      <c r="L19" s="75"/>
      <c r="M19" s="195">
        <f t="shared" si="6"/>
        <v>24</v>
      </c>
      <c r="N19" s="15"/>
      <c r="O19" s="69">
        <v>0</v>
      </c>
      <c r="P19" s="336"/>
      <c r="Q19" s="279">
        <f t="shared" si="2"/>
        <v>0</v>
      </c>
      <c r="R19" s="70"/>
      <c r="S19" s="71"/>
      <c r="T19" s="322">
        <f t="shared" si="7"/>
        <v>660.95</v>
      </c>
      <c r="U19" s="60">
        <f t="shared" si="3"/>
        <v>0</v>
      </c>
    </row>
    <row r="20" spans="1:21" x14ac:dyDescent="0.25">
      <c r="A20" s="75"/>
      <c r="B20" s="195">
        <f t="shared" si="4"/>
        <v>3</v>
      </c>
      <c r="C20" s="15">
        <v>12</v>
      </c>
      <c r="D20" s="468">
        <v>341.61</v>
      </c>
      <c r="E20" s="951">
        <v>44679</v>
      </c>
      <c r="F20" s="950">
        <f t="shared" si="8"/>
        <v>341.61</v>
      </c>
      <c r="G20" s="536" t="s">
        <v>201</v>
      </c>
      <c r="H20" s="537">
        <v>36</v>
      </c>
      <c r="I20" s="322">
        <f t="shared" si="5"/>
        <v>90.200000000000045</v>
      </c>
      <c r="J20" s="60">
        <f t="shared" si="1"/>
        <v>12297.960000000001</v>
      </c>
      <c r="L20" s="75"/>
      <c r="M20" s="195">
        <f t="shared" si="6"/>
        <v>24</v>
      </c>
      <c r="N20" s="15"/>
      <c r="O20" s="69">
        <v>0</v>
      </c>
      <c r="P20" s="336"/>
      <c r="Q20" s="279">
        <f t="shared" si="2"/>
        <v>0</v>
      </c>
      <c r="R20" s="265"/>
      <c r="S20" s="266"/>
      <c r="T20" s="322">
        <f t="shared" si="7"/>
        <v>660.95</v>
      </c>
      <c r="U20" s="60">
        <f t="shared" si="3"/>
        <v>0</v>
      </c>
    </row>
    <row r="21" spans="1:21" x14ac:dyDescent="0.25">
      <c r="A21" s="75"/>
      <c r="B21" s="195">
        <f t="shared" si="4"/>
        <v>0</v>
      </c>
      <c r="C21" s="15">
        <v>3</v>
      </c>
      <c r="D21" s="1033">
        <v>90.2</v>
      </c>
      <c r="E21" s="1067">
        <v>44686</v>
      </c>
      <c r="F21" s="1066">
        <f t="shared" si="8"/>
        <v>90.2</v>
      </c>
      <c r="G21" s="1034" t="s">
        <v>396</v>
      </c>
      <c r="H21" s="1035">
        <v>36</v>
      </c>
      <c r="I21" s="322">
        <f t="shared" si="5"/>
        <v>0</v>
      </c>
      <c r="J21" s="60">
        <f t="shared" si="1"/>
        <v>3247.2000000000003</v>
      </c>
      <c r="L21" s="75"/>
      <c r="M21" s="195">
        <f t="shared" si="6"/>
        <v>24</v>
      </c>
      <c r="N21" s="15"/>
      <c r="O21" s="69">
        <v>0</v>
      </c>
      <c r="P21" s="336"/>
      <c r="Q21" s="279">
        <f t="shared" si="2"/>
        <v>0</v>
      </c>
      <c r="R21" s="265"/>
      <c r="S21" s="266"/>
      <c r="T21" s="322">
        <f t="shared" si="7"/>
        <v>660.95</v>
      </c>
      <c r="U21" s="60">
        <f t="shared" si="3"/>
        <v>0</v>
      </c>
    </row>
    <row r="22" spans="1:21" x14ac:dyDescent="0.25">
      <c r="A22" s="75"/>
      <c r="B22" s="195">
        <f t="shared" si="4"/>
        <v>0</v>
      </c>
      <c r="C22" s="15"/>
      <c r="D22" s="1033">
        <v>0</v>
      </c>
      <c r="E22" s="1067"/>
      <c r="F22" s="1066">
        <f t="shared" si="8"/>
        <v>0</v>
      </c>
      <c r="G22" s="1062"/>
      <c r="H22" s="1063"/>
      <c r="I22" s="1068">
        <f t="shared" si="5"/>
        <v>0</v>
      </c>
      <c r="J22" s="60">
        <f t="shared" si="1"/>
        <v>0</v>
      </c>
      <c r="L22" s="75"/>
      <c r="M22" s="195">
        <f t="shared" si="6"/>
        <v>24</v>
      </c>
      <c r="N22" s="15"/>
      <c r="O22" s="69">
        <v>0</v>
      </c>
      <c r="P22" s="336"/>
      <c r="Q22" s="279">
        <f t="shared" si="2"/>
        <v>0</v>
      </c>
      <c r="R22" s="265"/>
      <c r="S22" s="266"/>
      <c r="T22" s="322">
        <f t="shared" si="7"/>
        <v>660.95</v>
      </c>
      <c r="U22" s="60">
        <f t="shared" si="3"/>
        <v>0</v>
      </c>
    </row>
    <row r="23" spans="1:21" x14ac:dyDescent="0.25">
      <c r="A23" s="19"/>
      <c r="B23" s="195">
        <f t="shared" si="4"/>
        <v>0</v>
      </c>
      <c r="C23" s="73"/>
      <c r="D23" s="1033">
        <v>0</v>
      </c>
      <c r="E23" s="1042"/>
      <c r="F23" s="1066">
        <f t="shared" si="8"/>
        <v>0</v>
      </c>
      <c r="G23" s="1062"/>
      <c r="H23" s="1063"/>
      <c r="I23" s="1068">
        <f t="shared" si="5"/>
        <v>0</v>
      </c>
      <c r="J23" s="60">
        <f t="shared" si="1"/>
        <v>0</v>
      </c>
      <c r="L23" s="19"/>
      <c r="M23" s="195">
        <f t="shared" si="6"/>
        <v>24</v>
      </c>
      <c r="N23" s="73"/>
      <c r="O23" s="69">
        <v>0</v>
      </c>
      <c r="P23" s="134"/>
      <c r="Q23" s="279">
        <f t="shared" si="2"/>
        <v>0</v>
      </c>
      <c r="R23" s="265"/>
      <c r="S23" s="266"/>
      <c r="T23" s="322">
        <f t="shared" si="7"/>
        <v>660.95</v>
      </c>
      <c r="U23" s="60">
        <f t="shared" si="3"/>
        <v>0</v>
      </c>
    </row>
    <row r="24" spans="1:21" x14ac:dyDescent="0.25">
      <c r="A24" s="19"/>
      <c r="B24" s="195">
        <f t="shared" si="4"/>
        <v>0</v>
      </c>
      <c r="C24" s="73"/>
      <c r="D24" s="1033">
        <v>0</v>
      </c>
      <c r="E24" s="1042"/>
      <c r="F24" s="1066">
        <f t="shared" si="8"/>
        <v>0</v>
      </c>
      <c r="G24" s="1062"/>
      <c r="H24" s="1063"/>
      <c r="I24" s="1068">
        <f t="shared" si="5"/>
        <v>0</v>
      </c>
      <c r="J24" s="60">
        <f t="shared" si="1"/>
        <v>0</v>
      </c>
      <c r="L24" s="19"/>
      <c r="M24" s="195">
        <f t="shared" si="6"/>
        <v>24</v>
      </c>
      <c r="N24" s="73"/>
      <c r="O24" s="69">
        <v>0</v>
      </c>
      <c r="P24" s="1042"/>
      <c r="Q24" s="279">
        <f t="shared" si="2"/>
        <v>0</v>
      </c>
      <c r="R24" s="265"/>
      <c r="S24" s="266"/>
      <c r="T24" s="322">
        <f t="shared" si="7"/>
        <v>660.95</v>
      </c>
      <c r="U24" s="60">
        <f t="shared" si="3"/>
        <v>0</v>
      </c>
    </row>
    <row r="25" spans="1:21" x14ac:dyDescent="0.25">
      <c r="A25" s="19"/>
      <c r="B25" s="195">
        <f t="shared" si="4"/>
        <v>0</v>
      </c>
      <c r="C25" s="73"/>
      <c r="D25" s="1033">
        <v>0</v>
      </c>
      <c r="E25" s="1042"/>
      <c r="F25" s="1066">
        <f t="shared" si="8"/>
        <v>0</v>
      </c>
      <c r="G25" s="1062"/>
      <c r="H25" s="1063"/>
      <c r="I25" s="1068">
        <f t="shared" si="5"/>
        <v>0</v>
      </c>
      <c r="J25" s="60">
        <f t="shared" si="1"/>
        <v>0</v>
      </c>
      <c r="L25" s="19"/>
      <c r="M25" s="195">
        <f t="shared" si="6"/>
        <v>24</v>
      </c>
      <c r="N25" s="73"/>
      <c r="O25" s="69">
        <v>0</v>
      </c>
      <c r="P25" s="1042"/>
      <c r="Q25" s="279">
        <f t="shared" si="2"/>
        <v>0</v>
      </c>
      <c r="R25" s="1037"/>
      <c r="S25" s="1038"/>
      <c r="T25" s="322">
        <f t="shared" si="7"/>
        <v>660.95</v>
      </c>
      <c r="U25" s="60">
        <f t="shared" si="3"/>
        <v>0</v>
      </c>
    </row>
    <row r="26" spans="1:21" x14ac:dyDescent="0.25">
      <c r="A26" s="19"/>
      <c r="B26" s="195">
        <f t="shared" si="4"/>
        <v>0</v>
      </c>
      <c r="C26" s="15"/>
      <c r="D26" s="1033">
        <v>0</v>
      </c>
      <c r="E26" s="1042"/>
      <c r="F26" s="1066">
        <f t="shared" si="8"/>
        <v>0</v>
      </c>
      <c r="G26" s="1034"/>
      <c r="H26" s="1035"/>
      <c r="I26" s="322">
        <f t="shared" si="5"/>
        <v>0</v>
      </c>
      <c r="J26" s="60">
        <f t="shared" si="1"/>
        <v>0</v>
      </c>
      <c r="L26" s="19"/>
      <c r="M26" s="195">
        <f t="shared" si="6"/>
        <v>24</v>
      </c>
      <c r="N26" s="15"/>
      <c r="O26" s="69">
        <v>0</v>
      </c>
      <c r="P26" s="1042"/>
      <c r="Q26" s="279">
        <f t="shared" si="2"/>
        <v>0</v>
      </c>
      <c r="R26" s="1037"/>
      <c r="S26" s="1038"/>
      <c r="T26" s="322">
        <f t="shared" si="7"/>
        <v>660.95</v>
      </c>
      <c r="U26" s="60">
        <f t="shared" si="3"/>
        <v>0</v>
      </c>
    </row>
    <row r="27" spans="1:21" x14ac:dyDescent="0.25">
      <c r="A27" s="19"/>
      <c r="B27" s="195">
        <f t="shared" si="4"/>
        <v>0</v>
      </c>
      <c r="C27" s="15"/>
      <c r="D27" s="1033">
        <v>0</v>
      </c>
      <c r="E27" s="1042"/>
      <c r="F27" s="1066">
        <f t="shared" si="8"/>
        <v>0</v>
      </c>
      <c r="G27" s="1034"/>
      <c r="H27" s="1035"/>
      <c r="I27" s="322">
        <f t="shared" si="5"/>
        <v>0</v>
      </c>
      <c r="J27" s="60">
        <f t="shared" si="1"/>
        <v>0</v>
      </c>
      <c r="L27" s="19"/>
      <c r="M27" s="195">
        <f t="shared" si="6"/>
        <v>24</v>
      </c>
      <c r="N27" s="15"/>
      <c r="O27" s="69">
        <v>0</v>
      </c>
      <c r="P27" s="1042"/>
      <c r="Q27" s="279">
        <f t="shared" si="2"/>
        <v>0</v>
      </c>
      <c r="R27" s="1037"/>
      <c r="S27" s="1038"/>
      <c r="T27" s="322">
        <f t="shared" si="7"/>
        <v>660.95</v>
      </c>
      <c r="U27" s="60">
        <f t="shared" si="3"/>
        <v>0</v>
      </c>
    </row>
    <row r="28" spans="1:21" x14ac:dyDescent="0.25">
      <c r="B28" s="195">
        <f t="shared" si="4"/>
        <v>0</v>
      </c>
      <c r="C28" s="15"/>
      <c r="D28" s="69">
        <v>0</v>
      </c>
      <c r="E28" s="134"/>
      <c r="F28" s="279">
        <f t="shared" si="8"/>
        <v>0</v>
      </c>
      <c r="G28" s="70"/>
      <c r="H28" s="71"/>
      <c r="I28" s="322">
        <f t="shared" si="5"/>
        <v>0</v>
      </c>
      <c r="J28" s="60">
        <f t="shared" si="1"/>
        <v>0</v>
      </c>
      <c r="M28" s="195">
        <f t="shared" si="6"/>
        <v>24</v>
      </c>
      <c r="N28" s="15"/>
      <c r="O28" s="69">
        <v>0</v>
      </c>
      <c r="P28" s="134"/>
      <c r="Q28" s="279">
        <f t="shared" si="2"/>
        <v>0</v>
      </c>
      <c r="R28" s="70"/>
      <c r="S28" s="71"/>
      <c r="T28" s="322">
        <f t="shared" si="7"/>
        <v>660.95</v>
      </c>
      <c r="U28" s="60">
        <f t="shared" si="3"/>
        <v>0</v>
      </c>
    </row>
    <row r="29" spans="1:21" ht="15.75" thickBot="1" x14ac:dyDescent="0.3">
      <c r="A29" s="121"/>
      <c r="B29" s="195">
        <f t="shared" si="4"/>
        <v>0</v>
      </c>
      <c r="C29" s="37"/>
      <c r="D29" s="69">
        <v>0</v>
      </c>
      <c r="E29" s="327"/>
      <c r="F29" s="279">
        <f t="shared" si="8"/>
        <v>0</v>
      </c>
      <c r="G29" s="139"/>
      <c r="H29" s="211"/>
      <c r="I29" s="157"/>
      <c r="J29" s="60">
        <f>SUM(J9:J28)</f>
        <v>72474.100000000006</v>
      </c>
      <c r="L29" s="121"/>
      <c r="M29" s="195">
        <f t="shared" si="6"/>
        <v>24</v>
      </c>
      <c r="N29" s="37"/>
      <c r="O29" s="69">
        <v>0</v>
      </c>
      <c r="P29" s="327"/>
      <c r="Q29" s="279">
        <f t="shared" si="2"/>
        <v>0</v>
      </c>
      <c r="R29" s="139"/>
      <c r="S29" s="211"/>
      <c r="T29" s="157"/>
      <c r="U29" s="60">
        <f>SUM(U9:U28)</f>
        <v>0</v>
      </c>
    </row>
    <row r="30" spans="1:21" ht="15.75" thickTop="1" x14ac:dyDescent="0.25">
      <c r="A30" s="47">
        <f>SUM(A29:A29)</f>
        <v>0</v>
      </c>
      <c r="C30" s="73"/>
      <c r="D30" s="105">
        <f>SUM(D9:D29)</f>
        <v>2013.8500000000001</v>
      </c>
      <c r="E30" s="134"/>
      <c r="F30" s="105">
        <f>SUM(F9:F29)</f>
        <v>2013.8500000000001</v>
      </c>
      <c r="G30" s="157"/>
      <c r="H30" s="157"/>
      <c r="L30" s="47">
        <f>SUM(L29:L29)</f>
        <v>0</v>
      </c>
      <c r="N30" s="73"/>
      <c r="O30" s="105">
        <f>SUM(O9:O29)</f>
        <v>0</v>
      </c>
      <c r="P30" s="134"/>
      <c r="Q30" s="105">
        <f>SUM(Q9:Q29)</f>
        <v>0</v>
      </c>
      <c r="R30" s="157"/>
      <c r="S30" s="157"/>
    </row>
    <row r="31" spans="1:21" ht="15.75" thickBot="1" x14ac:dyDescent="0.3">
      <c r="A31" s="47"/>
      <c r="L31" s="47"/>
    </row>
    <row r="32" spans="1:21" x14ac:dyDescent="0.25">
      <c r="B32" s="197"/>
      <c r="D32" s="1187" t="s">
        <v>21</v>
      </c>
      <c r="E32" s="1188"/>
      <c r="F32" s="141">
        <f>G5-F30</f>
        <v>0</v>
      </c>
      <c r="M32" s="197"/>
      <c r="O32" s="1187" t="s">
        <v>21</v>
      </c>
      <c r="P32" s="1188"/>
      <c r="Q32" s="141">
        <f>R5-Q30</f>
        <v>0</v>
      </c>
    </row>
    <row r="33" spans="1:17" ht="15.75" thickBot="1" x14ac:dyDescent="0.3">
      <c r="A33" s="125"/>
      <c r="D33" s="682" t="s">
        <v>4</v>
      </c>
      <c r="E33" s="683"/>
      <c r="F33" s="49">
        <v>0</v>
      </c>
      <c r="L33" s="125"/>
      <c r="O33" s="1111" t="s">
        <v>4</v>
      </c>
      <c r="P33" s="1112"/>
      <c r="Q33" s="49">
        <v>0</v>
      </c>
    </row>
    <row r="34" spans="1:17" x14ac:dyDescent="0.25">
      <c r="B34" s="197"/>
      <c r="M34" s="197"/>
    </row>
  </sheetData>
  <sortState ref="C11:H13">
    <sortCondition ref="G11:G13"/>
  </sortState>
  <mergeCells count="7">
    <mergeCell ref="A1:G1"/>
    <mergeCell ref="D32:E32"/>
    <mergeCell ref="B4:B5"/>
    <mergeCell ref="L1:R1"/>
    <mergeCell ref="M4:M5"/>
    <mergeCell ref="O32:P32"/>
    <mergeCell ref="L5:L6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H20" sqref="H2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98" t="s">
        <v>222</v>
      </c>
      <c r="B1" s="1198"/>
      <c r="C1" s="1198"/>
      <c r="D1" s="1198"/>
      <c r="E1" s="1198"/>
      <c r="F1" s="1198"/>
      <c r="G1" s="119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84"/>
      <c r="B4" s="484"/>
      <c r="C4" s="484"/>
      <c r="D4" s="484"/>
      <c r="E4" s="943">
        <v>36.32</v>
      </c>
      <c r="F4" s="484">
        <v>8</v>
      </c>
      <c r="G4" s="316"/>
      <c r="H4" s="316"/>
    </row>
    <row r="5" spans="1:9" x14ac:dyDescent="0.25">
      <c r="C5" s="66"/>
      <c r="D5" s="248">
        <v>44620</v>
      </c>
      <c r="E5" s="246">
        <v>22.7</v>
      </c>
      <c r="F5" s="243">
        <v>5</v>
      </c>
      <c r="G5" s="910"/>
    </row>
    <row r="6" spans="1:9" ht="15.75" x14ac:dyDescent="0.25">
      <c r="A6" s="75" t="s">
        <v>66</v>
      </c>
      <c r="B6" s="781" t="s">
        <v>80</v>
      </c>
      <c r="C6" s="310">
        <v>260</v>
      </c>
      <c r="D6" s="248">
        <v>44627</v>
      </c>
      <c r="E6" s="275">
        <v>136.19999999999999</v>
      </c>
      <c r="F6" s="243">
        <v>30</v>
      </c>
      <c r="G6" s="276">
        <f>F27</f>
        <v>231.53999999999994</v>
      </c>
      <c r="H6" s="7">
        <f>E6-G6+E5+E7+E4</f>
        <v>77.180000000000064</v>
      </c>
    </row>
    <row r="7" spans="1:9" ht="15.75" thickBot="1" x14ac:dyDescent="0.3">
      <c r="B7" s="764"/>
      <c r="C7" s="310">
        <v>260</v>
      </c>
      <c r="D7" s="134">
        <v>44634</v>
      </c>
      <c r="E7" s="86">
        <v>113.5</v>
      </c>
      <c r="F7" s="73">
        <v>25</v>
      </c>
    </row>
    <row r="8" spans="1:9" ht="16.5" thickTop="1" thickBot="1" x14ac:dyDescent="0.3">
      <c r="B8" s="375" t="s">
        <v>7</v>
      </c>
      <c r="C8" s="369" t="s">
        <v>8</v>
      </c>
      <c r="D8" s="918" t="s">
        <v>17</v>
      </c>
      <c r="E8" s="371" t="s">
        <v>2</v>
      </c>
      <c r="F8" s="364" t="s">
        <v>18</v>
      </c>
      <c r="G8" s="372" t="s">
        <v>15</v>
      </c>
      <c r="H8" s="24"/>
    </row>
    <row r="9" spans="1:9" ht="15.75" thickTop="1" x14ac:dyDescent="0.25">
      <c r="A9" s="55" t="s">
        <v>32</v>
      </c>
      <c r="B9" s="613">
        <f>F5+F6+F7-C9+F4</f>
        <v>58</v>
      </c>
      <c r="C9" s="243">
        <v>10</v>
      </c>
      <c r="D9" s="264">
        <v>45.4</v>
      </c>
      <c r="E9" s="328">
        <v>44624</v>
      </c>
      <c r="F9" s="105">
        <f t="shared" ref="F9:F26" si="0">D9</f>
        <v>45.4</v>
      </c>
      <c r="G9" s="265" t="s">
        <v>102</v>
      </c>
      <c r="H9" s="266">
        <v>265</v>
      </c>
      <c r="I9" s="47">
        <f>E5+E6+E7-F9+E4</f>
        <v>263.32</v>
      </c>
    </row>
    <row r="10" spans="1:9" x14ac:dyDescent="0.25">
      <c r="B10" s="613">
        <f>B9-C10</f>
        <v>57</v>
      </c>
      <c r="C10" s="243">
        <v>1</v>
      </c>
      <c r="D10" s="264">
        <v>4.54</v>
      </c>
      <c r="E10" s="328">
        <v>44627</v>
      </c>
      <c r="F10" s="275">
        <f t="shared" si="0"/>
        <v>4.54</v>
      </c>
      <c r="G10" s="265" t="s">
        <v>105</v>
      </c>
      <c r="H10" s="266">
        <v>265</v>
      </c>
      <c r="I10" s="262">
        <f>I9-F10</f>
        <v>258.77999999999997</v>
      </c>
    </row>
    <row r="11" spans="1:9" x14ac:dyDescent="0.25">
      <c r="B11" s="613">
        <f>B10-C11</f>
        <v>52</v>
      </c>
      <c r="C11" s="243">
        <v>5</v>
      </c>
      <c r="D11" s="837">
        <v>22.7</v>
      </c>
      <c r="E11" s="838">
        <v>44652</v>
      </c>
      <c r="F11" s="839">
        <f t="shared" si="0"/>
        <v>22.7</v>
      </c>
      <c r="G11" s="469" t="s">
        <v>123</v>
      </c>
      <c r="H11" s="535">
        <v>265</v>
      </c>
      <c r="I11" s="262">
        <f t="shared" ref="I11:I26" si="1">I10-F11</f>
        <v>236.07999999999998</v>
      </c>
    </row>
    <row r="12" spans="1:9" x14ac:dyDescent="0.25">
      <c r="A12" s="55" t="s">
        <v>33</v>
      </c>
      <c r="B12" s="613">
        <f t="shared" ref="B12:B14" si="2">B11-C12</f>
        <v>32</v>
      </c>
      <c r="C12" s="243">
        <v>20</v>
      </c>
      <c r="D12" s="837">
        <v>90.8</v>
      </c>
      <c r="E12" s="838">
        <v>44657</v>
      </c>
      <c r="F12" s="839">
        <f t="shared" si="0"/>
        <v>90.8</v>
      </c>
      <c r="G12" s="469" t="s">
        <v>131</v>
      </c>
      <c r="H12" s="535">
        <v>265</v>
      </c>
      <c r="I12" s="262">
        <f t="shared" si="1"/>
        <v>145.27999999999997</v>
      </c>
    </row>
    <row r="13" spans="1:9" x14ac:dyDescent="0.25">
      <c r="B13" s="613">
        <f t="shared" si="2"/>
        <v>31</v>
      </c>
      <c r="C13" s="243">
        <v>1</v>
      </c>
      <c r="D13" s="837">
        <v>4.54</v>
      </c>
      <c r="E13" s="838">
        <v>44658</v>
      </c>
      <c r="F13" s="839">
        <f t="shared" si="0"/>
        <v>4.54</v>
      </c>
      <c r="G13" s="469" t="s">
        <v>135</v>
      </c>
      <c r="H13" s="535">
        <v>265</v>
      </c>
      <c r="I13" s="262">
        <f t="shared" si="1"/>
        <v>140.73999999999998</v>
      </c>
    </row>
    <row r="14" spans="1:9" x14ac:dyDescent="0.25">
      <c r="A14" s="19"/>
      <c r="B14" s="613">
        <f t="shared" si="2"/>
        <v>26</v>
      </c>
      <c r="C14" s="243">
        <v>5</v>
      </c>
      <c r="D14" s="837">
        <v>22.7</v>
      </c>
      <c r="E14" s="838">
        <v>44665</v>
      </c>
      <c r="F14" s="839">
        <f t="shared" si="0"/>
        <v>22.7</v>
      </c>
      <c r="G14" s="469" t="s">
        <v>165</v>
      </c>
      <c r="H14" s="535">
        <v>265</v>
      </c>
      <c r="I14" s="262">
        <f t="shared" si="1"/>
        <v>118.03999999999998</v>
      </c>
    </row>
    <row r="15" spans="1:9" x14ac:dyDescent="0.25">
      <c r="B15" s="613">
        <f>B14-C15</f>
        <v>25</v>
      </c>
      <c r="C15" s="243">
        <v>1</v>
      </c>
      <c r="D15" s="1043">
        <v>4.54</v>
      </c>
      <c r="E15" s="1069">
        <v>44686</v>
      </c>
      <c r="F15" s="1070">
        <f t="shared" si="0"/>
        <v>4.54</v>
      </c>
      <c r="G15" s="1037" t="s">
        <v>391</v>
      </c>
      <c r="H15" s="1038">
        <v>265</v>
      </c>
      <c r="I15" s="262">
        <f t="shared" si="1"/>
        <v>113.49999999999997</v>
      </c>
    </row>
    <row r="16" spans="1:9" x14ac:dyDescent="0.25">
      <c r="B16" s="613">
        <f t="shared" ref="B16:B26" si="3">B15-C16</f>
        <v>24</v>
      </c>
      <c r="C16" s="243">
        <v>1</v>
      </c>
      <c r="D16" s="1043">
        <v>4.54</v>
      </c>
      <c r="E16" s="1069">
        <v>44690</v>
      </c>
      <c r="F16" s="1070">
        <f t="shared" si="0"/>
        <v>4.54</v>
      </c>
      <c r="G16" s="1037" t="s">
        <v>423</v>
      </c>
      <c r="H16" s="1038">
        <v>265</v>
      </c>
      <c r="I16" s="262">
        <f t="shared" si="1"/>
        <v>108.95999999999997</v>
      </c>
    </row>
    <row r="17" spans="1:9" x14ac:dyDescent="0.25">
      <c r="B17" s="613">
        <f t="shared" si="3"/>
        <v>23</v>
      </c>
      <c r="C17" s="243">
        <v>1</v>
      </c>
      <c r="D17" s="1043">
        <v>4.54</v>
      </c>
      <c r="E17" s="1069">
        <v>44692</v>
      </c>
      <c r="F17" s="1070">
        <f t="shared" si="0"/>
        <v>4.54</v>
      </c>
      <c r="G17" s="1037" t="s">
        <v>451</v>
      </c>
      <c r="H17" s="1038">
        <v>265</v>
      </c>
      <c r="I17" s="262">
        <f t="shared" si="1"/>
        <v>104.41999999999996</v>
      </c>
    </row>
    <row r="18" spans="1:9" x14ac:dyDescent="0.25">
      <c r="B18" s="613">
        <f t="shared" si="3"/>
        <v>18</v>
      </c>
      <c r="C18" s="243">
        <v>5</v>
      </c>
      <c r="D18" s="1043">
        <v>22.7</v>
      </c>
      <c r="E18" s="1069">
        <v>44698</v>
      </c>
      <c r="F18" s="1070">
        <f t="shared" si="0"/>
        <v>22.7</v>
      </c>
      <c r="G18" s="1037" t="s">
        <v>480</v>
      </c>
      <c r="H18" s="1038">
        <v>265</v>
      </c>
      <c r="I18" s="262">
        <f t="shared" si="1"/>
        <v>81.719999999999956</v>
      </c>
    </row>
    <row r="19" spans="1:9" x14ac:dyDescent="0.25">
      <c r="B19" s="613">
        <f t="shared" si="3"/>
        <v>17</v>
      </c>
      <c r="C19" s="243">
        <v>1</v>
      </c>
      <c r="D19" s="1043">
        <v>4.54</v>
      </c>
      <c r="E19" s="1069">
        <v>44701</v>
      </c>
      <c r="F19" s="1070">
        <f t="shared" si="0"/>
        <v>4.54</v>
      </c>
      <c r="G19" s="1037" t="s">
        <v>512</v>
      </c>
      <c r="H19" s="1038">
        <v>265</v>
      </c>
      <c r="I19" s="262">
        <f t="shared" si="1"/>
        <v>77.17999999999995</v>
      </c>
    </row>
    <row r="20" spans="1:9" x14ac:dyDescent="0.25">
      <c r="B20" s="613">
        <f t="shared" si="3"/>
        <v>17</v>
      </c>
      <c r="C20" s="243"/>
      <c r="D20" s="264">
        <v>0</v>
      </c>
      <c r="E20" s="328"/>
      <c r="F20" s="275">
        <f t="shared" si="0"/>
        <v>0</v>
      </c>
      <c r="G20" s="265"/>
      <c r="H20" s="266"/>
      <c r="I20" s="47">
        <f t="shared" si="1"/>
        <v>77.17999999999995</v>
      </c>
    </row>
    <row r="21" spans="1:9" x14ac:dyDescent="0.25">
      <c r="B21" s="613">
        <f t="shared" si="3"/>
        <v>17</v>
      </c>
      <c r="C21" s="243"/>
      <c r="D21" s="264">
        <v>0</v>
      </c>
      <c r="E21" s="328"/>
      <c r="F21" s="275">
        <f t="shared" si="0"/>
        <v>0</v>
      </c>
      <c r="G21" s="265"/>
      <c r="H21" s="266"/>
      <c r="I21" s="47">
        <f t="shared" si="1"/>
        <v>77.17999999999995</v>
      </c>
    </row>
    <row r="22" spans="1:9" x14ac:dyDescent="0.25">
      <c r="B22" s="613">
        <f t="shared" si="3"/>
        <v>17</v>
      </c>
      <c r="C22" s="243"/>
      <c r="D22" s="264">
        <v>0</v>
      </c>
      <c r="E22" s="328"/>
      <c r="F22" s="275">
        <f t="shared" si="0"/>
        <v>0</v>
      </c>
      <c r="G22" s="265"/>
      <c r="H22" s="266"/>
      <c r="I22" s="47">
        <f t="shared" si="1"/>
        <v>77.17999999999995</v>
      </c>
    </row>
    <row r="23" spans="1:9" x14ac:dyDescent="0.25">
      <c r="B23" s="613">
        <f t="shared" si="3"/>
        <v>17</v>
      </c>
      <c r="C23" s="263"/>
      <c r="D23" s="264">
        <v>0</v>
      </c>
      <c r="E23" s="328"/>
      <c r="F23" s="275">
        <f t="shared" si="0"/>
        <v>0</v>
      </c>
      <c r="G23" s="265"/>
      <c r="H23" s="266"/>
      <c r="I23" s="47">
        <f t="shared" si="1"/>
        <v>77.17999999999995</v>
      </c>
    </row>
    <row r="24" spans="1:9" x14ac:dyDescent="0.25">
      <c r="B24" s="613">
        <f t="shared" si="3"/>
        <v>17</v>
      </c>
      <c r="C24" s="15"/>
      <c r="D24" s="264">
        <v>0</v>
      </c>
      <c r="E24" s="328"/>
      <c r="F24" s="275">
        <f t="shared" si="0"/>
        <v>0</v>
      </c>
      <c r="G24" s="265"/>
      <c r="H24" s="266"/>
      <c r="I24" s="262">
        <f t="shared" si="1"/>
        <v>77.17999999999995</v>
      </c>
    </row>
    <row r="25" spans="1:9" x14ac:dyDescent="0.25">
      <c r="B25" s="613">
        <f t="shared" si="3"/>
        <v>17</v>
      </c>
      <c r="C25" s="15"/>
      <c r="D25" s="264">
        <v>0</v>
      </c>
      <c r="E25" s="324"/>
      <c r="F25" s="275">
        <f t="shared" si="0"/>
        <v>0</v>
      </c>
      <c r="G25" s="265"/>
      <c r="H25" s="266"/>
      <c r="I25" s="262">
        <f t="shared" si="1"/>
        <v>77.17999999999995</v>
      </c>
    </row>
    <row r="26" spans="1:9" ht="15.75" thickBot="1" x14ac:dyDescent="0.3">
      <c r="A26" s="121"/>
      <c r="B26" s="613">
        <f t="shared" si="3"/>
        <v>17</v>
      </c>
      <c r="C26" s="37"/>
      <c r="D26" s="264">
        <v>0</v>
      </c>
      <c r="E26" s="217"/>
      <c r="F26" s="275">
        <f t="shared" si="0"/>
        <v>0</v>
      </c>
      <c r="G26" s="650"/>
      <c r="H26" s="651"/>
      <c r="I26" s="262">
        <f t="shared" si="1"/>
        <v>77.17999999999995</v>
      </c>
    </row>
    <row r="27" spans="1:9" ht="15.75" thickTop="1" x14ac:dyDescent="0.25">
      <c r="A27" s="47">
        <f>SUM(A26:A26)</f>
        <v>0</v>
      </c>
      <c r="C27" s="73">
        <f>SUM(C9:C26)</f>
        <v>51</v>
      </c>
      <c r="D27" s="105">
        <f>SUM(D9:D26)</f>
        <v>231.53999999999994</v>
      </c>
      <c r="E27" s="75"/>
      <c r="F27" s="105">
        <f>SUM(F9:F26)</f>
        <v>231.53999999999994</v>
      </c>
      <c r="G27" s="157"/>
      <c r="H27" s="157"/>
    </row>
    <row r="28" spans="1:9" ht="15.75" thickBot="1" x14ac:dyDescent="0.3">
      <c r="A28" s="47"/>
    </row>
    <row r="29" spans="1:9" x14ac:dyDescent="0.25">
      <c r="B29" s="5"/>
      <c r="D29" s="1187" t="s">
        <v>21</v>
      </c>
      <c r="E29" s="1188"/>
      <c r="F29" s="141">
        <f>E5+E6-F27+E7+E4</f>
        <v>77.180000000000035</v>
      </c>
    </row>
    <row r="30" spans="1:9" ht="15.75" thickBot="1" x14ac:dyDescent="0.3">
      <c r="A30" s="125"/>
      <c r="D30" s="908" t="s">
        <v>4</v>
      </c>
      <c r="E30" s="909"/>
      <c r="F30" s="49">
        <f>F5+F6-C27+F7+F4</f>
        <v>17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02"/>
      <c r="B1" s="1202"/>
      <c r="C1" s="1202"/>
      <c r="D1" s="1202"/>
      <c r="E1" s="1202"/>
      <c r="F1" s="1202"/>
      <c r="G1" s="120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0"/>
      <c r="B4" s="243"/>
      <c r="C4" s="277"/>
      <c r="D4" s="278"/>
      <c r="E4" s="270"/>
      <c r="F4" s="243"/>
      <c r="G4" s="38"/>
    </row>
    <row r="5" spans="1:10" ht="15.75" x14ac:dyDescent="0.25">
      <c r="A5" s="242"/>
      <c r="B5" s="243"/>
      <c r="C5" s="277"/>
      <c r="D5" s="278"/>
      <c r="E5" s="270"/>
      <c r="F5" s="243"/>
      <c r="G5" s="88">
        <f>F30</f>
        <v>0</v>
      </c>
      <c r="H5" s="159">
        <f>E5-G5+E6</f>
        <v>0</v>
      </c>
    </row>
    <row r="6" spans="1:10" ht="15.75" x14ac:dyDescent="0.25">
      <c r="A6" s="250"/>
      <c r="B6" s="629" t="s">
        <v>59</v>
      </c>
      <c r="C6" s="277"/>
      <c r="D6" s="278"/>
      <c r="E6" s="270"/>
      <c r="F6" s="243"/>
      <c r="G6" s="434"/>
      <c r="H6" s="240"/>
      <c r="I6" s="242"/>
    </row>
    <row r="7" spans="1:10" ht="15.75" thickBot="1" x14ac:dyDescent="0.3">
      <c r="B7" s="73"/>
      <c r="C7" s="161"/>
      <c r="D7" s="154"/>
      <c r="E7" s="270"/>
      <c r="F7" s="243"/>
      <c r="G7" s="240"/>
      <c r="H7" s="240"/>
      <c r="I7" s="242"/>
    </row>
    <row r="8" spans="1:10" ht="17.25" thickTop="1" thickBot="1" x14ac:dyDescent="0.3">
      <c r="B8" s="617" t="s">
        <v>7</v>
      </c>
      <c r="C8" s="618" t="s">
        <v>8</v>
      </c>
      <c r="D8" s="619" t="s">
        <v>17</v>
      </c>
      <c r="E8" s="620" t="s">
        <v>2</v>
      </c>
      <c r="F8" s="621" t="s">
        <v>18</v>
      </c>
      <c r="G8" s="616" t="s">
        <v>57</v>
      </c>
      <c r="H8" s="471"/>
      <c r="I8" s="242"/>
    </row>
    <row r="9" spans="1:10" ht="15.75" thickTop="1" x14ac:dyDescent="0.25">
      <c r="A9" s="55" t="s">
        <v>32</v>
      </c>
      <c r="B9" s="89"/>
      <c r="C9" s="622"/>
      <c r="D9" s="623"/>
      <c r="E9" s="624"/>
      <c r="F9" s="625">
        <f>D9</f>
        <v>0</v>
      </c>
      <c r="G9" s="265"/>
      <c r="H9" s="266"/>
      <c r="I9" s="270">
        <f>E5+E6+E4+E7-F9</f>
        <v>0</v>
      </c>
      <c r="J9" s="301">
        <f>H9*F9</f>
        <v>0</v>
      </c>
    </row>
    <row r="10" spans="1:10" x14ac:dyDescent="0.25">
      <c r="B10" s="89"/>
      <c r="C10" s="431"/>
      <c r="D10" s="570"/>
      <c r="E10" s="732"/>
      <c r="F10" s="432">
        <f>D10</f>
        <v>0</v>
      </c>
      <c r="G10" s="265"/>
      <c r="H10" s="266"/>
      <c r="I10" s="270">
        <f>I9-F10</f>
        <v>0</v>
      </c>
      <c r="J10" s="301">
        <f t="shared" ref="J10:J28" si="0">H10*F10</f>
        <v>0</v>
      </c>
    </row>
    <row r="11" spans="1:10" x14ac:dyDescent="0.25">
      <c r="B11" s="89"/>
      <c r="C11" s="431"/>
      <c r="D11" s="570"/>
      <c r="E11" s="732"/>
      <c r="F11" s="432">
        <f t="shared" ref="F11:F29" si="1">D11</f>
        <v>0</v>
      </c>
      <c r="G11" s="265"/>
      <c r="H11" s="266"/>
      <c r="I11" s="270">
        <f t="shared" ref="I11:I28" si="2">I10-F11</f>
        <v>0</v>
      </c>
      <c r="J11" s="301">
        <f t="shared" si="0"/>
        <v>0</v>
      </c>
    </row>
    <row r="12" spans="1:10" x14ac:dyDescent="0.25">
      <c r="A12" s="55" t="s">
        <v>33</v>
      </c>
      <c r="B12" s="89"/>
      <c r="C12" s="431"/>
      <c r="D12" s="570">
        <v>0</v>
      </c>
      <c r="E12" s="732"/>
      <c r="F12" s="432">
        <f t="shared" si="1"/>
        <v>0</v>
      </c>
      <c r="G12" s="265"/>
      <c r="H12" s="266"/>
      <c r="I12" s="270">
        <f t="shared" si="2"/>
        <v>0</v>
      </c>
      <c r="J12" s="301">
        <f t="shared" si="0"/>
        <v>0</v>
      </c>
    </row>
    <row r="13" spans="1:10" x14ac:dyDescent="0.25">
      <c r="B13" s="89"/>
      <c r="C13" s="431"/>
      <c r="D13" s="570">
        <v>0</v>
      </c>
      <c r="E13" s="732"/>
      <c r="F13" s="432">
        <f t="shared" si="1"/>
        <v>0</v>
      </c>
      <c r="G13" s="265"/>
      <c r="H13" s="266"/>
      <c r="I13" s="270">
        <f t="shared" si="2"/>
        <v>0</v>
      </c>
      <c r="J13" s="301">
        <f t="shared" si="0"/>
        <v>0</v>
      </c>
    </row>
    <row r="14" spans="1:10" x14ac:dyDescent="0.25">
      <c r="A14" s="19"/>
      <c r="B14" s="89"/>
      <c r="C14" s="431"/>
      <c r="D14" s="570">
        <v>0</v>
      </c>
      <c r="E14" s="732"/>
      <c r="F14" s="432">
        <f t="shared" si="1"/>
        <v>0</v>
      </c>
      <c r="G14" s="265"/>
      <c r="H14" s="266"/>
      <c r="I14" s="270">
        <f t="shared" si="2"/>
        <v>0</v>
      </c>
      <c r="J14" s="301">
        <f t="shared" si="0"/>
        <v>0</v>
      </c>
    </row>
    <row r="15" spans="1:10" x14ac:dyDescent="0.25">
      <c r="B15" s="89"/>
      <c r="C15" s="431"/>
      <c r="D15" s="570">
        <v>0</v>
      </c>
      <c r="E15" s="732"/>
      <c r="F15" s="432">
        <f t="shared" si="1"/>
        <v>0</v>
      </c>
      <c r="G15" s="265"/>
      <c r="H15" s="266"/>
      <c r="I15" s="270">
        <f t="shared" si="2"/>
        <v>0</v>
      </c>
      <c r="J15" s="301">
        <f t="shared" si="0"/>
        <v>0</v>
      </c>
    </row>
    <row r="16" spans="1:10" x14ac:dyDescent="0.25">
      <c r="B16" s="89"/>
      <c r="C16" s="431"/>
      <c r="D16" s="570">
        <v>0</v>
      </c>
      <c r="E16" s="732"/>
      <c r="F16" s="432">
        <f t="shared" si="1"/>
        <v>0</v>
      </c>
      <c r="G16" s="265"/>
      <c r="H16" s="266"/>
      <c r="I16" s="270">
        <f t="shared" si="2"/>
        <v>0</v>
      </c>
      <c r="J16" s="301">
        <f t="shared" si="0"/>
        <v>0</v>
      </c>
    </row>
    <row r="17" spans="1:10" x14ac:dyDescent="0.25">
      <c r="B17" s="89"/>
      <c r="C17" s="431"/>
      <c r="D17" s="570">
        <v>0</v>
      </c>
      <c r="E17" s="732"/>
      <c r="F17" s="432">
        <f t="shared" si="1"/>
        <v>0</v>
      </c>
      <c r="G17" s="265"/>
      <c r="H17" s="266"/>
      <c r="I17" s="270">
        <f t="shared" si="2"/>
        <v>0</v>
      </c>
      <c r="J17" s="301">
        <f t="shared" si="0"/>
        <v>0</v>
      </c>
    </row>
    <row r="18" spans="1:10" x14ac:dyDescent="0.25">
      <c r="B18" s="89"/>
      <c r="C18" s="431"/>
      <c r="D18" s="570">
        <v>0</v>
      </c>
      <c r="E18" s="732"/>
      <c r="F18" s="432">
        <f t="shared" si="1"/>
        <v>0</v>
      </c>
      <c r="G18" s="265"/>
      <c r="H18" s="266"/>
      <c r="I18" s="270">
        <f t="shared" si="2"/>
        <v>0</v>
      </c>
      <c r="J18" s="301">
        <f t="shared" si="0"/>
        <v>0</v>
      </c>
    </row>
    <row r="19" spans="1:10" x14ac:dyDescent="0.25">
      <c r="B19" s="89"/>
      <c r="C19" s="431"/>
      <c r="D19" s="570">
        <v>0</v>
      </c>
      <c r="E19" s="732"/>
      <c r="F19" s="432">
        <f t="shared" si="1"/>
        <v>0</v>
      </c>
      <c r="G19" s="265"/>
      <c r="H19" s="266"/>
      <c r="I19" s="270">
        <f t="shared" si="2"/>
        <v>0</v>
      </c>
      <c r="J19" s="301">
        <f t="shared" si="0"/>
        <v>0</v>
      </c>
    </row>
    <row r="20" spans="1:10" x14ac:dyDescent="0.25">
      <c r="B20" s="89"/>
      <c r="C20" s="431"/>
      <c r="D20" s="570">
        <v>0</v>
      </c>
      <c r="E20" s="460"/>
      <c r="F20" s="570">
        <f t="shared" si="1"/>
        <v>0</v>
      </c>
      <c r="G20" s="265"/>
      <c r="H20" s="266"/>
      <c r="I20" s="270">
        <f t="shared" si="2"/>
        <v>0</v>
      </c>
      <c r="J20" s="301">
        <f t="shared" si="0"/>
        <v>0</v>
      </c>
    </row>
    <row r="21" spans="1:10" x14ac:dyDescent="0.25">
      <c r="B21" s="89"/>
      <c r="C21" s="431"/>
      <c r="D21" s="570">
        <v>0</v>
      </c>
      <c r="E21" s="460"/>
      <c r="F21" s="570">
        <f t="shared" si="1"/>
        <v>0</v>
      </c>
      <c r="G21" s="265"/>
      <c r="H21" s="266"/>
      <c r="I21" s="270">
        <f t="shared" si="2"/>
        <v>0</v>
      </c>
      <c r="J21" s="301">
        <f t="shared" si="0"/>
        <v>0</v>
      </c>
    </row>
    <row r="22" spans="1:10" x14ac:dyDescent="0.25">
      <c r="B22" s="89"/>
      <c r="C22" s="431"/>
      <c r="D22" s="570">
        <v>0</v>
      </c>
      <c r="E22" s="460"/>
      <c r="F22" s="570">
        <f t="shared" si="1"/>
        <v>0</v>
      </c>
      <c r="G22" s="265"/>
      <c r="H22" s="266"/>
      <c r="I22" s="270">
        <f t="shared" si="2"/>
        <v>0</v>
      </c>
      <c r="J22" s="301">
        <f t="shared" si="0"/>
        <v>0</v>
      </c>
    </row>
    <row r="23" spans="1:10" x14ac:dyDescent="0.25">
      <c r="B23" s="89"/>
      <c r="C23" s="431"/>
      <c r="D23" s="570">
        <v>0</v>
      </c>
      <c r="E23" s="460"/>
      <c r="F23" s="570">
        <f t="shared" si="1"/>
        <v>0</v>
      </c>
      <c r="G23" s="265"/>
      <c r="H23" s="266"/>
      <c r="I23" s="270">
        <f t="shared" si="2"/>
        <v>0</v>
      </c>
      <c r="J23" s="301">
        <f t="shared" si="0"/>
        <v>0</v>
      </c>
    </row>
    <row r="24" spans="1:10" x14ac:dyDescent="0.25">
      <c r="B24" s="89"/>
      <c r="C24" s="431"/>
      <c r="D24" s="570">
        <v>0</v>
      </c>
      <c r="E24" s="460"/>
      <c r="F24" s="570">
        <f t="shared" si="1"/>
        <v>0</v>
      </c>
      <c r="G24" s="265"/>
      <c r="H24" s="266"/>
      <c r="I24" s="270">
        <f t="shared" si="2"/>
        <v>0</v>
      </c>
      <c r="J24" s="301">
        <f t="shared" si="0"/>
        <v>0</v>
      </c>
    </row>
    <row r="25" spans="1:10" x14ac:dyDescent="0.25">
      <c r="B25" s="89"/>
      <c r="C25" s="431"/>
      <c r="D25" s="570">
        <v>0</v>
      </c>
      <c r="E25" s="460"/>
      <c r="F25" s="570">
        <f t="shared" si="1"/>
        <v>0</v>
      </c>
      <c r="G25" s="265"/>
      <c r="H25" s="266"/>
      <c r="I25" s="270">
        <f t="shared" si="2"/>
        <v>0</v>
      </c>
      <c r="J25" s="301">
        <f t="shared" si="0"/>
        <v>0</v>
      </c>
    </row>
    <row r="26" spans="1:10" x14ac:dyDescent="0.25">
      <c r="B26" s="89"/>
      <c r="C26" s="431"/>
      <c r="D26" s="570">
        <v>0</v>
      </c>
      <c r="E26" s="460"/>
      <c r="F26" s="570">
        <f t="shared" si="1"/>
        <v>0</v>
      </c>
      <c r="G26" s="265"/>
      <c r="H26" s="266"/>
      <c r="I26" s="270">
        <f t="shared" si="2"/>
        <v>0</v>
      </c>
      <c r="J26" s="60">
        <f t="shared" si="0"/>
        <v>0</v>
      </c>
    </row>
    <row r="27" spans="1:10" x14ac:dyDescent="0.25">
      <c r="B27" s="89"/>
      <c r="C27" s="431"/>
      <c r="D27" s="570">
        <f t="shared" ref="D27:D28" si="3">C27*B27</f>
        <v>0</v>
      </c>
      <c r="E27" s="460"/>
      <c r="F27" s="570">
        <f t="shared" si="1"/>
        <v>0</v>
      </c>
      <c r="G27" s="265"/>
      <c r="H27" s="266"/>
      <c r="I27" s="270">
        <f t="shared" si="2"/>
        <v>0</v>
      </c>
      <c r="J27" s="60">
        <f t="shared" si="0"/>
        <v>0</v>
      </c>
    </row>
    <row r="28" spans="1:10" x14ac:dyDescent="0.25">
      <c r="B28" s="89"/>
      <c r="C28" s="431"/>
      <c r="D28" s="570">
        <f t="shared" si="3"/>
        <v>0</v>
      </c>
      <c r="E28" s="460"/>
      <c r="F28" s="570">
        <f t="shared" si="1"/>
        <v>0</v>
      </c>
      <c r="G28" s="265"/>
      <c r="H28" s="266"/>
      <c r="I28" s="270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626"/>
      <c r="D29" s="627">
        <f>B29*C29</f>
        <v>0</v>
      </c>
      <c r="E29" s="628"/>
      <c r="F29" s="570">
        <f t="shared" si="1"/>
        <v>0</v>
      </c>
      <c r="G29" s="104"/>
      <c r="H29" s="180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87" t="s">
        <v>21</v>
      </c>
      <c r="E32" s="1188"/>
      <c r="F32" s="141">
        <f>E5-F30+E6+E7</f>
        <v>0</v>
      </c>
    </row>
    <row r="33" spans="1:6" ht="15.75" thickBot="1" x14ac:dyDescent="0.3">
      <c r="A33" s="125"/>
      <c r="D33" s="730" t="s">
        <v>4</v>
      </c>
      <c r="E33" s="731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A16" zoomScaleNormal="100" workbookViewId="0">
      <selection activeCell="H32" sqref="H32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3.85546875" style="569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3.855468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69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69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69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69" bestFit="1" customWidth="1"/>
    <col min="80" max="80" width="13.85546875" style="569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69" customWidth="1"/>
    <col min="90" max="90" width="11.42578125" style="569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69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69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69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69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69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69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69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69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69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69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69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69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69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69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569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69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569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69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69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69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69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5" width="10.42578125" style="75" bestFit="1" customWidth="1"/>
    <col min="306" max="306" width="10.7109375" style="75" bestFit="1" customWidth="1"/>
    <col min="307" max="307" width="13.140625" style="75" bestFit="1" customWidth="1"/>
    <col min="308" max="308" width="9.5703125" style="75" bestFit="1" customWidth="1"/>
    <col min="309" max="309" width="18.85546875" style="569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69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69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52" t="s">
        <v>35</v>
      </c>
      <c r="C1" s="353"/>
      <c r="D1" s="353"/>
      <c r="E1" s="345"/>
      <c r="F1" s="354"/>
      <c r="G1" s="355"/>
      <c r="H1" s="355"/>
      <c r="I1" s="355"/>
      <c r="K1" s="1197" t="s">
        <v>215</v>
      </c>
      <c r="L1" s="1197"/>
      <c r="M1" s="1197"/>
      <c r="N1" s="1197"/>
      <c r="O1" s="1197"/>
      <c r="P1" s="1197"/>
      <c r="Q1" s="1197"/>
      <c r="R1" s="356">
        <f>I1+1</f>
        <v>1</v>
      </c>
      <c r="S1" s="356"/>
      <c r="U1" s="1191" t="str">
        <f>K1</f>
        <v>ENTRADAS DEL MES DE   MAYO  2022</v>
      </c>
      <c r="V1" s="1191"/>
      <c r="W1" s="1191"/>
      <c r="X1" s="1191"/>
      <c r="Y1" s="1191"/>
      <c r="Z1" s="1191"/>
      <c r="AA1" s="1191"/>
      <c r="AB1" s="356">
        <f>R1+1</f>
        <v>2</v>
      </c>
      <c r="AC1" s="571"/>
      <c r="AE1" s="1191" t="str">
        <f>U1</f>
        <v>ENTRADAS DEL MES DE   MAYO  2022</v>
      </c>
      <c r="AF1" s="1191"/>
      <c r="AG1" s="1191"/>
      <c r="AH1" s="1191"/>
      <c r="AI1" s="1191"/>
      <c r="AJ1" s="1191"/>
      <c r="AK1" s="1191"/>
      <c r="AL1" s="356">
        <f>AB1+1</f>
        <v>3</v>
      </c>
      <c r="AM1" s="356"/>
      <c r="AO1" s="1191" t="str">
        <f>AE1</f>
        <v>ENTRADAS DEL MES DE   MAYO  2022</v>
      </c>
      <c r="AP1" s="1191"/>
      <c r="AQ1" s="1191"/>
      <c r="AR1" s="1191"/>
      <c r="AS1" s="1191"/>
      <c r="AT1" s="1191"/>
      <c r="AU1" s="1191"/>
      <c r="AV1" s="356">
        <f>AL1+1</f>
        <v>4</v>
      </c>
      <c r="AW1" s="571"/>
      <c r="AY1" s="1191" t="str">
        <f>AO1</f>
        <v>ENTRADAS DEL MES DE   MAYO  2022</v>
      </c>
      <c r="AZ1" s="1191"/>
      <c r="BA1" s="1191"/>
      <c r="BB1" s="1191"/>
      <c r="BC1" s="1191"/>
      <c r="BD1" s="1191"/>
      <c r="BE1" s="1191"/>
      <c r="BF1" s="356">
        <f>AV1+1</f>
        <v>5</v>
      </c>
      <c r="BG1" s="600"/>
      <c r="BI1" s="1191" t="str">
        <f>AY1</f>
        <v>ENTRADAS DEL MES DE   MAYO  2022</v>
      </c>
      <c r="BJ1" s="1191"/>
      <c r="BK1" s="1191"/>
      <c r="BL1" s="1191"/>
      <c r="BM1" s="1191"/>
      <c r="BN1" s="1191"/>
      <c r="BO1" s="1191"/>
      <c r="BP1" s="356">
        <f>BF1+1</f>
        <v>6</v>
      </c>
      <c r="BQ1" s="571"/>
      <c r="BS1" s="1191" t="str">
        <f>BI1</f>
        <v>ENTRADAS DEL MES DE   MAYO  2022</v>
      </c>
      <c r="BT1" s="1191"/>
      <c r="BU1" s="1191"/>
      <c r="BV1" s="1191"/>
      <c r="BW1" s="1191"/>
      <c r="BX1" s="1191"/>
      <c r="BY1" s="1191"/>
      <c r="BZ1" s="356">
        <f>BP1+1</f>
        <v>7</v>
      </c>
      <c r="CC1" s="1191" t="str">
        <f>BS1</f>
        <v>ENTRADAS DEL MES DE   MAYO  2022</v>
      </c>
      <c r="CD1" s="1191"/>
      <c r="CE1" s="1191"/>
      <c r="CF1" s="1191"/>
      <c r="CG1" s="1191"/>
      <c r="CH1" s="1191"/>
      <c r="CI1" s="1191"/>
      <c r="CJ1" s="356">
        <f>BZ1+1</f>
        <v>8</v>
      </c>
      <c r="CM1" s="1191" t="str">
        <f>CC1</f>
        <v>ENTRADAS DEL MES DE   MAYO  2022</v>
      </c>
      <c r="CN1" s="1191"/>
      <c r="CO1" s="1191"/>
      <c r="CP1" s="1191"/>
      <c r="CQ1" s="1191"/>
      <c r="CR1" s="1191"/>
      <c r="CS1" s="1191"/>
      <c r="CT1" s="356">
        <f>CJ1+1</f>
        <v>9</v>
      </c>
      <c r="CU1" s="571"/>
      <c r="CW1" s="1191" t="str">
        <f>CM1</f>
        <v>ENTRADAS DEL MES DE   MAYO  2022</v>
      </c>
      <c r="CX1" s="1191"/>
      <c r="CY1" s="1191"/>
      <c r="CZ1" s="1191"/>
      <c r="DA1" s="1191"/>
      <c r="DB1" s="1191"/>
      <c r="DC1" s="1191"/>
      <c r="DD1" s="356">
        <f>CT1+1</f>
        <v>10</v>
      </c>
      <c r="DE1" s="571"/>
      <c r="DG1" s="1191" t="str">
        <f>CW1</f>
        <v>ENTRADAS DEL MES DE   MAYO  2022</v>
      </c>
      <c r="DH1" s="1191"/>
      <c r="DI1" s="1191"/>
      <c r="DJ1" s="1191"/>
      <c r="DK1" s="1191"/>
      <c r="DL1" s="1191"/>
      <c r="DM1" s="1191"/>
      <c r="DN1" s="356">
        <f>DD1+1</f>
        <v>11</v>
      </c>
      <c r="DO1" s="571"/>
      <c r="DQ1" s="1191" t="str">
        <f>DG1</f>
        <v>ENTRADAS DEL MES DE   MAYO  2022</v>
      </c>
      <c r="DR1" s="1191"/>
      <c r="DS1" s="1191"/>
      <c r="DT1" s="1191"/>
      <c r="DU1" s="1191"/>
      <c r="DV1" s="1191"/>
      <c r="DW1" s="1191"/>
      <c r="DX1" s="356">
        <f>DN1+1</f>
        <v>12</v>
      </c>
      <c r="EA1" s="1191" t="str">
        <f>DQ1</f>
        <v>ENTRADAS DEL MES DE   MAYO  2022</v>
      </c>
      <c r="EB1" s="1191"/>
      <c r="EC1" s="1191"/>
      <c r="ED1" s="1191"/>
      <c r="EE1" s="1191"/>
      <c r="EF1" s="1191"/>
      <c r="EG1" s="1191"/>
      <c r="EH1" s="356">
        <f>DX1+1</f>
        <v>13</v>
      </c>
      <c r="EI1" s="571"/>
      <c r="EK1" s="1191" t="str">
        <f>EA1</f>
        <v>ENTRADAS DEL MES DE   MAYO  2022</v>
      </c>
      <c r="EL1" s="1191"/>
      <c r="EM1" s="1191"/>
      <c r="EN1" s="1191"/>
      <c r="EO1" s="1191"/>
      <c r="EP1" s="1191"/>
      <c r="EQ1" s="1191"/>
      <c r="ER1" s="356">
        <f>EH1+1</f>
        <v>14</v>
      </c>
      <c r="ES1" s="571"/>
      <c r="EU1" s="1191" t="str">
        <f>EK1</f>
        <v>ENTRADAS DEL MES DE   MAYO  2022</v>
      </c>
      <c r="EV1" s="1191"/>
      <c r="EW1" s="1191"/>
      <c r="EX1" s="1191"/>
      <c r="EY1" s="1191"/>
      <c r="EZ1" s="1191"/>
      <c r="FA1" s="1191"/>
      <c r="FB1" s="356">
        <f>ER1+1</f>
        <v>15</v>
      </c>
      <c r="FC1" s="571"/>
      <c r="FE1" s="1191" t="str">
        <f>EU1</f>
        <v>ENTRADAS DEL MES DE   MAYO  2022</v>
      </c>
      <c r="FF1" s="1191"/>
      <c r="FG1" s="1191"/>
      <c r="FH1" s="1191"/>
      <c r="FI1" s="1191"/>
      <c r="FJ1" s="1191"/>
      <c r="FK1" s="1191"/>
      <c r="FL1" s="356">
        <f>FB1+1</f>
        <v>16</v>
      </c>
      <c r="FM1" s="571"/>
      <c r="FO1" s="1191" t="str">
        <f>FE1</f>
        <v>ENTRADAS DEL MES DE   MAYO  2022</v>
      </c>
      <c r="FP1" s="1191"/>
      <c r="FQ1" s="1191"/>
      <c r="FR1" s="1191"/>
      <c r="FS1" s="1191"/>
      <c r="FT1" s="1191"/>
      <c r="FU1" s="1191"/>
      <c r="FV1" s="356">
        <f>FL1+1</f>
        <v>17</v>
      </c>
      <c r="FW1" s="571"/>
      <c r="FY1" s="1191" t="str">
        <f>FO1</f>
        <v>ENTRADAS DEL MES DE   MAYO  2022</v>
      </c>
      <c r="FZ1" s="1191"/>
      <c r="GA1" s="1191"/>
      <c r="GB1" s="1191"/>
      <c r="GC1" s="1191"/>
      <c r="GD1" s="1191"/>
      <c r="GE1" s="1191"/>
      <c r="GF1" s="356">
        <f>FV1+1</f>
        <v>18</v>
      </c>
      <c r="GG1" s="571"/>
      <c r="GH1" s="75" t="s">
        <v>37</v>
      </c>
      <c r="GI1" s="1191" t="str">
        <f>FY1</f>
        <v>ENTRADAS DEL MES DE   MAYO  2022</v>
      </c>
      <c r="GJ1" s="1191"/>
      <c r="GK1" s="1191"/>
      <c r="GL1" s="1191"/>
      <c r="GM1" s="1191"/>
      <c r="GN1" s="1191"/>
      <c r="GO1" s="1191"/>
      <c r="GP1" s="356">
        <f>GF1+1</f>
        <v>19</v>
      </c>
      <c r="GQ1" s="571"/>
      <c r="GS1" s="1191" t="str">
        <f>GI1</f>
        <v>ENTRADAS DEL MES DE   MAYO  2022</v>
      </c>
      <c r="GT1" s="1191"/>
      <c r="GU1" s="1191"/>
      <c r="GV1" s="1191"/>
      <c r="GW1" s="1191"/>
      <c r="GX1" s="1191"/>
      <c r="GY1" s="1191"/>
      <c r="GZ1" s="356">
        <f>GP1+1</f>
        <v>20</v>
      </c>
      <c r="HA1" s="571"/>
      <c r="HC1" s="1191" t="str">
        <f>GS1</f>
        <v>ENTRADAS DEL MES DE   MAYO  2022</v>
      </c>
      <c r="HD1" s="1191"/>
      <c r="HE1" s="1191"/>
      <c r="HF1" s="1191"/>
      <c r="HG1" s="1191"/>
      <c r="HH1" s="1191"/>
      <c r="HI1" s="1191"/>
      <c r="HJ1" s="356">
        <f>GZ1+1</f>
        <v>21</v>
      </c>
      <c r="HK1" s="571"/>
      <c r="HM1" s="1191" t="str">
        <f>HC1</f>
        <v>ENTRADAS DEL MES DE   MAYO  2022</v>
      </c>
      <c r="HN1" s="1191"/>
      <c r="HO1" s="1191"/>
      <c r="HP1" s="1191"/>
      <c r="HQ1" s="1191"/>
      <c r="HR1" s="1191"/>
      <c r="HS1" s="1191"/>
      <c r="HT1" s="356">
        <f>HJ1+1</f>
        <v>22</v>
      </c>
      <c r="HU1" s="571"/>
      <c r="HW1" s="1191" t="str">
        <f>HM1</f>
        <v>ENTRADAS DEL MES DE   MAYO  2022</v>
      </c>
      <c r="HX1" s="1191"/>
      <c r="HY1" s="1191"/>
      <c r="HZ1" s="1191"/>
      <c r="IA1" s="1191"/>
      <c r="IB1" s="1191"/>
      <c r="IC1" s="1191"/>
      <c r="ID1" s="356">
        <f>HT1+1</f>
        <v>23</v>
      </c>
      <c r="IE1" s="571"/>
      <c r="IG1" s="1191" t="str">
        <f>HW1</f>
        <v>ENTRADAS DEL MES DE   MAYO  2022</v>
      </c>
      <c r="IH1" s="1191"/>
      <c r="II1" s="1191"/>
      <c r="IJ1" s="1191"/>
      <c r="IK1" s="1191"/>
      <c r="IL1" s="1191"/>
      <c r="IM1" s="1191"/>
      <c r="IN1" s="356">
        <f>ID1+1</f>
        <v>24</v>
      </c>
      <c r="IO1" s="571"/>
      <c r="IQ1" s="1191" t="str">
        <f>IG1</f>
        <v>ENTRADAS DEL MES DE   MAYO  2022</v>
      </c>
      <c r="IR1" s="1191"/>
      <c r="IS1" s="1191"/>
      <c r="IT1" s="1191"/>
      <c r="IU1" s="1191"/>
      <c r="IV1" s="1191"/>
      <c r="IW1" s="1191"/>
      <c r="IX1" s="356">
        <f>IN1+1</f>
        <v>25</v>
      </c>
      <c r="IY1" s="571"/>
      <c r="JA1" s="1191" t="str">
        <f>IQ1</f>
        <v>ENTRADAS DEL MES DE   MAYO  2022</v>
      </c>
      <c r="JB1" s="1191"/>
      <c r="JC1" s="1191"/>
      <c r="JD1" s="1191"/>
      <c r="JE1" s="1191"/>
      <c r="JF1" s="1191"/>
      <c r="JG1" s="1191"/>
      <c r="JH1" s="356">
        <f>IX1+1</f>
        <v>26</v>
      </c>
      <c r="JI1" s="571"/>
      <c r="JK1" s="1194" t="str">
        <f>JA1</f>
        <v>ENTRADAS DEL MES DE   MAYO  2022</v>
      </c>
      <c r="JL1" s="1194"/>
      <c r="JM1" s="1194"/>
      <c r="JN1" s="1194"/>
      <c r="JO1" s="1194"/>
      <c r="JP1" s="1194"/>
      <c r="JQ1" s="1194"/>
      <c r="JR1" s="356">
        <f>JH1+1</f>
        <v>27</v>
      </c>
      <c r="JS1" s="571"/>
      <c r="JU1" s="1191" t="str">
        <f>JK1</f>
        <v>ENTRADAS DEL MES DE   MAYO  2022</v>
      </c>
      <c r="JV1" s="1191"/>
      <c r="JW1" s="1191"/>
      <c r="JX1" s="1191"/>
      <c r="JY1" s="1191"/>
      <c r="JZ1" s="1191"/>
      <c r="KA1" s="1191"/>
      <c r="KB1" s="356">
        <f>JR1+1</f>
        <v>28</v>
      </c>
      <c r="KC1" s="571"/>
      <c r="KE1" s="1191" t="str">
        <f>JU1</f>
        <v>ENTRADAS DEL MES DE   MAYO  2022</v>
      </c>
      <c r="KF1" s="1191"/>
      <c r="KG1" s="1191"/>
      <c r="KH1" s="1191"/>
      <c r="KI1" s="1191"/>
      <c r="KJ1" s="1191"/>
      <c r="KK1" s="1191"/>
      <c r="KL1" s="356">
        <f>KB1+1</f>
        <v>29</v>
      </c>
      <c r="KM1" s="571"/>
      <c r="KO1" s="1191" t="str">
        <f>KE1</f>
        <v>ENTRADAS DEL MES DE   MAYO  2022</v>
      </c>
      <c r="KP1" s="1191"/>
      <c r="KQ1" s="1191"/>
      <c r="KR1" s="1191"/>
      <c r="KS1" s="1191"/>
      <c r="KT1" s="1191"/>
      <c r="KU1" s="1191"/>
      <c r="KV1" s="356">
        <f>KL1+1</f>
        <v>30</v>
      </c>
      <c r="KW1" s="571"/>
      <c r="KY1" s="1191" t="str">
        <f>KO1</f>
        <v>ENTRADAS DEL MES DE   MAYO  2022</v>
      </c>
      <c r="KZ1" s="1191"/>
      <c r="LA1" s="1191"/>
      <c r="LB1" s="1191"/>
      <c r="LC1" s="1191"/>
      <c r="LD1" s="1191"/>
      <c r="LE1" s="1191"/>
      <c r="LF1" s="356">
        <f>KV1+1</f>
        <v>31</v>
      </c>
      <c r="LG1" s="571"/>
      <c r="LI1" s="1191" t="str">
        <f>KY1</f>
        <v>ENTRADAS DEL MES DE   MAYO  2022</v>
      </c>
      <c r="LJ1" s="1191"/>
      <c r="LK1" s="1191"/>
      <c r="LL1" s="1191"/>
      <c r="LM1" s="1191"/>
      <c r="LN1" s="1191"/>
      <c r="LO1" s="1191"/>
      <c r="LP1" s="356">
        <f>LF1+1</f>
        <v>32</v>
      </c>
      <c r="LQ1" s="571"/>
      <c r="LS1" s="1191" t="str">
        <f>LI1</f>
        <v>ENTRADAS DEL MES DE   MAYO  2022</v>
      </c>
      <c r="LT1" s="1191"/>
      <c r="LU1" s="1191"/>
      <c r="LV1" s="1191"/>
      <c r="LW1" s="1191"/>
      <c r="LX1" s="1191"/>
      <c r="LY1" s="1191"/>
      <c r="LZ1" s="356">
        <f>LP1+1</f>
        <v>33</v>
      </c>
      <c r="MC1" s="1191" t="str">
        <f>LS1</f>
        <v>ENTRADAS DEL MES DE   MAYO  2022</v>
      </c>
      <c r="MD1" s="1191"/>
      <c r="ME1" s="1191"/>
      <c r="MF1" s="1191"/>
      <c r="MG1" s="1191"/>
      <c r="MH1" s="1191"/>
      <c r="MI1" s="1191"/>
      <c r="MJ1" s="356">
        <f>LZ1+1</f>
        <v>34</v>
      </c>
      <c r="MK1" s="356"/>
      <c r="MM1" s="1191" t="str">
        <f>MC1</f>
        <v>ENTRADAS DEL MES DE   MAYO  2022</v>
      </c>
      <c r="MN1" s="1191"/>
      <c r="MO1" s="1191"/>
      <c r="MP1" s="1191"/>
      <c r="MQ1" s="1191"/>
      <c r="MR1" s="1191"/>
      <c r="MS1" s="1191"/>
      <c r="MT1" s="356">
        <f>MJ1+1</f>
        <v>35</v>
      </c>
      <c r="MU1" s="356"/>
      <c r="MW1" s="1191" t="str">
        <f>MM1</f>
        <v>ENTRADAS DEL MES DE   MAYO  2022</v>
      </c>
      <c r="MX1" s="1191"/>
      <c r="MY1" s="1191"/>
      <c r="MZ1" s="1191"/>
      <c r="NA1" s="1191"/>
      <c r="NB1" s="1191"/>
      <c r="NC1" s="1191"/>
      <c r="ND1" s="356">
        <f>MT1+1</f>
        <v>36</v>
      </c>
      <c r="NE1" s="356"/>
      <c r="NG1" s="1191" t="str">
        <f>MW1</f>
        <v>ENTRADAS DEL MES DE   MAYO  2022</v>
      </c>
      <c r="NH1" s="1191"/>
      <c r="NI1" s="1191"/>
      <c r="NJ1" s="1191"/>
      <c r="NK1" s="1191"/>
      <c r="NL1" s="1191"/>
      <c r="NM1" s="1191"/>
      <c r="NN1" s="356">
        <f>ND1+1</f>
        <v>37</v>
      </c>
      <c r="NO1" s="356"/>
      <c r="NQ1" s="1191" t="str">
        <f>NG1</f>
        <v>ENTRADAS DEL MES DE   MAYO  2022</v>
      </c>
      <c r="NR1" s="1191"/>
      <c r="NS1" s="1191"/>
      <c r="NT1" s="1191"/>
      <c r="NU1" s="1191"/>
      <c r="NV1" s="1191"/>
      <c r="NW1" s="1191"/>
      <c r="NX1" s="356">
        <f>NN1+1</f>
        <v>38</v>
      </c>
      <c r="NY1" s="356"/>
      <c r="OA1" s="1191" t="str">
        <f>NQ1</f>
        <v>ENTRADAS DEL MES DE   MAYO  2022</v>
      </c>
      <c r="OB1" s="1191"/>
      <c r="OC1" s="1191"/>
      <c r="OD1" s="1191"/>
      <c r="OE1" s="1191"/>
      <c r="OF1" s="1191"/>
      <c r="OG1" s="1191"/>
      <c r="OH1" s="356">
        <f>NX1+1</f>
        <v>39</v>
      </c>
      <c r="OI1" s="356"/>
      <c r="OK1" s="1191" t="str">
        <f>OA1</f>
        <v>ENTRADAS DEL MES DE   MAYO  2022</v>
      </c>
      <c r="OL1" s="1191"/>
      <c r="OM1" s="1191"/>
      <c r="ON1" s="1191"/>
      <c r="OO1" s="1191"/>
      <c r="OP1" s="1191"/>
      <c r="OQ1" s="1191"/>
      <c r="OR1" s="356">
        <f>OH1+1</f>
        <v>40</v>
      </c>
      <c r="OS1" s="356"/>
      <c r="OU1" s="1191" t="str">
        <f>OK1</f>
        <v>ENTRADAS DEL MES DE   MAYO  2022</v>
      </c>
      <c r="OV1" s="1191"/>
      <c r="OW1" s="1191"/>
      <c r="OX1" s="1191"/>
      <c r="OY1" s="1191"/>
      <c r="OZ1" s="1191"/>
      <c r="PA1" s="1191"/>
      <c r="PB1" s="356">
        <f>OR1+1</f>
        <v>41</v>
      </c>
      <c r="PC1" s="356"/>
      <c r="PE1" s="1191" t="str">
        <f>OU1</f>
        <v>ENTRADAS DEL MES DE   MAYO  2022</v>
      </c>
      <c r="PF1" s="1191"/>
      <c r="PG1" s="1191"/>
      <c r="PH1" s="1191"/>
      <c r="PI1" s="1191"/>
      <c r="PJ1" s="1191"/>
      <c r="PK1" s="1191"/>
      <c r="PL1" s="356">
        <f>PB1+1</f>
        <v>42</v>
      </c>
      <c r="PM1" s="356"/>
      <c r="PO1" s="1191" t="str">
        <f>PE1</f>
        <v>ENTRADAS DEL MES DE   MAYO  2022</v>
      </c>
      <c r="PP1" s="1191"/>
      <c r="PQ1" s="1191"/>
      <c r="PR1" s="1191"/>
      <c r="PS1" s="1191"/>
      <c r="PT1" s="1191"/>
      <c r="PU1" s="1191"/>
      <c r="PV1" s="356">
        <f>PL1+1</f>
        <v>43</v>
      </c>
      <c r="PX1" s="1191" t="str">
        <f>PO1</f>
        <v>ENTRADAS DEL MES DE   MAYO  2022</v>
      </c>
      <c r="PY1" s="1191"/>
      <c r="PZ1" s="1191"/>
      <c r="QA1" s="1191"/>
      <c r="QB1" s="1191"/>
      <c r="QC1" s="1191"/>
      <c r="QD1" s="1191"/>
      <c r="QE1" s="356">
        <f>PV1+1</f>
        <v>44</v>
      </c>
      <c r="QG1" s="1191" t="str">
        <f>PX1</f>
        <v>ENTRADAS DEL MES DE   MAYO  2022</v>
      </c>
      <c r="QH1" s="1191"/>
      <c r="QI1" s="1191"/>
      <c r="QJ1" s="1191"/>
      <c r="QK1" s="1191"/>
      <c r="QL1" s="1191"/>
      <c r="QM1" s="1191"/>
      <c r="QN1" s="356">
        <f>QE1+1</f>
        <v>45</v>
      </c>
      <c r="QP1" s="1191" t="str">
        <f>QG1</f>
        <v>ENTRADAS DEL MES DE   MAYO  2022</v>
      </c>
      <c r="QQ1" s="1191"/>
      <c r="QR1" s="1191"/>
      <c r="QS1" s="1191"/>
      <c r="QT1" s="1191"/>
      <c r="QU1" s="1191"/>
      <c r="QV1" s="1191"/>
      <c r="QW1" s="356">
        <f>QN1+1</f>
        <v>46</v>
      </c>
      <c r="QY1" s="1191" t="str">
        <f>QP1</f>
        <v>ENTRADAS DEL MES DE   MAYO  2022</v>
      </c>
      <c r="QZ1" s="1191"/>
      <c r="RA1" s="1191"/>
      <c r="RB1" s="1191"/>
      <c r="RC1" s="1191"/>
      <c r="RD1" s="1191"/>
      <c r="RE1" s="1191"/>
      <c r="RF1" s="356">
        <f>QW1+1</f>
        <v>47</v>
      </c>
      <c r="RH1" s="1191" t="str">
        <f>QY1</f>
        <v>ENTRADAS DEL MES DE   MAYO  2022</v>
      </c>
      <c r="RI1" s="1191"/>
      <c r="RJ1" s="1191"/>
      <c r="RK1" s="1191"/>
      <c r="RL1" s="1191"/>
      <c r="RM1" s="1191"/>
      <c r="RN1" s="1191"/>
      <c r="RO1" s="356">
        <f>RF1+1</f>
        <v>48</v>
      </c>
      <c r="RQ1" s="1191" t="str">
        <f>RH1</f>
        <v>ENTRADAS DEL MES DE   MAYO  2022</v>
      </c>
      <c r="RR1" s="1191"/>
      <c r="RS1" s="1191"/>
      <c r="RT1" s="1191"/>
      <c r="RU1" s="1191"/>
      <c r="RV1" s="1191"/>
      <c r="RW1" s="1191"/>
      <c r="RX1" s="356">
        <f>RO1+1</f>
        <v>49</v>
      </c>
      <c r="RZ1" s="1191" t="str">
        <f>RQ1</f>
        <v>ENTRADAS DEL MES DE   MAYO  2022</v>
      </c>
      <c r="SA1" s="1191"/>
      <c r="SB1" s="1191"/>
      <c r="SC1" s="1191"/>
      <c r="SD1" s="1191"/>
      <c r="SE1" s="1191"/>
      <c r="SF1" s="1191"/>
      <c r="SG1" s="356">
        <f>RX1+1</f>
        <v>50</v>
      </c>
      <c r="SI1" s="1191" t="str">
        <f>RZ1</f>
        <v>ENTRADAS DEL MES DE   MAYO  2022</v>
      </c>
      <c r="SJ1" s="1191"/>
      <c r="SK1" s="1191"/>
      <c r="SL1" s="1191"/>
      <c r="SM1" s="1191"/>
      <c r="SN1" s="1191"/>
      <c r="SO1" s="1191"/>
      <c r="SP1" s="356">
        <f>SG1+1</f>
        <v>51</v>
      </c>
      <c r="SR1" s="1191" t="str">
        <f>SI1</f>
        <v>ENTRADAS DEL MES DE   MAYO  2022</v>
      </c>
      <c r="SS1" s="1191"/>
      <c r="ST1" s="1191"/>
      <c r="SU1" s="1191"/>
      <c r="SV1" s="1191"/>
      <c r="SW1" s="1191"/>
      <c r="SX1" s="1191"/>
      <c r="SY1" s="356">
        <f>SP1+1</f>
        <v>52</v>
      </c>
      <c r="TA1" s="1191" t="str">
        <f>SR1</f>
        <v>ENTRADAS DEL MES DE   MAYO  2022</v>
      </c>
      <c r="TB1" s="1191"/>
      <c r="TC1" s="1191"/>
      <c r="TD1" s="1191"/>
      <c r="TE1" s="1191"/>
      <c r="TF1" s="1191"/>
      <c r="TG1" s="1191"/>
      <c r="TH1" s="356">
        <f>SY1+1</f>
        <v>53</v>
      </c>
      <c r="TJ1" s="1191" t="str">
        <f>TA1</f>
        <v>ENTRADAS DEL MES DE   MAYO  2022</v>
      </c>
      <c r="TK1" s="1191"/>
      <c r="TL1" s="1191"/>
      <c r="TM1" s="1191"/>
      <c r="TN1" s="1191"/>
      <c r="TO1" s="1191"/>
      <c r="TP1" s="1191"/>
      <c r="TQ1" s="356">
        <f>TH1+1</f>
        <v>54</v>
      </c>
      <c r="TS1" s="1191" t="str">
        <f>TJ1</f>
        <v>ENTRADAS DEL MES DE   MAYO  2022</v>
      </c>
      <c r="TT1" s="1191"/>
      <c r="TU1" s="1191"/>
      <c r="TV1" s="1191"/>
      <c r="TW1" s="1191"/>
      <c r="TX1" s="1191"/>
      <c r="TY1" s="1191"/>
      <c r="TZ1" s="356">
        <f>TQ1+1</f>
        <v>55</v>
      </c>
      <c r="UB1" s="1191" t="str">
        <f>TS1</f>
        <v>ENTRADAS DEL MES DE   MAYO  2022</v>
      </c>
      <c r="UC1" s="1191"/>
      <c r="UD1" s="1191"/>
      <c r="UE1" s="1191"/>
      <c r="UF1" s="1191"/>
      <c r="UG1" s="1191"/>
      <c r="UH1" s="1191"/>
      <c r="UI1" s="356">
        <f>TZ1+1</f>
        <v>56</v>
      </c>
      <c r="UK1" s="1191" t="str">
        <f>UB1</f>
        <v>ENTRADAS DEL MES DE   MAYO  2022</v>
      </c>
      <c r="UL1" s="1191"/>
      <c r="UM1" s="1191"/>
      <c r="UN1" s="1191"/>
      <c r="UO1" s="1191"/>
      <c r="UP1" s="1191"/>
      <c r="UQ1" s="1191"/>
      <c r="UR1" s="356">
        <f>UI1+1</f>
        <v>57</v>
      </c>
      <c r="UT1" s="1191" t="str">
        <f>UK1</f>
        <v>ENTRADAS DEL MES DE   MAYO  2022</v>
      </c>
      <c r="UU1" s="1191"/>
      <c r="UV1" s="1191"/>
      <c r="UW1" s="1191"/>
      <c r="UX1" s="1191"/>
      <c r="UY1" s="1191"/>
      <c r="UZ1" s="1191"/>
      <c r="VA1" s="356">
        <f>UR1+1</f>
        <v>58</v>
      </c>
      <c r="VC1" s="1191" t="str">
        <f>UT1</f>
        <v>ENTRADAS DEL MES DE   MAYO  2022</v>
      </c>
      <c r="VD1" s="1191"/>
      <c r="VE1" s="1191"/>
      <c r="VF1" s="1191"/>
      <c r="VG1" s="1191"/>
      <c r="VH1" s="1191"/>
      <c r="VI1" s="1191"/>
      <c r="VJ1" s="356">
        <f>VA1+1</f>
        <v>59</v>
      </c>
      <c r="VL1" s="1191" t="str">
        <f>VC1</f>
        <v>ENTRADAS DEL MES DE   MAYO  2022</v>
      </c>
      <c r="VM1" s="1191"/>
      <c r="VN1" s="1191"/>
      <c r="VO1" s="1191"/>
      <c r="VP1" s="1191"/>
      <c r="VQ1" s="1191"/>
      <c r="VR1" s="1191"/>
      <c r="VS1" s="356">
        <f>VJ1+1</f>
        <v>60</v>
      </c>
      <c r="VU1" s="1191" t="str">
        <f>VL1</f>
        <v>ENTRADAS DEL MES DE   MAYO  2022</v>
      </c>
      <c r="VV1" s="1191"/>
      <c r="VW1" s="1191"/>
      <c r="VX1" s="1191"/>
      <c r="VY1" s="1191"/>
      <c r="VZ1" s="1191"/>
      <c r="WA1" s="1191"/>
      <c r="WB1" s="356">
        <f>VS1+1</f>
        <v>61</v>
      </c>
      <c r="WD1" s="1191" t="str">
        <f>VU1</f>
        <v>ENTRADAS DEL MES DE   MAYO  2022</v>
      </c>
      <c r="WE1" s="1191"/>
      <c r="WF1" s="1191"/>
      <c r="WG1" s="1191"/>
      <c r="WH1" s="1191"/>
      <c r="WI1" s="1191"/>
      <c r="WJ1" s="1191"/>
      <c r="WK1" s="356">
        <f>WB1+1</f>
        <v>62</v>
      </c>
      <c r="WM1" s="1191" t="str">
        <f>WD1</f>
        <v>ENTRADAS DEL MES DE   MAYO  2022</v>
      </c>
      <c r="WN1" s="1191"/>
      <c r="WO1" s="1191"/>
      <c r="WP1" s="1191"/>
      <c r="WQ1" s="1191"/>
      <c r="WR1" s="1191"/>
      <c r="WS1" s="1191"/>
      <c r="WT1" s="356">
        <f>WK1+1</f>
        <v>63</v>
      </c>
      <c r="WV1" s="1191" t="str">
        <f>WM1</f>
        <v>ENTRADAS DEL MES DE   MAYO  2022</v>
      </c>
      <c r="WW1" s="1191"/>
      <c r="WX1" s="1191"/>
      <c r="WY1" s="1191"/>
      <c r="WZ1" s="1191"/>
      <c r="XA1" s="1191"/>
      <c r="XB1" s="1191"/>
      <c r="XC1" s="356">
        <f>WT1+1</f>
        <v>64</v>
      </c>
      <c r="XE1" s="1191" t="str">
        <f>WV1</f>
        <v>ENTRADAS DEL MES DE   MAYO  2022</v>
      </c>
      <c r="XF1" s="1191"/>
      <c r="XG1" s="1191"/>
      <c r="XH1" s="1191"/>
      <c r="XI1" s="1191"/>
      <c r="XJ1" s="1191"/>
      <c r="XK1" s="1191"/>
      <c r="XL1" s="356">
        <f>XC1+1</f>
        <v>65</v>
      </c>
      <c r="XN1" s="1191" t="str">
        <f>XE1</f>
        <v>ENTRADAS DEL MES DE   MAYO  2022</v>
      </c>
      <c r="XO1" s="1191"/>
      <c r="XP1" s="1191"/>
      <c r="XQ1" s="1191"/>
      <c r="XR1" s="1191"/>
      <c r="XS1" s="1191"/>
      <c r="XT1" s="1191"/>
      <c r="XU1" s="356">
        <f>XL1+1</f>
        <v>66</v>
      </c>
      <c r="XW1" s="1191" t="str">
        <f>XN1</f>
        <v>ENTRADAS DEL MES DE   MAYO  2022</v>
      </c>
      <c r="XX1" s="1191"/>
      <c r="XY1" s="1191"/>
      <c r="XZ1" s="1191"/>
      <c r="YA1" s="1191"/>
      <c r="YB1" s="1191"/>
      <c r="YC1" s="1191"/>
      <c r="YD1" s="356">
        <f>XU1+1</f>
        <v>67</v>
      </c>
      <c r="YF1" s="1191" t="str">
        <f>XW1</f>
        <v>ENTRADAS DEL MES DE   MAYO  2022</v>
      </c>
      <c r="YG1" s="1191"/>
      <c r="YH1" s="1191"/>
      <c r="YI1" s="1191"/>
      <c r="YJ1" s="1191"/>
      <c r="YK1" s="1191"/>
      <c r="YL1" s="1191"/>
      <c r="YM1" s="356">
        <f>YD1+1</f>
        <v>68</v>
      </c>
      <c r="YO1" s="1191" t="str">
        <f>YF1</f>
        <v>ENTRADAS DEL MES DE   MAYO  2022</v>
      </c>
      <c r="YP1" s="1191"/>
      <c r="YQ1" s="1191"/>
      <c r="YR1" s="1191"/>
      <c r="YS1" s="1191"/>
      <c r="YT1" s="1191"/>
      <c r="YU1" s="1191"/>
      <c r="YV1" s="356">
        <f>YM1+1</f>
        <v>69</v>
      </c>
      <c r="YX1" s="1191" t="str">
        <f>YO1</f>
        <v>ENTRADAS DEL MES DE   MAYO  2022</v>
      </c>
      <c r="YY1" s="1191"/>
      <c r="YZ1" s="1191"/>
      <c r="ZA1" s="1191"/>
      <c r="ZB1" s="1191"/>
      <c r="ZC1" s="1191"/>
      <c r="ZD1" s="1191"/>
      <c r="ZE1" s="356">
        <f>YV1+1</f>
        <v>70</v>
      </c>
      <c r="ZG1" s="1191" t="str">
        <f>YX1</f>
        <v>ENTRADAS DEL MES DE   MAYO  2022</v>
      </c>
      <c r="ZH1" s="1191"/>
      <c r="ZI1" s="1191"/>
      <c r="ZJ1" s="1191"/>
      <c r="ZK1" s="1191"/>
      <c r="ZL1" s="1191"/>
      <c r="ZM1" s="1191"/>
      <c r="ZN1" s="356">
        <f>ZE1+1</f>
        <v>71</v>
      </c>
      <c r="ZP1" s="1191" t="str">
        <f>ZG1</f>
        <v>ENTRADAS DEL MES DE   MAYO  2022</v>
      </c>
      <c r="ZQ1" s="1191"/>
      <c r="ZR1" s="1191"/>
      <c r="ZS1" s="1191"/>
      <c r="ZT1" s="1191"/>
      <c r="ZU1" s="1191"/>
      <c r="ZV1" s="1191"/>
      <c r="ZW1" s="356">
        <f>ZN1+1</f>
        <v>72</v>
      </c>
      <c r="ZY1" s="1191" t="str">
        <f>ZP1</f>
        <v>ENTRADAS DEL MES DE   MAYO  2022</v>
      </c>
      <c r="ZZ1" s="1191"/>
      <c r="AAA1" s="1191"/>
      <c r="AAB1" s="1191"/>
      <c r="AAC1" s="1191"/>
      <c r="AAD1" s="1191"/>
      <c r="AAE1" s="1191"/>
      <c r="AAF1" s="356">
        <f>ZW1+1</f>
        <v>73</v>
      </c>
      <c r="AAH1" s="1191" t="str">
        <f>ZY1</f>
        <v>ENTRADAS DEL MES DE   MAYO  2022</v>
      </c>
      <c r="AAI1" s="1191"/>
      <c r="AAJ1" s="1191"/>
      <c r="AAK1" s="1191"/>
      <c r="AAL1" s="1191"/>
      <c r="AAM1" s="1191"/>
      <c r="AAN1" s="1191"/>
      <c r="AAO1" s="356">
        <f>AAF1+1</f>
        <v>74</v>
      </c>
      <c r="AAQ1" s="1191" t="str">
        <f>AAH1</f>
        <v>ENTRADAS DEL MES DE   MAYO  2022</v>
      </c>
      <c r="AAR1" s="1191"/>
      <c r="AAS1" s="1191"/>
      <c r="AAT1" s="1191"/>
      <c r="AAU1" s="1191"/>
      <c r="AAV1" s="1191"/>
      <c r="AAW1" s="1191"/>
      <c r="AAX1" s="356">
        <f>AAO1+1</f>
        <v>75</v>
      </c>
      <c r="AAZ1" s="1191" t="str">
        <f>AAQ1</f>
        <v>ENTRADAS DEL MES DE   MAYO  2022</v>
      </c>
      <c r="ABA1" s="1191"/>
      <c r="ABB1" s="1191"/>
      <c r="ABC1" s="1191"/>
      <c r="ABD1" s="1191"/>
      <c r="ABE1" s="1191"/>
      <c r="ABF1" s="1191"/>
      <c r="ABG1" s="356">
        <f>AAX1+1</f>
        <v>76</v>
      </c>
      <c r="ABI1" s="1191" t="str">
        <f>AAZ1</f>
        <v>ENTRADAS DEL MES DE   MAYO  2022</v>
      </c>
      <c r="ABJ1" s="1191"/>
      <c r="ABK1" s="1191"/>
      <c r="ABL1" s="1191"/>
      <c r="ABM1" s="1191"/>
      <c r="ABN1" s="1191"/>
      <c r="ABO1" s="1191"/>
      <c r="ABP1" s="356">
        <f>ABG1+1</f>
        <v>77</v>
      </c>
      <c r="ABR1" s="1191" t="str">
        <f>ABI1</f>
        <v>ENTRADAS DEL MES DE   MAYO  2022</v>
      </c>
      <c r="ABS1" s="1191"/>
      <c r="ABT1" s="1191"/>
      <c r="ABU1" s="1191"/>
      <c r="ABV1" s="1191"/>
      <c r="ABW1" s="1191"/>
      <c r="ABX1" s="1191"/>
      <c r="ABY1" s="356">
        <f>ABP1+1</f>
        <v>78</v>
      </c>
      <c r="ACA1" s="1191" t="str">
        <f>ABR1</f>
        <v>ENTRADAS DEL MES DE   MAYO  2022</v>
      </c>
      <c r="ACB1" s="1191"/>
      <c r="ACC1" s="1191"/>
      <c r="ACD1" s="1191"/>
      <c r="ACE1" s="1191"/>
      <c r="ACF1" s="1191"/>
      <c r="ACG1" s="1191"/>
      <c r="ACH1" s="356">
        <f>ABY1+1</f>
        <v>79</v>
      </c>
      <c r="ACJ1" s="1191" t="str">
        <f>ACA1</f>
        <v>ENTRADAS DEL MES DE   MAYO  2022</v>
      </c>
      <c r="ACK1" s="1191"/>
      <c r="ACL1" s="1191"/>
      <c r="ACM1" s="1191"/>
      <c r="ACN1" s="1191"/>
      <c r="ACO1" s="1191"/>
      <c r="ACP1" s="1191"/>
      <c r="ACQ1" s="356">
        <f>ACH1+1</f>
        <v>80</v>
      </c>
      <c r="ACS1" s="1191" t="str">
        <f>ACJ1</f>
        <v>ENTRADAS DEL MES DE   MAYO  2022</v>
      </c>
      <c r="ACT1" s="1191"/>
      <c r="ACU1" s="1191"/>
      <c r="ACV1" s="1191"/>
      <c r="ACW1" s="1191"/>
      <c r="ACX1" s="1191"/>
      <c r="ACY1" s="1191"/>
      <c r="ACZ1" s="356">
        <f>ACQ1+1</f>
        <v>81</v>
      </c>
      <c r="ADB1" s="1191" t="str">
        <f>ACS1</f>
        <v>ENTRADAS DEL MES DE   MAYO  2022</v>
      </c>
      <c r="ADC1" s="1191"/>
      <c r="ADD1" s="1191"/>
      <c r="ADE1" s="1191"/>
      <c r="ADF1" s="1191"/>
      <c r="ADG1" s="1191"/>
      <c r="ADH1" s="1191"/>
      <c r="ADI1" s="356">
        <f>ACZ1+1</f>
        <v>82</v>
      </c>
      <c r="ADK1" s="1191" t="str">
        <f>ADB1</f>
        <v>ENTRADAS DEL MES DE   MAYO  2022</v>
      </c>
      <c r="ADL1" s="1191"/>
      <c r="ADM1" s="1191"/>
      <c r="ADN1" s="1191"/>
      <c r="ADO1" s="1191"/>
      <c r="ADP1" s="1191"/>
      <c r="ADQ1" s="1191"/>
      <c r="ADR1" s="356">
        <f>ADI1+1</f>
        <v>83</v>
      </c>
      <c r="ADT1" s="1191" t="str">
        <f>ADK1</f>
        <v>ENTRADAS DEL MES DE   MAYO  2022</v>
      </c>
      <c r="ADU1" s="1191"/>
      <c r="ADV1" s="1191"/>
      <c r="ADW1" s="1191"/>
      <c r="ADX1" s="1191"/>
      <c r="ADY1" s="1191"/>
      <c r="ADZ1" s="1191"/>
      <c r="AEA1" s="356">
        <f>ADR1+1</f>
        <v>84</v>
      </c>
      <c r="AEC1" s="1191" t="str">
        <f>ADT1</f>
        <v>ENTRADAS DEL MES DE   MAYO  2022</v>
      </c>
      <c r="AED1" s="1191"/>
      <c r="AEE1" s="1191"/>
      <c r="AEF1" s="1191"/>
      <c r="AEG1" s="1191"/>
      <c r="AEH1" s="1191"/>
      <c r="AEI1" s="1191"/>
      <c r="AEJ1" s="356">
        <f>AEA1+1</f>
        <v>85</v>
      </c>
      <c r="AEL1" s="1191" t="str">
        <f>AEC1</f>
        <v>ENTRADAS DEL MES DE   MAYO  2022</v>
      </c>
      <c r="AEM1" s="1191"/>
      <c r="AEN1" s="1191"/>
      <c r="AEO1" s="1191"/>
      <c r="AEP1" s="1191"/>
      <c r="AEQ1" s="1191"/>
      <c r="AER1" s="1191"/>
      <c r="AES1" s="356">
        <f>AEJ1+1</f>
        <v>86</v>
      </c>
    </row>
    <row r="2" spans="1:825" ht="17.25" thickTop="1" thickBot="1" x14ac:dyDescent="0.3">
      <c r="A2" s="357" t="s">
        <v>14</v>
      </c>
      <c r="B2" s="358" t="s">
        <v>0</v>
      </c>
      <c r="C2" s="359" t="s">
        <v>10</v>
      </c>
      <c r="D2" s="360"/>
      <c r="E2" s="346" t="s">
        <v>25</v>
      </c>
      <c r="F2" s="361" t="s">
        <v>3</v>
      </c>
      <c r="G2" s="362" t="s">
        <v>8</v>
      </c>
      <c r="H2" s="363" t="s">
        <v>5</v>
      </c>
      <c r="I2" s="358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64" t="s">
        <v>20</v>
      </c>
      <c r="R3" s="365" t="s">
        <v>6</v>
      </c>
      <c r="S3" s="568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64" t="s">
        <v>20</v>
      </c>
      <c r="AB3" s="365" t="s">
        <v>6</v>
      </c>
      <c r="AC3" s="572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64" t="s">
        <v>20</v>
      </c>
      <c r="AL3" s="365" t="s">
        <v>6</v>
      </c>
      <c r="AM3" s="568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64" t="s">
        <v>20</v>
      </c>
      <c r="AV3" s="365" t="s">
        <v>6</v>
      </c>
      <c r="AW3" s="572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64" t="s">
        <v>20</v>
      </c>
      <c r="BF3" s="365" t="s">
        <v>6</v>
      </c>
      <c r="BG3" s="572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64" t="s">
        <v>20</v>
      </c>
      <c r="BP3" s="365" t="s">
        <v>6</v>
      </c>
      <c r="BQ3" s="572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64" t="s">
        <v>20</v>
      </c>
      <c r="BZ3" s="365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64" t="s">
        <v>20</v>
      </c>
      <c r="CJ3" s="365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64" t="s">
        <v>20</v>
      </c>
      <c r="CT3" s="365" t="s">
        <v>6</v>
      </c>
      <c r="CU3" s="572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64" t="s">
        <v>20</v>
      </c>
      <c r="DD3" s="365" t="s">
        <v>6</v>
      </c>
      <c r="DE3" s="572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64" t="s">
        <v>20</v>
      </c>
      <c r="DN3" s="365" t="s">
        <v>6</v>
      </c>
      <c r="DO3" s="572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64" t="s">
        <v>20</v>
      </c>
      <c r="DX3" s="365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64" t="s">
        <v>20</v>
      </c>
      <c r="EH3" s="365" t="s">
        <v>6</v>
      </c>
      <c r="EI3" s="572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64" t="s">
        <v>20</v>
      </c>
      <c r="ER3" s="365" t="s">
        <v>6</v>
      </c>
      <c r="ES3" s="572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64" t="s">
        <v>20</v>
      </c>
      <c r="FB3" s="365" t="s">
        <v>6</v>
      </c>
      <c r="FC3" s="572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64" t="s">
        <v>20</v>
      </c>
      <c r="FL3" s="365" t="s">
        <v>6</v>
      </c>
      <c r="FM3" s="572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64" t="s">
        <v>20</v>
      </c>
      <c r="FV3" s="365" t="s">
        <v>6</v>
      </c>
      <c r="FW3" s="572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64" t="s">
        <v>20</v>
      </c>
      <c r="GF3" s="365" t="s">
        <v>6</v>
      </c>
      <c r="GG3" s="572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64" t="s">
        <v>20</v>
      </c>
      <c r="GP3" s="365" t="s">
        <v>6</v>
      </c>
      <c r="GQ3" s="572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64" t="s">
        <v>20</v>
      </c>
      <c r="GZ3" s="365" t="s">
        <v>6</v>
      </c>
      <c r="HA3" s="572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66" t="s">
        <v>20</v>
      </c>
      <c r="HJ3" s="365" t="s">
        <v>6</v>
      </c>
      <c r="HK3" s="572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64" t="s">
        <v>20</v>
      </c>
      <c r="HT3" s="365" t="s">
        <v>6</v>
      </c>
      <c r="HU3" s="572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64" t="s">
        <v>20</v>
      </c>
      <c r="ID3" s="365" t="s">
        <v>6</v>
      </c>
      <c r="IE3" s="572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64" t="s">
        <v>20</v>
      </c>
      <c r="IN3" s="365" t="s">
        <v>6</v>
      </c>
      <c r="IO3" s="572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64" t="s">
        <v>20</v>
      </c>
      <c r="IX3" s="365" t="s">
        <v>6</v>
      </c>
      <c r="IY3" s="572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64" t="s">
        <v>20</v>
      </c>
      <c r="JH3" s="365" t="s">
        <v>6</v>
      </c>
      <c r="JI3" s="572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64" t="s">
        <v>20</v>
      </c>
      <c r="JR3" s="365" t="s">
        <v>6</v>
      </c>
      <c r="JS3" s="572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66" t="s">
        <v>20</v>
      </c>
      <c r="KB3" s="365" t="s">
        <v>6</v>
      </c>
      <c r="KC3" s="572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64" t="s">
        <v>20</v>
      </c>
      <c r="KL3" s="365" t="s">
        <v>6</v>
      </c>
      <c r="KM3" s="572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64" t="s">
        <v>20</v>
      </c>
      <c r="KV3" s="365" t="s">
        <v>6</v>
      </c>
      <c r="KW3" s="572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64" t="s">
        <v>20</v>
      </c>
      <c r="LF3" s="365" t="s">
        <v>6</v>
      </c>
      <c r="LG3" s="572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64" t="s">
        <v>20</v>
      </c>
      <c r="LP3" s="365" t="s">
        <v>6</v>
      </c>
      <c r="LQ3" s="572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64" t="s">
        <v>20</v>
      </c>
      <c r="LZ3" s="365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64" t="s">
        <v>20</v>
      </c>
      <c r="MJ3" s="365" t="s">
        <v>6</v>
      </c>
      <c r="MK3" s="568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64" t="s">
        <v>20</v>
      </c>
      <c r="MT3" s="365" t="s">
        <v>6</v>
      </c>
      <c r="MU3" s="568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64" t="s">
        <v>20</v>
      </c>
      <c r="ND3" s="365" t="s">
        <v>6</v>
      </c>
      <c r="NE3" s="568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64" t="s">
        <v>20</v>
      </c>
      <c r="NN3" s="365" t="s">
        <v>6</v>
      </c>
      <c r="NO3" s="568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64" t="s">
        <v>20</v>
      </c>
      <c r="NX3" s="365" t="s">
        <v>6</v>
      </c>
      <c r="NY3" s="568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64" t="s">
        <v>20</v>
      </c>
      <c r="OH3" s="365" t="s">
        <v>6</v>
      </c>
      <c r="OI3" s="568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64" t="s">
        <v>20</v>
      </c>
      <c r="OR3" s="365" t="s">
        <v>6</v>
      </c>
      <c r="OS3" s="568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64" t="s">
        <v>20</v>
      </c>
      <c r="PB3" s="365" t="s">
        <v>6</v>
      </c>
      <c r="PC3" s="568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64" t="s">
        <v>20</v>
      </c>
      <c r="PL3" s="365" t="s">
        <v>6</v>
      </c>
      <c r="PM3" s="568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64" t="s">
        <v>20</v>
      </c>
      <c r="PV3" s="365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64" t="s">
        <v>20</v>
      </c>
      <c r="QE3" s="365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64" t="s">
        <v>20</v>
      </c>
      <c r="QN3" s="365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64" t="s">
        <v>20</v>
      </c>
      <c r="QW3" s="365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64" t="s">
        <v>20</v>
      </c>
      <c r="RF3" s="365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64" t="s">
        <v>20</v>
      </c>
      <c r="RO3" s="365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64" t="s">
        <v>20</v>
      </c>
      <c r="RX3" s="365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64" t="s">
        <v>20</v>
      </c>
      <c r="SG3" s="365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64" t="s">
        <v>20</v>
      </c>
      <c r="SP3" s="365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64" t="s">
        <v>20</v>
      </c>
      <c r="SY3" s="365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64" t="s">
        <v>20</v>
      </c>
      <c r="TH3" s="365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64" t="s">
        <v>20</v>
      </c>
      <c r="TQ3" s="365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64" t="s">
        <v>20</v>
      </c>
      <c r="TZ3" s="365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64" t="s">
        <v>20</v>
      </c>
      <c r="UI3" s="365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64" t="s">
        <v>20</v>
      </c>
      <c r="UR3" s="365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64" t="s">
        <v>20</v>
      </c>
      <c r="VA3" s="365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64" t="s">
        <v>20</v>
      </c>
      <c r="VJ3" s="365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64" t="s">
        <v>20</v>
      </c>
      <c r="VS3" s="365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64" t="s">
        <v>20</v>
      </c>
      <c r="WB3" s="365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64" t="s">
        <v>20</v>
      </c>
      <c r="WK3" s="365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64" t="s">
        <v>20</v>
      </c>
      <c r="WT3" s="365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64" t="s">
        <v>20</v>
      </c>
      <c r="XC3" s="365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64" t="s">
        <v>20</v>
      </c>
      <c r="XL3" s="365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64" t="s">
        <v>20</v>
      </c>
      <c r="XU3" s="365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64" t="s">
        <v>20</v>
      </c>
      <c r="YD3" s="365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64" t="s">
        <v>20</v>
      </c>
      <c r="YM3" s="365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64" t="s">
        <v>20</v>
      </c>
      <c r="YV3" s="365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64" t="s">
        <v>20</v>
      </c>
      <c r="ZE3" s="365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64" t="s">
        <v>20</v>
      </c>
      <c r="ZN3" s="365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64" t="s">
        <v>20</v>
      </c>
      <c r="ZW3" s="365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64" t="s">
        <v>20</v>
      </c>
      <c r="AAF3" s="365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64" t="s">
        <v>20</v>
      </c>
      <c r="AAO3" s="365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64" t="s">
        <v>20</v>
      </c>
      <c r="AAX3" s="365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64" t="s">
        <v>20</v>
      </c>
      <c r="ABG3" s="365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64" t="s">
        <v>20</v>
      </c>
      <c r="ABP3" s="365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64" t="s">
        <v>20</v>
      </c>
      <c r="ABY3" s="365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64" t="s">
        <v>20</v>
      </c>
      <c r="ACH3" s="365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64" t="s">
        <v>20</v>
      </c>
      <c r="ACQ3" s="365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64" t="s">
        <v>20</v>
      </c>
      <c r="ACZ3" s="365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64" t="s">
        <v>20</v>
      </c>
      <c r="ADI3" s="365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64" t="s">
        <v>20</v>
      </c>
      <c r="ADR3" s="365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64" t="s">
        <v>20</v>
      </c>
      <c r="AEA3" s="365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64" t="s">
        <v>20</v>
      </c>
      <c r="AEJ3" s="365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64" t="s">
        <v>20</v>
      </c>
      <c r="AES3" s="365" t="s">
        <v>6</v>
      </c>
    </row>
    <row r="4" spans="1:825" ht="16.5" customHeight="1" thickTop="1" x14ac:dyDescent="0.25">
      <c r="A4" s="137">
        <v>1</v>
      </c>
      <c r="B4" s="242" t="str">
        <f t="shared" ref="B4:I4" si="0">K5</f>
        <v>SEABOARD FOODS</v>
      </c>
      <c r="C4" s="242" t="str">
        <f t="shared" si="0"/>
        <v>Seaboard</v>
      </c>
      <c r="D4" s="244" t="str">
        <f t="shared" si="0"/>
        <v>PED. 81531128</v>
      </c>
      <c r="E4" s="135">
        <f t="shared" si="0"/>
        <v>44684</v>
      </c>
      <c r="F4" s="86">
        <f t="shared" si="0"/>
        <v>18989.62</v>
      </c>
      <c r="G4" s="73">
        <f t="shared" si="0"/>
        <v>21</v>
      </c>
      <c r="H4" s="48">
        <f t="shared" si="0"/>
        <v>19064.3</v>
      </c>
      <c r="I4" s="105">
        <f t="shared" si="0"/>
        <v>-74.680000000000291</v>
      </c>
      <c r="L4" s="75" t="s">
        <v>23</v>
      </c>
      <c r="Q4" s="351"/>
      <c r="V4" s="75" t="s">
        <v>23</v>
      </c>
      <c r="AA4" s="351"/>
      <c r="AF4" s="75" t="s">
        <v>23</v>
      </c>
      <c r="AK4" s="351"/>
      <c r="AP4" s="75" t="s">
        <v>23</v>
      </c>
      <c r="AU4" s="73"/>
      <c r="AZ4" s="75" t="s">
        <v>23</v>
      </c>
      <c r="BE4" s="351"/>
      <c r="BJ4" s="75" t="s">
        <v>23</v>
      </c>
      <c r="BO4" s="73"/>
      <c r="BT4" s="243" t="s">
        <v>111</v>
      </c>
      <c r="BY4" s="351"/>
      <c r="CD4" s="75" t="s">
        <v>23</v>
      </c>
      <c r="CI4" s="351"/>
      <c r="CN4" s="75" t="s">
        <v>23</v>
      </c>
      <c r="CS4" s="73"/>
      <c r="CX4" s="75" t="s">
        <v>23</v>
      </c>
      <c r="DC4" s="351"/>
      <c r="DH4" s="75" t="s">
        <v>23</v>
      </c>
      <c r="DM4" s="351"/>
      <c r="DR4" s="75" t="s">
        <v>23</v>
      </c>
      <c r="DW4" s="351"/>
      <c r="EB4" s="75" t="s">
        <v>23</v>
      </c>
      <c r="EG4" s="126"/>
      <c r="EK4" s="242"/>
      <c r="EL4" s="242" t="s">
        <v>113</v>
      </c>
      <c r="EM4" s="242"/>
      <c r="EN4" s="242"/>
      <c r="EO4" s="242"/>
      <c r="EP4" s="242"/>
      <c r="EQ4" s="792"/>
      <c r="EV4" s="73" t="s">
        <v>54</v>
      </c>
      <c r="FA4" s="73"/>
      <c r="FF4" s="73" t="s">
        <v>23</v>
      </c>
      <c r="FI4" s="95"/>
      <c r="FJ4" s="132"/>
      <c r="FK4" s="351"/>
      <c r="FP4" s="75" t="s">
        <v>23</v>
      </c>
      <c r="FU4" s="73"/>
      <c r="FZ4" s="75" t="s">
        <v>23</v>
      </c>
      <c r="GE4" s="73"/>
      <c r="GF4" s="153"/>
      <c r="GG4" s="576"/>
      <c r="GJ4" s="75" t="s">
        <v>23</v>
      </c>
      <c r="GO4" s="351"/>
      <c r="GT4" s="75" t="s">
        <v>23</v>
      </c>
      <c r="GY4" s="351"/>
      <c r="HD4" s="75" t="s">
        <v>23</v>
      </c>
      <c r="HI4" s="351"/>
      <c r="HJ4" s="73"/>
      <c r="HK4" s="578"/>
      <c r="HN4" s="75" t="s">
        <v>23</v>
      </c>
      <c r="HS4" s="305"/>
      <c r="HX4" s="75" t="s">
        <v>23</v>
      </c>
      <c r="IC4" s="351"/>
      <c r="IF4" s="75" t="s">
        <v>44</v>
      </c>
      <c r="IG4" s="242"/>
      <c r="IH4" s="242" t="s">
        <v>23</v>
      </c>
      <c r="II4" s="242"/>
      <c r="IJ4" s="242"/>
      <c r="IK4" s="242"/>
      <c r="IL4" s="242"/>
      <c r="IM4" s="305"/>
      <c r="IQ4" s="242"/>
      <c r="IR4" s="242" t="s">
        <v>54</v>
      </c>
      <c r="IS4" s="242"/>
      <c r="IT4" s="242"/>
      <c r="IU4" s="242"/>
      <c r="IV4" s="242"/>
      <c r="IW4" s="305"/>
      <c r="JB4" s="75" t="s">
        <v>23</v>
      </c>
      <c r="JG4" s="305"/>
      <c r="JH4" s="105"/>
      <c r="JK4" s="242"/>
      <c r="JL4" s="75" t="s">
        <v>23</v>
      </c>
      <c r="JM4" s="242"/>
      <c r="JN4" s="242"/>
      <c r="JO4" s="242"/>
      <c r="JP4" s="242"/>
      <c r="JQ4" s="305"/>
      <c r="JV4" s="75" t="s">
        <v>23</v>
      </c>
      <c r="JY4" s="75" t="s">
        <v>46</v>
      </c>
      <c r="KA4" s="305"/>
      <c r="KB4" s="153"/>
      <c r="KC4" s="576"/>
      <c r="KF4" s="75" t="s">
        <v>23</v>
      </c>
      <c r="KK4" s="351"/>
      <c r="KO4" s="73"/>
      <c r="KP4" s="73" t="s">
        <v>23</v>
      </c>
      <c r="KU4" s="73"/>
      <c r="KV4" s="130"/>
      <c r="KW4" s="581"/>
      <c r="KZ4" s="75" t="s">
        <v>23</v>
      </c>
      <c r="LB4" s="134"/>
      <c r="LE4" s="201"/>
      <c r="LJ4" s="75" t="s">
        <v>23</v>
      </c>
      <c r="LO4" s="351"/>
      <c r="LP4" s="105"/>
      <c r="LT4" s="75" t="s">
        <v>23</v>
      </c>
      <c r="LY4" s="351"/>
      <c r="MD4" s="75" t="s">
        <v>23</v>
      </c>
      <c r="MI4" s="351"/>
      <c r="MN4" s="75" t="s">
        <v>23</v>
      </c>
      <c r="MS4" s="351"/>
      <c r="MX4" s="75" t="s">
        <v>23</v>
      </c>
      <c r="NC4" s="351"/>
      <c r="NH4" s="75" t="s">
        <v>23</v>
      </c>
      <c r="NM4" s="351"/>
      <c r="NR4" s="75" t="s">
        <v>23</v>
      </c>
      <c r="NW4" s="351"/>
      <c r="OB4" s="75" t="s">
        <v>23</v>
      </c>
      <c r="OG4" s="351"/>
      <c r="OL4" s="75" t="s">
        <v>23</v>
      </c>
      <c r="OQ4" s="201"/>
      <c r="OV4" s="75" t="s">
        <v>23</v>
      </c>
      <c r="PA4" s="351"/>
      <c r="PF4" s="75" t="s">
        <v>23</v>
      </c>
      <c r="PK4" s="351"/>
      <c r="PP4" s="75" t="s">
        <v>23</v>
      </c>
      <c r="PU4" s="351"/>
      <c r="PY4" s="75" t="s">
        <v>23</v>
      </c>
      <c r="QD4" s="351"/>
      <c r="QH4" s="75" t="s">
        <v>23</v>
      </c>
      <c r="QM4" s="351"/>
      <c r="QQ4" s="75" t="s">
        <v>23</v>
      </c>
      <c r="QV4" s="351"/>
      <c r="QZ4" s="75" t="s">
        <v>23</v>
      </c>
      <c r="RE4" s="351"/>
      <c r="RI4" s="75" t="s">
        <v>23</v>
      </c>
      <c r="RN4" s="351"/>
      <c r="RR4" s="75" t="s">
        <v>23</v>
      </c>
      <c r="RW4" s="351"/>
      <c r="SA4" s="75" t="s">
        <v>23</v>
      </c>
      <c r="SF4" s="351"/>
      <c r="SJ4" s="75" t="s">
        <v>23</v>
      </c>
      <c r="SO4" s="351"/>
      <c r="SS4" s="75" t="s">
        <v>23</v>
      </c>
      <c r="SX4" s="351"/>
      <c r="TB4" s="75" t="s">
        <v>23</v>
      </c>
      <c r="TG4" s="351"/>
      <c r="TK4" s="75" t="s">
        <v>23</v>
      </c>
      <c r="TP4" s="351"/>
      <c r="TT4" s="75" t="s">
        <v>23</v>
      </c>
      <c r="TY4" s="351"/>
      <c r="UC4" s="75" t="s">
        <v>23</v>
      </c>
      <c r="UH4" s="351"/>
      <c r="UL4" s="75" t="s">
        <v>23</v>
      </c>
      <c r="UQ4" s="351"/>
      <c r="UU4" s="75" t="s">
        <v>23</v>
      </c>
      <c r="UZ4" s="351"/>
      <c r="VD4" s="75" t="s">
        <v>23</v>
      </c>
      <c r="VI4" s="351"/>
      <c r="VM4" s="75" t="s">
        <v>23</v>
      </c>
      <c r="VR4" s="351"/>
      <c r="VV4" s="75" t="s">
        <v>23</v>
      </c>
      <c r="WA4" s="351"/>
      <c r="WE4" s="75" t="s">
        <v>23</v>
      </c>
      <c r="WJ4" s="351"/>
      <c r="WN4" s="75" t="s">
        <v>23</v>
      </c>
      <c r="WS4" s="351"/>
      <c r="WW4" s="75" t="s">
        <v>23</v>
      </c>
      <c r="XB4" s="351"/>
      <c r="XF4" s="75" t="s">
        <v>23</v>
      </c>
      <c r="XK4" s="351"/>
      <c r="XO4" s="75" t="s">
        <v>23</v>
      </c>
      <c r="XT4" s="351"/>
      <c r="XX4" s="75" t="s">
        <v>23</v>
      </c>
      <c r="YC4" s="351"/>
      <c r="YG4" s="75" t="s">
        <v>23</v>
      </c>
      <c r="YL4" s="351"/>
      <c r="YP4" s="75" t="s">
        <v>23</v>
      </c>
      <c r="YU4" s="351"/>
      <c r="YY4" s="75" t="s">
        <v>23</v>
      </c>
      <c r="ZD4" s="351"/>
      <c r="ZH4" s="75" t="s">
        <v>23</v>
      </c>
      <c r="ZM4" s="351"/>
      <c r="ZQ4" s="75" t="s">
        <v>23</v>
      </c>
      <c r="ZV4" s="351"/>
      <c r="ZZ4" s="75" t="s">
        <v>23</v>
      </c>
      <c r="AAE4" s="351"/>
      <c r="AAI4" s="75" t="s">
        <v>23</v>
      </c>
      <c r="AAN4" s="351"/>
      <c r="AAR4" s="75" t="s">
        <v>23</v>
      </c>
      <c r="AAW4" s="351"/>
      <c r="ABA4" s="75" t="s">
        <v>23</v>
      </c>
      <c r="ABF4" s="351"/>
      <c r="ABJ4" s="75" t="s">
        <v>23</v>
      </c>
      <c r="ABO4" s="351"/>
      <c r="ABS4" s="75" t="s">
        <v>23</v>
      </c>
      <c r="ABX4" s="351"/>
      <c r="ACB4" s="75" t="s">
        <v>23</v>
      </c>
      <c r="ACG4" s="351"/>
      <c r="ACK4" s="75" t="s">
        <v>23</v>
      </c>
      <c r="ACP4" s="351"/>
      <c r="ACT4" s="75" t="s">
        <v>23</v>
      </c>
      <c r="ACY4" s="351"/>
      <c r="ADC4" s="75" t="s">
        <v>23</v>
      </c>
      <c r="ADH4" s="351"/>
      <c r="ADL4" s="75" t="s">
        <v>23</v>
      </c>
      <c r="ADQ4" s="351"/>
      <c r="ADU4" s="75" t="s">
        <v>23</v>
      </c>
      <c r="ADZ4" s="351"/>
      <c r="AED4" s="75" t="s">
        <v>23</v>
      </c>
      <c r="AEI4" s="351"/>
      <c r="AEM4" s="75" t="s">
        <v>23</v>
      </c>
      <c r="AER4" s="351"/>
    </row>
    <row r="5" spans="1:825" ht="15.75" customHeight="1" x14ac:dyDescent="0.25">
      <c r="A5" s="137">
        <v>2</v>
      </c>
      <c r="B5" s="242" t="str">
        <f t="shared" ref="B5:H5" si="1">U5</f>
        <v>SEABOARD FOODS</v>
      </c>
      <c r="C5" s="242" t="str">
        <f t="shared" si="1"/>
        <v>Seaboard</v>
      </c>
      <c r="D5" s="244" t="str">
        <f t="shared" si="1"/>
        <v>PED. 81531129</v>
      </c>
      <c r="E5" s="135">
        <f t="shared" si="1"/>
        <v>44684</v>
      </c>
      <c r="F5" s="86">
        <f t="shared" si="1"/>
        <v>18744.900000000001</v>
      </c>
      <c r="G5" s="73">
        <f t="shared" si="1"/>
        <v>21</v>
      </c>
      <c r="H5" s="48">
        <f t="shared" si="1"/>
        <v>18789.3</v>
      </c>
      <c r="I5" s="105">
        <f>AB5</f>
        <v>-44.399999999997817</v>
      </c>
      <c r="K5" s="1196" t="s">
        <v>233</v>
      </c>
      <c r="L5" s="999" t="s">
        <v>234</v>
      </c>
      <c r="M5" s="249" t="s">
        <v>235</v>
      </c>
      <c r="N5" s="248">
        <v>44684</v>
      </c>
      <c r="O5" s="246">
        <v>18989.62</v>
      </c>
      <c r="P5" s="243">
        <v>21</v>
      </c>
      <c r="Q5" s="900">
        <v>19064.3</v>
      </c>
      <c r="R5" s="138">
        <f>O5-Q5</f>
        <v>-74.680000000000291</v>
      </c>
      <c r="S5" s="573"/>
      <c r="T5" s="242"/>
      <c r="U5" s="250" t="s">
        <v>233</v>
      </c>
      <c r="V5" s="999" t="s">
        <v>234</v>
      </c>
      <c r="W5" s="249" t="s">
        <v>236</v>
      </c>
      <c r="X5" s="248">
        <v>44684</v>
      </c>
      <c r="Y5" s="246">
        <v>18744.900000000001</v>
      </c>
      <c r="Z5" s="243">
        <v>21</v>
      </c>
      <c r="AA5" s="900">
        <v>18789.3</v>
      </c>
      <c r="AB5" s="138">
        <f>Y5-AA5</f>
        <v>-44.399999999997817</v>
      </c>
      <c r="AC5" s="573"/>
      <c r="AD5" s="242"/>
      <c r="AE5" s="250" t="s">
        <v>237</v>
      </c>
      <c r="AF5" s="1000" t="s">
        <v>238</v>
      </c>
      <c r="AG5" s="249" t="s">
        <v>239</v>
      </c>
      <c r="AH5" s="245">
        <v>44685</v>
      </c>
      <c r="AI5" s="246">
        <v>18668.12</v>
      </c>
      <c r="AJ5" s="243">
        <v>20</v>
      </c>
      <c r="AK5" s="900">
        <v>18676.11</v>
      </c>
      <c r="AL5" s="138">
        <f>AI5-AK5</f>
        <v>-7.9900000000016007</v>
      </c>
      <c r="AM5" s="573"/>
      <c r="AN5" s="242" t="s">
        <v>41</v>
      </c>
      <c r="AO5" s="242" t="s">
        <v>237</v>
      </c>
      <c r="AP5" s="1000" t="s">
        <v>238</v>
      </c>
      <c r="AQ5" s="247" t="s">
        <v>241</v>
      </c>
      <c r="AR5" s="248">
        <v>44686</v>
      </c>
      <c r="AS5" s="246">
        <v>18620.82</v>
      </c>
      <c r="AT5" s="243">
        <v>20</v>
      </c>
      <c r="AU5" s="900">
        <v>18702.89</v>
      </c>
      <c r="AV5" s="138">
        <f>AS5-AU5</f>
        <v>-82.069999999999709</v>
      </c>
      <c r="AW5" s="573"/>
      <c r="AY5" s="242" t="s">
        <v>242</v>
      </c>
      <c r="AZ5" s="999" t="s">
        <v>234</v>
      </c>
      <c r="BA5" s="244" t="s">
        <v>243</v>
      </c>
      <c r="BB5" s="248">
        <v>44686</v>
      </c>
      <c r="BC5" s="246">
        <v>18933.669999999998</v>
      </c>
      <c r="BD5" s="243">
        <v>21</v>
      </c>
      <c r="BE5" s="900">
        <v>18928.8</v>
      </c>
      <c r="BF5" s="138">
        <f>BC5-BE5</f>
        <v>4.8699999999989814</v>
      </c>
      <c r="BG5" s="573"/>
      <c r="BH5" s="242"/>
      <c r="BI5" s="1192" t="s">
        <v>233</v>
      </c>
      <c r="BJ5" s="999" t="s">
        <v>234</v>
      </c>
      <c r="BK5" s="244" t="s">
        <v>244</v>
      </c>
      <c r="BL5" s="245">
        <v>44688</v>
      </c>
      <c r="BM5" s="246">
        <v>18820.66</v>
      </c>
      <c r="BN5" s="243">
        <v>21</v>
      </c>
      <c r="BO5" s="900">
        <v>18851.599999999999</v>
      </c>
      <c r="BP5" s="138">
        <f>BM5-BO5</f>
        <v>-30.93999999999869</v>
      </c>
      <c r="BQ5" s="573"/>
      <c r="BR5" s="242"/>
      <c r="BS5" s="1195" t="s">
        <v>233</v>
      </c>
      <c r="BT5" s="1001" t="s">
        <v>245</v>
      </c>
      <c r="BU5" s="247" t="s">
        <v>246</v>
      </c>
      <c r="BV5" s="248">
        <v>44688</v>
      </c>
      <c r="BW5" s="246">
        <v>18368.66</v>
      </c>
      <c r="BX5" s="243">
        <v>21</v>
      </c>
      <c r="BY5" s="900">
        <v>18485.3</v>
      </c>
      <c r="BZ5" s="138">
        <f>BW5-BY5</f>
        <v>-116.63999999999942</v>
      </c>
      <c r="CA5" s="322"/>
      <c r="CB5" s="322"/>
      <c r="CC5" s="250" t="s">
        <v>233</v>
      </c>
      <c r="CD5" s="1001" t="s">
        <v>234</v>
      </c>
      <c r="CE5" s="247" t="s">
        <v>247</v>
      </c>
      <c r="CF5" s="248">
        <v>44688</v>
      </c>
      <c r="CG5" s="246">
        <v>18525.02</v>
      </c>
      <c r="CH5" s="243">
        <v>21</v>
      </c>
      <c r="CI5" s="900">
        <v>18631.2</v>
      </c>
      <c r="CJ5" s="138">
        <f>CG5-CI5</f>
        <v>-106.18000000000029</v>
      </c>
      <c r="CK5" s="322"/>
      <c r="CL5" s="322"/>
      <c r="CM5" s="1192" t="s">
        <v>237</v>
      </c>
      <c r="CN5" s="1002" t="s">
        <v>248</v>
      </c>
      <c r="CO5" s="244" t="s">
        <v>249</v>
      </c>
      <c r="CP5" s="248">
        <v>44688</v>
      </c>
      <c r="CQ5" s="246">
        <v>18324.73</v>
      </c>
      <c r="CR5" s="243">
        <v>20</v>
      </c>
      <c r="CS5" s="900">
        <v>18414.84</v>
      </c>
      <c r="CT5" s="138">
        <f>CQ5-CS5</f>
        <v>-90.110000000000582</v>
      </c>
      <c r="CU5" s="573"/>
      <c r="CV5" s="242"/>
      <c r="CW5" s="250" t="s">
        <v>233</v>
      </c>
      <c r="CX5" s="999" t="s">
        <v>234</v>
      </c>
      <c r="CY5" s="244" t="s">
        <v>266</v>
      </c>
      <c r="CZ5" s="248">
        <v>44691</v>
      </c>
      <c r="DA5" s="246">
        <v>18607.38</v>
      </c>
      <c r="DB5" s="243">
        <v>21</v>
      </c>
      <c r="DC5" s="900">
        <v>18764.8</v>
      </c>
      <c r="DD5" s="138">
        <f>DA5-DC5</f>
        <v>-157.41999999999825</v>
      </c>
      <c r="DE5" s="573"/>
      <c r="DF5" s="242"/>
      <c r="DG5" s="242" t="s">
        <v>233</v>
      </c>
      <c r="DH5" s="1001" t="s">
        <v>234</v>
      </c>
      <c r="DI5" s="247" t="s">
        <v>267</v>
      </c>
      <c r="DJ5" s="248">
        <v>44691</v>
      </c>
      <c r="DK5" s="246">
        <v>18890.990000000002</v>
      </c>
      <c r="DL5" s="243">
        <v>21</v>
      </c>
      <c r="DM5" s="900">
        <v>18936.599999999999</v>
      </c>
      <c r="DN5" s="138">
        <f>DK5-DM5</f>
        <v>-45.609999999996944</v>
      </c>
      <c r="DO5" s="573"/>
      <c r="DP5" s="242"/>
      <c r="DQ5" s="1193" t="s">
        <v>233</v>
      </c>
      <c r="DR5" s="1001" t="s">
        <v>234</v>
      </c>
      <c r="DS5" s="247" t="s">
        <v>268</v>
      </c>
      <c r="DT5" s="248">
        <v>44691</v>
      </c>
      <c r="DU5" s="246">
        <v>17859.43</v>
      </c>
      <c r="DV5" s="243">
        <v>20</v>
      </c>
      <c r="DW5" s="900">
        <v>17919.599999999999</v>
      </c>
      <c r="DX5" s="138">
        <f>DU5-DW5</f>
        <v>-60.169999999998254</v>
      </c>
      <c r="DY5" s="322"/>
      <c r="DZ5" s="242"/>
      <c r="EA5" s="242" t="s">
        <v>237</v>
      </c>
      <c r="EB5" s="1000" t="s">
        <v>238</v>
      </c>
      <c r="EC5" s="247" t="s">
        <v>269</v>
      </c>
      <c r="ED5" s="248">
        <v>44692</v>
      </c>
      <c r="EE5" s="246">
        <v>18232.04</v>
      </c>
      <c r="EF5" s="243">
        <v>20</v>
      </c>
      <c r="EG5" s="900">
        <v>18249.32</v>
      </c>
      <c r="EH5" s="138">
        <f>EE5-EG5</f>
        <v>-17.279999999998836</v>
      </c>
      <c r="EI5" s="573"/>
      <c r="EJ5" s="242" t="s">
        <v>49</v>
      </c>
      <c r="EK5" s="242" t="s">
        <v>272</v>
      </c>
      <c r="EL5" s="1000" t="s">
        <v>238</v>
      </c>
      <c r="EM5" s="249" t="s">
        <v>273</v>
      </c>
      <c r="EN5" s="248">
        <v>44693</v>
      </c>
      <c r="EO5" s="246">
        <v>18333.689999999999</v>
      </c>
      <c r="EP5" s="243">
        <v>20</v>
      </c>
      <c r="EQ5" s="1080">
        <v>18354.080000000002</v>
      </c>
      <c r="ER5" s="138">
        <f>EO5-EQ5</f>
        <v>-20.390000000003056</v>
      </c>
      <c r="ES5" s="573"/>
      <c r="ET5" s="242"/>
      <c r="EU5" s="1192" t="s">
        <v>237</v>
      </c>
      <c r="EV5" s="1016" t="s">
        <v>238</v>
      </c>
      <c r="EW5" s="247" t="s">
        <v>274</v>
      </c>
      <c r="EX5" s="248">
        <v>44693</v>
      </c>
      <c r="EY5" s="246">
        <v>18562.439999999999</v>
      </c>
      <c r="EZ5" s="243">
        <v>20</v>
      </c>
      <c r="FA5" s="900">
        <v>18680.169999999998</v>
      </c>
      <c r="FB5" s="138">
        <f>EY5-FA5</f>
        <v>-117.72999999999956</v>
      </c>
      <c r="FC5" s="573"/>
      <c r="FD5" s="242"/>
      <c r="FE5" s="242" t="s">
        <v>275</v>
      </c>
      <c r="FF5" s="1017" t="s">
        <v>276</v>
      </c>
      <c r="FG5" s="247" t="s">
        <v>277</v>
      </c>
      <c r="FH5" s="248">
        <v>44693</v>
      </c>
      <c r="FI5" s="246">
        <v>18557.990000000002</v>
      </c>
      <c r="FJ5" s="243">
        <v>20</v>
      </c>
      <c r="FK5" s="1080">
        <v>18497</v>
      </c>
      <c r="FL5" s="138">
        <f>FI5-FK5</f>
        <v>60.990000000001601</v>
      </c>
      <c r="FM5" s="573"/>
      <c r="FN5" s="242"/>
      <c r="FO5" s="511" t="s">
        <v>233</v>
      </c>
      <c r="FP5" s="999" t="s">
        <v>234</v>
      </c>
      <c r="FQ5" s="247" t="s">
        <v>315</v>
      </c>
      <c r="FR5" s="248">
        <v>44693</v>
      </c>
      <c r="FS5" s="246">
        <v>18873.71</v>
      </c>
      <c r="FT5" s="243">
        <v>21</v>
      </c>
      <c r="FU5" s="900">
        <v>18963.61</v>
      </c>
      <c r="FV5" s="138">
        <f>FS5-FU5</f>
        <v>-89.900000000001455</v>
      </c>
      <c r="FW5" s="573"/>
      <c r="FX5" s="242"/>
      <c r="FY5" s="250" t="s">
        <v>233</v>
      </c>
      <c r="FZ5" s="999" t="s">
        <v>234</v>
      </c>
      <c r="GA5" s="249" t="s">
        <v>316</v>
      </c>
      <c r="GB5" s="248">
        <v>44695</v>
      </c>
      <c r="GC5" s="246">
        <v>18914.509999999998</v>
      </c>
      <c r="GD5" s="243">
        <v>21</v>
      </c>
      <c r="GE5" s="900">
        <v>19007.3</v>
      </c>
      <c r="GF5" s="138">
        <f>GC5-GE5</f>
        <v>-92.790000000000873</v>
      </c>
      <c r="GG5" s="573"/>
      <c r="GH5" s="242"/>
      <c r="GI5" s="1196" t="s">
        <v>233</v>
      </c>
      <c r="GJ5" s="999" t="s">
        <v>234</v>
      </c>
      <c r="GK5" s="247" t="s">
        <v>326</v>
      </c>
      <c r="GL5" s="245">
        <v>44698</v>
      </c>
      <c r="GM5" s="246">
        <v>18796.12</v>
      </c>
      <c r="GN5" s="243">
        <v>21</v>
      </c>
      <c r="GO5" s="900">
        <v>18884.900000000001</v>
      </c>
      <c r="GP5" s="138">
        <f>GM5-GO5</f>
        <v>-88.780000000002474</v>
      </c>
      <c r="GQ5" s="573"/>
      <c r="GR5" s="242"/>
      <c r="GS5" s="1192" t="s">
        <v>233</v>
      </c>
      <c r="GT5" s="999" t="s">
        <v>234</v>
      </c>
      <c r="GU5" s="243" t="s">
        <v>327</v>
      </c>
      <c r="GV5" s="245">
        <v>44698</v>
      </c>
      <c r="GW5" s="246">
        <v>18690.79</v>
      </c>
      <c r="GX5" s="243">
        <v>21</v>
      </c>
      <c r="GY5" s="900">
        <v>18776.900000000001</v>
      </c>
      <c r="GZ5" s="138">
        <f>GW5-GY5</f>
        <v>-86.110000000000582</v>
      </c>
      <c r="HA5" s="573"/>
      <c r="HB5" s="242"/>
      <c r="HC5" s="1195" t="s">
        <v>237</v>
      </c>
      <c r="HD5" s="1000" t="s">
        <v>238</v>
      </c>
      <c r="HE5" s="247" t="s">
        <v>328</v>
      </c>
      <c r="HF5" s="245">
        <v>44699</v>
      </c>
      <c r="HG5" s="246">
        <v>18660.62</v>
      </c>
      <c r="HH5" s="243">
        <v>20</v>
      </c>
      <c r="HI5" s="900">
        <v>18707.05</v>
      </c>
      <c r="HJ5" s="138">
        <f>HG5-HI5</f>
        <v>-46.430000000000291</v>
      </c>
      <c r="HK5" s="573"/>
      <c r="HL5" s="242"/>
      <c r="HM5" s="242" t="s">
        <v>237</v>
      </c>
      <c r="HN5" s="1000" t="s">
        <v>238</v>
      </c>
      <c r="HO5" s="247" t="s">
        <v>329</v>
      </c>
      <c r="HP5" s="248">
        <v>44700</v>
      </c>
      <c r="HQ5" s="246">
        <v>18800.28</v>
      </c>
      <c r="HR5" s="243">
        <v>20</v>
      </c>
      <c r="HS5" s="1080">
        <v>18873.580000000002</v>
      </c>
      <c r="HT5" s="138">
        <f>HQ5-HS5</f>
        <v>-73.30000000000291</v>
      </c>
      <c r="HU5" s="573"/>
      <c r="HV5" s="242"/>
      <c r="HW5" s="1192" t="s">
        <v>233</v>
      </c>
      <c r="HX5" s="999" t="s">
        <v>234</v>
      </c>
      <c r="HY5" s="247" t="s">
        <v>330</v>
      </c>
      <c r="HZ5" s="248">
        <v>44700</v>
      </c>
      <c r="IA5" s="246">
        <v>18570.07</v>
      </c>
      <c r="IB5" s="243">
        <v>21</v>
      </c>
      <c r="IC5" s="900">
        <v>18649.3</v>
      </c>
      <c r="ID5" s="138">
        <f>IA5-IC5</f>
        <v>-79.229999999999563</v>
      </c>
      <c r="IE5" s="573"/>
      <c r="IF5" s="242"/>
      <c r="IG5" s="1192" t="s">
        <v>272</v>
      </c>
      <c r="IH5" s="1000" t="s">
        <v>238</v>
      </c>
      <c r="II5" s="247" t="s">
        <v>331</v>
      </c>
      <c r="IJ5" s="248">
        <v>44701</v>
      </c>
      <c r="IK5" s="246">
        <v>18885.68</v>
      </c>
      <c r="IL5" s="243">
        <v>20</v>
      </c>
      <c r="IM5" s="900">
        <v>18951.150000000001</v>
      </c>
      <c r="IN5" s="138">
        <f>IK5-IM5</f>
        <v>-65.470000000001164</v>
      </c>
      <c r="IO5" s="573"/>
      <c r="IP5" s="242"/>
      <c r="IQ5" s="1192" t="s">
        <v>233</v>
      </c>
      <c r="IR5" s="1113" t="s">
        <v>234</v>
      </c>
      <c r="IS5" s="249" t="s">
        <v>566</v>
      </c>
      <c r="IT5" s="245">
        <v>44702</v>
      </c>
      <c r="IU5" s="246">
        <v>18647.62</v>
      </c>
      <c r="IV5" s="243">
        <v>21</v>
      </c>
      <c r="IW5" s="241">
        <v>18784.3</v>
      </c>
      <c r="IX5" s="138">
        <f>IU5-IW5</f>
        <v>-136.68000000000029</v>
      </c>
      <c r="IY5" s="573"/>
      <c r="IZ5" s="242"/>
      <c r="JA5" s="242" t="s">
        <v>233</v>
      </c>
      <c r="JB5" s="999" t="s">
        <v>234</v>
      </c>
      <c r="JC5" s="249" t="s">
        <v>569</v>
      </c>
      <c r="JD5" s="248">
        <v>44705</v>
      </c>
      <c r="JE5" s="246">
        <v>18758.22</v>
      </c>
      <c r="JF5" s="243">
        <v>21</v>
      </c>
      <c r="JG5" s="241">
        <v>18794.900000000001</v>
      </c>
      <c r="JH5" s="138">
        <f>JE5-JG5</f>
        <v>-36.680000000000291</v>
      </c>
      <c r="JI5" s="573"/>
      <c r="JJ5" s="242"/>
      <c r="JK5" s="1193" t="s">
        <v>233</v>
      </c>
      <c r="JL5" s="1115" t="s">
        <v>234</v>
      </c>
      <c r="JM5" s="247" t="s">
        <v>570</v>
      </c>
      <c r="JN5" s="248">
        <v>44705</v>
      </c>
      <c r="JO5" s="246">
        <v>19013.72</v>
      </c>
      <c r="JP5" s="243">
        <v>21</v>
      </c>
      <c r="JQ5" s="270">
        <v>19065.5</v>
      </c>
      <c r="JR5" s="138">
        <f>JO5-JQ5</f>
        <v>-51.779999999998836</v>
      </c>
      <c r="JS5" s="573"/>
      <c r="JT5" s="242"/>
      <c r="JU5" s="250" t="s">
        <v>237</v>
      </c>
      <c r="JV5" s="1000" t="s">
        <v>238</v>
      </c>
      <c r="JW5" s="249" t="s">
        <v>571</v>
      </c>
      <c r="JX5" s="248">
        <v>44705</v>
      </c>
      <c r="JY5" s="246">
        <v>18733.169999999998</v>
      </c>
      <c r="JZ5" s="243">
        <v>20</v>
      </c>
      <c r="KA5" s="241">
        <v>18820.8</v>
      </c>
      <c r="KB5" s="138">
        <f>JY5-KA5</f>
        <v>-87.630000000001019</v>
      </c>
      <c r="KC5" s="573"/>
      <c r="KD5" s="242"/>
      <c r="KE5" s="1196" t="s">
        <v>237</v>
      </c>
      <c r="KF5" s="1000" t="s">
        <v>238</v>
      </c>
      <c r="KG5" s="249" t="s">
        <v>572</v>
      </c>
      <c r="KH5" s="248">
        <v>44706</v>
      </c>
      <c r="KI5" s="246">
        <v>18848.919999999998</v>
      </c>
      <c r="KJ5" s="243">
        <v>20</v>
      </c>
      <c r="KK5" s="241">
        <v>18884.77</v>
      </c>
      <c r="KL5" s="138">
        <f>KI5-KK5</f>
        <v>-35.850000000002183</v>
      </c>
      <c r="KM5" s="573"/>
      <c r="KN5" s="242"/>
      <c r="KO5" s="250" t="s">
        <v>233</v>
      </c>
      <c r="KP5" s="999" t="s">
        <v>234</v>
      </c>
      <c r="KQ5" s="249" t="s">
        <v>573</v>
      </c>
      <c r="KR5" s="248">
        <v>44707</v>
      </c>
      <c r="KS5" s="246">
        <v>18889.72</v>
      </c>
      <c r="KT5" s="243">
        <v>21</v>
      </c>
      <c r="KU5" s="241">
        <v>18947.599999999999</v>
      </c>
      <c r="KV5" s="138">
        <f>KS5-KU5</f>
        <v>-57.879999999997381</v>
      </c>
      <c r="KW5" s="573"/>
      <c r="KX5" s="242"/>
      <c r="KY5" s="250" t="s">
        <v>233</v>
      </c>
      <c r="KZ5" s="999" t="s">
        <v>234</v>
      </c>
      <c r="LA5" s="249" t="s">
        <v>576</v>
      </c>
      <c r="LB5" s="245">
        <v>44708</v>
      </c>
      <c r="LC5" s="246">
        <v>18647.52</v>
      </c>
      <c r="LD5" s="243">
        <v>21</v>
      </c>
      <c r="LE5" s="241">
        <v>18720.7</v>
      </c>
      <c r="LF5" s="138">
        <f>LC5-LE5</f>
        <v>-73.180000000000291</v>
      </c>
      <c r="LG5" s="573"/>
      <c r="LH5" s="242" t="s">
        <v>41</v>
      </c>
      <c r="LI5" s="242" t="s">
        <v>237</v>
      </c>
      <c r="LJ5" s="1000" t="s">
        <v>577</v>
      </c>
      <c r="LK5" s="247" t="s">
        <v>578</v>
      </c>
      <c r="LL5" s="248">
        <v>44708</v>
      </c>
      <c r="LM5" s="246">
        <v>18284.37</v>
      </c>
      <c r="LN5" s="243">
        <v>20</v>
      </c>
      <c r="LO5" s="241">
        <v>18296.16</v>
      </c>
      <c r="LP5" s="138">
        <f>LM5-LO5</f>
        <v>-11.790000000000873</v>
      </c>
      <c r="LQ5" s="573"/>
      <c r="LS5" s="242"/>
      <c r="LT5" s="243"/>
      <c r="LU5" s="244"/>
      <c r="LV5" s="248"/>
      <c r="LW5" s="246"/>
      <c r="LX5" s="243"/>
      <c r="LY5" s="241"/>
      <c r="LZ5" s="138">
        <f>LW5-LY5</f>
        <v>0</v>
      </c>
      <c r="MA5" s="573"/>
      <c r="MB5" s="322"/>
      <c r="MC5" s="242"/>
      <c r="MD5" s="243"/>
      <c r="ME5" s="244"/>
      <c r="MF5" s="245"/>
      <c r="MG5" s="246"/>
      <c r="MH5" s="243"/>
      <c r="MI5" s="241"/>
      <c r="MJ5" s="138">
        <f>MG5-MI5</f>
        <v>0</v>
      </c>
      <c r="MK5" s="138"/>
      <c r="MM5" s="242"/>
      <c r="MN5" s="243"/>
      <c r="MO5" s="247"/>
      <c r="MP5" s="245"/>
      <c r="MQ5" s="246"/>
      <c r="MR5" s="243"/>
      <c r="MS5" s="241"/>
      <c r="MT5" s="138">
        <f>MQ5-MS5</f>
        <v>0</v>
      </c>
      <c r="MU5" s="138"/>
      <c r="MW5" s="242"/>
      <c r="MX5" s="243"/>
      <c r="MY5" s="247"/>
      <c r="MZ5" s="245"/>
      <c r="NA5" s="246"/>
      <c r="NB5" s="243"/>
      <c r="NC5" s="241"/>
      <c r="ND5" s="138">
        <f>NA5-NC5</f>
        <v>0</v>
      </c>
      <c r="NE5" s="138"/>
      <c r="NG5" s="242"/>
      <c r="NH5" s="243"/>
      <c r="NI5" s="244"/>
      <c r="NJ5" s="245"/>
      <c r="NK5" s="246"/>
      <c r="NL5" s="243"/>
      <c r="NM5" s="241"/>
      <c r="NN5" s="138">
        <f>NK5-NM5</f>
        <v>0</v>
      </c>
      <c r="NO5" s="138"/>
      <c r="NQ5" s="344"/>
      <c r="NR5" s="243"/>
      <c r="NS5" s="244"/>
      <c r="NT5" s="245"/>
      <c r="NU5" s="246"/>
      <c r="NV5" s="243"/>
      <c r="NW5" s="241"/>
      <c r="NX5" s="138">
        <f>NU5-NW5</f>
        <v>0</v>
      </c>
      <c r="NY5" s="138"/>
      <c r="OA5" s="242"/>
      <c r="OB5" s="243"/>
      <c r="OC5" s="247"/>
      <c r="OD5" s="245"/>
      <c r="OE5" s="246"/>
      <c r="OF5" s="243"/>
      <c r="OG5" s="241"/>
      <c r="OH5" s="138">
        <f>OE5-OG5</f>
        <v>0</v>
      </c>
      <c r="OI5" s="138"/>
      <c r="OK5" s="242"/>
      <c r="OL5" s="243"/>
      <c r="OM5" s="244"/>
      <c r="ON5" s="245"/>
      <c r="OO5" s="246"/>
      <c r="OP5" s="243"/>
      <c r="OQ5" s="241"/>
      <c r="OR5" s="138">
        <f>OO5-OQ5</f>
        <v>0</v>
      </c>
      <c r="OS5" s="138"/>
      <c r="OU5" s="242"/>
      <c r="OV5" s="243"/>
      <c r="OW5" s="244"/>
      <c r="OX5" s="248"/>
      <c r="OY5" s="246"/>
      <c r="OZ5" s="243"/>
      <c r="PA5" s="241"/>
      <c r="PB5" s="138">
        <f>OY5-PA5</f>
        <v>0</v>
      </c>
      <c r="PC5" s="138"/>
      <c r="PE5" s="242"/>
      <c r="PF5" s="243"/>
      <c r="PG5" s="247"/>
      <c r="PH5" s="245"/>
      <c r="PI5" s="246"/>
      <c r="PJ5" s="243"/>
      <c r="PK5" s="241"/>
      <c r="PL5" s="138">
        <f>PI5-PK5</f>
        <v>0</v>
      </c>
      <c r="PM5" s="138"/>
      <c r="PO5" s="242"/>
      <c r="PP5" s="243"/>
      <c r="PQ5" s="244"/>
      <c r="PR5" s="248"/>
      <c r="PS5" s="246"/>
      <c r="PT5" s="243"/>
      <c r="PU5" s="241"/>
      <c r="PV5" s="138">
        <f>PS5-PU5</f>
        <v>0</v>
      </c>
      <c r="PX5" s="242"/>
      <c r="PY5" s="243"/>
      <c r="PZ5" s="244"/>
      <c r="QA5" s="245"/>
      <c r="QB5" s="246"/>
      <c r="QC5" s="243"/>
      <c r="QD5" s="241"/>
      <c r="QE5" s="138">
        <f>QB5-QD5</f>
        <v>0</v>
      </c>
      <c r="QG5" s="242"/>
      <c r="QH5" s="243"/>
      <c r="QI5" s="244"/>
      <c r="QJ5" s="248"/>
      <c r="QK5" s="246"/>
      <c r="QL5" s="243"/>
      <c r="QM5" s="241"/>
      <c r="QN5" s="138">
        <f>QK5-QM5</f>
        <v>0</v>
      </c>
      <c r="QP5" s="242"/>
      <c r="QQ5" s="243"/>
      <c r="QR5" s="247"/>
      <c r="QS5" s="248"/>
      <c r="QT5" s="246"/>
      <c r="QU5" s="243"/>
      <c r="QV5" s="241"/>
      <c r="QW5" s="138">
        <f>QT5-QV5</f>
        <v>0</v>
      </c>
      <c r="QY5" s="242"/>
      <c r="QZ5" s="243"/>
      <c r="RA5" s="244"/>
      <c r="RB5" s="248"/>
      <c r="RC5" s="246"/>
      <c r="RD5" s="243"/>
      <c r="RE5" s="241"/>
      <c r="RF5" s="138">
        <f>RC5-RE5</f>
        <v>0</v>
      </c>
      <c r="RH5" s="242"/>
      <c r="RI5" s="343"/>
      <c r="RJ5" s="244"/>
      <c r="RK5" s="245"/>
      <c r="RL5" s="246"/>
      <c r="RM5" s="243"/>
      <c r="RN5" s="241"/>
      <c r="RO5" s="138">
        <f>RL5-RN5</f>
        <v>0</v>
      </c>
      <c r="RQ5" s="242"/>
      <c r="RR5" s="343"/>
      <c r="RS5" s="244"/>
      <c r="RT5" s="248"/>
      <c r="RU5" s="246"/>
      <c r="RV5" s="243"/>
      <c r="RW5" s="241"/>
      <c r="RX5" s="138">
        <f>RU5-RW5</f>
        <v>0</v>
      </c>
      <c r="SA5" s="185"/>
      <c r="SB5" s="102"/>
      <c r="SC5" s="134"/>
      <c r="SD5" s="86"/>
      <c r="SE5" s="73"/>
      <c r="SF5" s="48"/>
      <c r="SG5" s="138">
        <f>SD5-SF5</f>
        <v>0</v>
      </c>
      <c r="SI5" s="131"/>
      <c r="SJ5" s="185"/>
      <c r="SK5" s="102"/>
      <c r="SL5" s="134"/>
      <c r="SM5" s="86"/>
      <c r="SN5" s="73"/>
      <c r="SO5" s="48"/>
      <c r="SP5" s="138">
        <f>SM5-SO5</f>
        <v>0</v>
      </c>
      <c r="SR5" s="131"/>
      <c r="SS5" s="230"/>
      <c r="ST5" s="102"/>
      <c r="SU5" s="134"/>
      <c r="SV5" s="86"/>
      <c r="SW5" s="73"/>
      <c r="SX5" s="48"/>
      <c r="SY5" s="138">
        <f>SV5-SX5</f>
        <v>0</v>
      </c>
      <c r="TA5" s="131"/>
      <c r="TB5" s="185"/>
      <c r="TC5" s="102"/>
      <c r="TD5" s="135"/>
      <c r="TE5" s="86"/>
      <c r="TF5" s="73"/>
      <c r="TG5" s="48"/>
      <c r="TH5" s="138">
        <f>TE5-TG5</f>
        <v>0</v>
      </c>
      <c r="TK5" s="185"/>
      <c r="TL5" s="102"/>
      <c r="TM5" s="134"/>
      <c r="TN5" s="86"/>
      <c r="TO5" s="73"/>
      <c r="TP5" s="48"/>
      <c r="TQ5" s="138">
        <f>TN5-TP5</f>
        <v>0</v>
      </c>
      <c r="TT5" s="171"/>
      <c r="TU5" s="102"/>
      <c r="TV5" s="135"/>
      <c r="TW5" s="86"/>
      <c r="TX5" s="73"/>
      <c r="TY5" s="48"/>
      <c r="TZ5" s="138">
        <f>TW5-TY5</f>
        <v>0</v>
      </c>
      <c r="UC5" s="185"/>
      <c r="UD5" s="102"/>
      <c r="UE5" s="134"/>
      <c r="UF5" s="86"/>
      <c r="UG5" s="73"/>
      <c r="UH5" s="48"/>
      <c r="UI5" s="138">
        <f>UF5-UH5</f>
        <v>0</v>
      </c>
      <c r="UL5" s="171"/>
      <c r="UM5" s="102"/>
      <c r="UN5" s="135"/>
      <c r="UO5" s="86"/>
      <c r="UP5" s="73"/>
      <c r="UQ5" s="48"/>
      <c r="UR5" s="138">
        <f>UO5-UQ5</f>
        <v>0</v>
      </c>
      <c r="UT5" s="131"/>
      <c r="UU5" s="171"/>
      <c r="UV5" s="102"/>
      <c r="UW5" s="134"/>
      <c r="UX5" s="86"/>
      <c r="UY5" s="73"/>
      <c r="UZ5" s="48"/>
      <c r="VA5" s="138">
        <f>UX5-UZ5</f>
        <v>0</v>
      </c>
      <c r="VD5" s="171"/>
      <c r="VE5" s="102"/>
      <c r="VF5" s="134"/>
      <c r="VG5" s="86"/>
      <c r="VH5" s="73"/>
      <c r="VI5" s="48"/>
      <c r="VJ5" s="138">
        <f>VG5-VI5</f>
        <v>0</v>
      </c>
      <c r="VM5" s="171"/>
      <c r="VN5" s="102"/>
      <c r="VO5" s="134"/>
      <c r="VP5" s="86"/>
      <c r="VQ5" s="73"/>
      <c r="VR5" s="48"/>
      <c r="VS5" s="138">
        <f>VP5-VR5</f>
        <v>0</v>
      </c>
      <c r="VV5" s="171"/>
      <c r="VW5" s="102"/>
      <c r="VX5" s="134"/>
      <c r="VY5" s="86"/>
      <c r="VZ5" s="73"/>
      <c r="WA5" s="48"/>
      <c r="WB5" s="138">
        <f>VY5-WA5</f>
        <v>0</v>
      </c>
      <c r="WE5" s="171"/>
      <c r="WF5" s="102"/>
      <c r="WG5" s="134"/>
      <c r="WH5" s="86"/>
      <c r="WI5" s="73"/>
      <c r="WJ5" s="48"/>
      <c r="WK5" s="138">
        <f>WH5-WJ5</f>
        <v>0</v>
      </c>
      <c r="WN5" s="171"/>
      <c r="WO5" s="102"/>
      <c r="WP5" s="134"/>
      <c r="WQ5" s="86"/>
      <c r="WR5" s="73"/>
      <c r="WS5" s="48"/>
      <c r="WT5" s="138">
        <f>WQ5-WS5</f>
        <v>0</v>
      </c>
      <c r="WV5" s="131"/>
      <c r="WW5" s="171"/>
      <c r="WX5" s="102"/>
      <c r="WY5" s="134"/>
      <c r="WZ5" s="86"/>
      <c r="XA5" s="73"/>
      <c r="XB5" s="48"/>
      <c r="XC5" s="138">
        <f>WZ5-XB5</f>
        <v>0</v>
      </c>
      <c r="XF5" s="171"/>
      <c r="XG5" s="102"/>
      <c r="XH5" s="134"/>
      <c r="XI5" s="86"/>
      <c r="XJ5" s="73"/>
      <c r="XK5" s="48"/>
      <c r="XL5" s="138">
        <f>XI5-XK5</f>
        <v>0</v>
      </c>
      <c r="XO5" s="171"/>
      <c r="XP5" s="102"/>
      <c r="XQ5" s="134"/>
      <c r="XR5" s="86"/>
      <c r="XS5" s="73"/>
      <c r="XT5" s="48"/>
      <c r="XU5" s="138">
        <f>XR5-XT5</f>
        <v>0</v>
      </c>
      <c r="XX5" s="171"/>
      <c r="XY5" s="102"/>
      <c r="XZ5" s="134"/>
      <c r="YA5" s="86"/>
      <c r="YB5" s="73"/>
      <c r="YC5" s="48"/>
      <c r="YD5" s="138">
        <f>YA5-YC5</f>
        <v>0</v>
      </c>
      <c r="YF5" s="130"/>
      <c r="YG5" s="185"/>
      <c r="YH5" s="102"/>
      <c r="YI5" s="134"/>
      <c r="YJ5" s="86"/>
      <c r="YK5" s="73"/>
      <c r="YL5" s="48"/>
      <c r="YM5" s="138">
        <f>YJ5-YL5</f>
        <v>0</v>
      </c>
      <c r="YP5" s="171"/>
      <c r="YQ5" s="102"/>
      <c r="YR5" s="134"/>
      <c r="YS5" s="86"/>
      <c r="YT5" s="73"/>
      <c r="YU5" s="48"/>
      <c r="YV5" s="138">
        <f>YS5-YU5</f>
        <v>0</v>
      </c>
      <c r="YY5" s="171"/>
      <c r="YZ5" s="102"/>
      <c r="ZA5" s="134"/>
      <c r="ZB5" s="86"/>
      <c r="ZC5" s="73"/>
      <c r="ZD5" s="48"/>
      <c r="ZE5" s="138">
        <f>ZB5-ZD5</f>
        <v>0</v>
      </c>
      <c r="ZH5" s="171"/>
      <c r="ZI5" s="102"/>
      <c r="ZJ5" s="134"/>
      <c r="ZK5" s="86"/>
      <c r="ZL5" s="73"/>
      <c r="ZM5" s="48"/>
      <c r="ZN5" s="138">
        <f>ZK5-ZM5</f>
        <v>0</v>
      </c>
      <c r="ZQ5" s="171"/>
      <c r="ZR5" s="102"/>
      <c r="ZS5" s="134"/>
      <c r="ZT5" s="86"/>
      <c r="ZU5" s="73"/>
      <c r="ZV5" s="48"/>
      <c r="ZW5" s="138">
        <f>ZT5-ZV5</f>
        <v>0</v>
      </c>
      <c r="ZY5" s="131"/>
      <c r="ZZ5" s="171"/>
      <c r="AAA5" s="102"/>
      <c r="AAB5" s="134"/>
      <c r="AAC5" s="86"/>
      <c r="AAD5" s="73"/>
      <c r="AAE5" s="48"/>
      <c r="AAF5" s="138">
        <f>AAC5-AAE5</f>
        <v>0</v>
      </c>
      <c r="AAI5" s="171"/>
      <c r="AAJ5" s="102"/>
      <c r="AAK5" s="134"/>
      <c r="AAL5" s="86"/>
      <c r="AAM5" s="73"/>
      <c r="AAN5" s="48"/>
      <c r="AAO5" s="138">
        <f>AAL5-AAN5</f>
        <v>0</v>
      </c>
      <c r="AAR5" s="171"/>
      <c r="AAS5" s="102"/>
      <c r="AAT5" s="134"/>
      <c r="AAU5" s="86"/>
      <c r="AAV5" s="73"/>
      <c r="AAW5" s="48"/>
      <c r="AAX5" s="138">
        <f>AAU5-AAW5</f>
        <v>0</v>
      </c>
      <c r="ABA5" s="171"/>
      <c r="ABB5" s="102"/>
      <c r="ABC5" s="134"/>
      <c r="ABD5" s="86"/>
      <c r="ABE5" s="73"/>
      <c r="ABF5" s="48"/>
      <c r="ABG5" s="138">
        <f>ABD5-ABF5</f>
        <v>0</v>
      </c>
      <c r="ABJ5" s="171"/>
      <c r="ABK5" s="102"/>
      <c r="ABL5" s="134"/>
      <c r="ABM5" s="86"/>
      <c r="ABN5" s="73"/>
      <c r="ABO5" s="48"/>
      <c r="ABP5" s="138">
        <f>ABM5-ABO5</f>
        <v>0</v>
      </c>
      <c r="ABS5" s="171"/>
      <c r="ABT5" s="102"/>
      <c r="ABU5" s="134"/>
      <c r="ABV5" s="86"/>
      <c r="ABW5" s="73"/>
      <c r="ABX5" s="48"/>
      <c r="ABY5" s="138">
        <f>ABV5-ABX5</f>
        <v>0</v>
      </c>
      <c r="ACB5" s="171"/>
      <c r="ACC5" s="102"/>
      <c r="ACD5" s="134"/>
      <c r="ACE5" s="86"/>
      <c r="ACF5" s="73"/>
      <c r="ACG5" s="48"/>
      <c r="ACH5" s="138">
        <f>ACE5-ACG5</f>
        <v>0</v>
      </c>
      <c r="ACK5" s="171"/>
      <c r="ACL5" s="102"/>
      <c r="ACM5" s="134"/>
      <c r="ACN5" s="86"/>
      <c r="ACO5" s="73"/>
      <c r="ACP5" s="48"/>
      <c r="ACQ5" s="138">
        <f>ACN5-ACP5</f>
        <v>0</v>
      </c>
      <c r="ACS5" s="131"/>
      <c r="ACT5" s="171"/>
      <c r="ACU5" s="102"/>
      <c r="ACV5" s="134"/>
      <c r="ACW5" s="86"/>
      <c r="ACX5" s="73"/>
      <c r="ACY5" s="48"/>
      <c r="ACZ5" s="138">
        <f>ACW5-ACY5</f>
        <v>0</v>
      </c>
      <c r="ADB5" s="131"/>
      <c r="ADC5" s="171"/>
      <c r="ADD5" s="102"/>
      <c r="ADE5" s="134"/>
      <c r="ADF5" s="86"/>
      <c r="ADG5" s="73"/>
      <c r="ADH5" s="48"/>
      <c r="ADI5" s="138">
        <f>ADF5-ADH5</f>
        <v>0</v>
      </c>
      <c r="ADK5" s="131"/>
      <c r="ADL5" s="171"/>
      <c r="ADM5" s="102"/>
      <c r="ADN5" s="134"/>
      <c r="ADO5" s="86"/>
      <c r="ADP5" s="73"/>
      <c r="ADQ5" s="48"/>
      <c r="ADR5" s="138">
        <f>ADO5-ADQ5</f>
        <v>0</v>
      </c>
      <c r="ADT5" s="131"/>
      <c r="ADU5" s="171"/>
      <c r="ADV5" s="102"/>
      <c r="ADW5" s="134"/>
      <c r="ADX5" s="86"/>
      <c r="ADY5" s="73"/>
      <c r="ADZ5" s="48"/>
      <c r="AEA5" s="138">
        <f>ADX5-ADZ5</f>
        <v>0</v>
      </c>
      <c r="AED5" s="171"/>
      <c r="AEE5" s="102"/>
      <c r="AEF5" s="134"/>
      <c r="AEG5" s="86"/>
      <c r="AEH5" s="73"/>
      <c r="AEI5" s="48"/>
      <c r="AEJ5" s="138">
        <f>AEG5-AEI5</f>
        <v>0</v>
      </c>
      <c r="AEM5" s="171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TYSON FRESH MEATS</v>
      </c>
      <c r="C6" s="75" t="str">
        <f t="shared" si="2"/>
        <v xml:space="preserve">I B P </v>
      </c>
      <c r="D6" s="102" t="str">
        <f t="shared" si="2"/>
        <v>PED. 81605937</v>
      </c>
      <c r="E6" s="135">
        <f t="shared" si="2"/>
        <v>44685</v>
      </c>
      <c r="F6" s="86">
        <f t="shared" si="2"/>
        <v>18668.12</v>
      </c>
      <c r="G6" s="73">
        <f t="shared" si="2"/>
        <v>20</v>
      </c>
      <c r="H6" s="48">
        <f t="shared" si="2"/>
        <v>18676.11</v>
      </c>
      <c r="I6" s="105">
        <f>AL5</f>
        <v>-7.9900000000016007</v>
      </c>
      <c r="K6" s="1196"/>
      <c r="L6" s="254"/>
      <c r="M6" s="242"/>
      <c r="N6" s="242"/>
      <c r="O6" s="242"/>
      <c r="P6" s="242"/>
      <c r="Q6" s="243"/>
      <c r="R6" s="242"/>
      <c r="S6" s="322"/>
      <c r="T6" s="242"/>
      <c r="U6" s="250"/>
      <c r="V6" s="254"/>
      <c r="W6" s="242"/>
      <c r="X6" s="242"/>
      <c r="Y6" s="242"/>
      <c r="Z6" s="242"/>
      <c r="AA6" s="243"/>
      <c r="AB6" s="242"/>
      <c r="AC6" s="322"/>
      <c r="AD6" s="242"/>
      <c r="AE6" s="250"/>
      <c r="AF6" s="367"/>
      <c r="AG6" s="242"/>
      <c r="AH6" s="242"/>
      <c r="AI6" s="242"/>
      <c r="AJ6" s="242"/>
      <c r="AK6" s="243"/>
      <c r="AL6" s="242"/>
      <c r="AM6" s="322"/>
      <c r="AN6" s="242"/>
      <c r="AO6" s="242"/>
      <c r="AP6" s="254"/>
      <c r="AQ6" s="242"/>
      <c r="AR6" s="242"/>
      <c r="AS6" s="242"/>
      <c r="AT6" s="242"/>
      <c r="AU6" s="243"/>
      <c r="AY6" s="242"/>
      <c r="AZ6" s="254"/>
      <c r="BA6" s="242"/>
      <c r="BB6" s="242"/>
      <c r="BC6" s="242"/>
      <c r="BD6" s="242"/>
      <c r="BE6" s="243"/>
      <c r="BH6" s="242"/>
      <c r="BI6" s="1192"/>
      <c r="BJ6" s="914"/>
      <c r="BK6" s="242"/>
      <c r="BL6" s="242"/>
      <c r="BM6" s="242"/>
      <c r="BN6" s="242"/>
      <c r="BO6" s="243"/>
      <c r="BP6" s="242"/>
      <c r="BQ6" s="322"/>
      <c r="BR6" s="242"/>
      <c r="BS6" s="1195"/>
      <c r="BT6" s="254"/>
      <c r="BU6" s="242"/>
      <c r="BV6" s="242"/>
      <c r="BW6" s="242"/>
      <c r="BX6" s="242"/>
      <c r="BY6" s="243"/>
      <c r="BZ6" s="242"/>
      <c r="CA6" s="322"/>
      <c r="CB6" s="322"/>
      <c r="CC6" s="250"/>
      <c r="CD6" s="254"/>
      <c r="CE6" s="242"/>
      <c r="CF6" s="242"/>
      <c r="CG6" s="242"/>
      <c r="CH6" s="242"/>
      <c r="CI6" s="243"/>
      <c r="CJ6" s="242"/>
      <c r="CK6" s="322"/>
      <c r="CL6" s="322"/>
      <c r="CM6" s="1192"/>
      <c r="CN6" s="615"/>
      <c r="CO6" s="242"/>
      <c r="CP6" s="242"/>
      <c r="CQ6" s="242"/>
      <c r="CR6" s="242"/>
      <c r="CS6" s="243"/>
      <c r="CT6" s="242"/>
      <c r="CU6" s="322"/>
      <c r="CV6" s="242"/>
      <c r="CW6" s="250"/>
      <c r="CX6" s="254"/>
      <c r="CY6" s="242"/>
      <c r="CZ6" s="242"/>
      <c r="DA6" s="242"/>
      <c r="DB6" s="242"/>
      <c r="DC6" s="243"/>
      <c r="DD6" s="242"/>
      <c r="DE6" s="322"/>
      <c r="DF6" s="242"/>
      <c r="DG6" s="253"/>
      <c r="DH6" s="254"/>
      <c r="DI6" s="242"/>
      <c r="DJ6" s="242"/>
      <c r="DK6" s="242"/>
      <c r="DL6" s="242"/>
      <c r="DM6" s="243"/>
      <c r="DN6" s="242"/>
      <c r="DO6" s="322"/>
      <c r="DP6" s="242"/>
      <c r="DQ6" s="1193"/>
      <c r="DR6" s="254"/>
      <c r="DS6" s="242"/>
      <c r="DT6" s="242"/>
      <c r="DU6" s="242"/>
      <c r="DV6" s="242"/>
      <c r="DW6" s="243"/>
      <c r="DX6" s="242"/>
      <c r="DY6" s="322"/>
      <c r="DZ6" s="242"/>
      <c r="EA6" s="242"/>
      <c r="EB6" s="254"/>
      <c r="EC6" s="242"/>
      <c r="ED6" s="242"/>
      <c r="EE6" s="242"/>
      <c r="EF6" s="242"/>
      <c r="EG6" s="243"/>
      <c r="EH6" s="242"/>
      <c r="EI6" s="322"/>
      <c r="EJ6" s="242"/>
      <c r="EK6" s="252"/>
      <c r="EL6" s="254"/>
      <c r="EM6" s="242"/>
      <c r="EN6" s="242"/>
      <c r="EO6" s="242"/>
      <c r="EP6" s="242"/>
      <c r="EQ6" s="243"/>
      <c r="ER6" s="242"/>
      <c r="ES6" s="322"/>
      <c r="ET6" s="242"/>
      <c r="EU6" s="1192"/>
      <c r="EV6" s="242"/>
      <c r="EW6" s="242"/>
      <c r="EX6" s="242"/>
      <c r="EY6" s="242"/>
      <c r="EZ6" s="242"/>
      <c r="FA6" s="243"/>
      <c r="FB6" s="242"/>
      <c r="FC6" s="322"/>
      <c r="FD6" s="242"/>
      <c r="FE6" s="252"/>
      <c r="FF6" s="254"/>
      <c r="FG6" s="242"/>
      <c r="FH6" s="242"/>
      <c r="FI6" s="242"/>
      <c r="FJ6" s="242"/>
      <c r="FK6" s="243"/>
      <c r="FL6" s="242"/>
      <c r="FM6" s="322"/>
      <c r="FN6" s="242"/>
      <c r="FO6" s="250"/>
      <c r="FP6" s="254"/>
      <c r="FQ6" s="242"/>
      <c r="FR6" s="242"/>
      <c r="FS6" s="242"/>
      <c r="FT6" s="242"/>
      <c r="FU6" s="243"/>
      <c r="FV6" s="242"/>
      <c r="FW6" s="322"/>
      <c r="FX6" s="242"/>
      <c r="FY6" s="250"/>
      <c r="FZ6" s="254"/>
      <c r="GA6" s="242"/>
      <c r="GB6" s="242"/>
      <c r="GC6" s="242"/>
      <c r="GD6" s="242"/>
      <c r="GE6" s="243"/>
      <c r="GF6" s="242"/>
      <c r="GG6" s="322"/>
      <c r="GH6" s="242"/>
      <c r="GI6" s="1196"/>
      <c r="GJ6" s="254"/>
      <c r="GK6" s="242"/>
      <c r="GL6" s="242"/>
      <c r="GM6" s="242"/>
      <c r="GN6" s="242"/>
      <c r="GO6" s="243"/>
      <c r="GP6" s="242"/>
      <c r="GQ6" s="322"/>
      <c r="GR6" s="242"/>
      <c r="GS6" s="1192"/>
      <c r="GT6" s="251"/>
      <c r="GU6" s="242"/>
      <c r="GV6" s="242"/>
      <c r="GW6" s="242"/>
      <c r="GX6" s="242"/>
      <c r="GY6" s="243"/>
      <c r="GZ6" s="242"/>
      <c r="HA6" s="322"/>
      <c r="HB6" s="242"/>
      <c r="HC6" s="1195"/>
      <c r="HD6" s="254"/>
      <c r="HE6" s="242"/>
      <c r="HF6" s="242"/>
      <c r="HG6" s="242"/>
      <c r="HH6" s="242"/>
      <c r="HI6" s="243"/>
      <c r="HJ6" s="242"/>
      <c r="HK6" s="322"/>
      <c r="HL6" s="242"/>
      <c r="HM6" s="252"/>
      <c r="HN6" s="254"/>
      <c r="HO6" s="242"/>
      <c r="HP6" s="242"/>
      <c r="HQ6" s="242"/>
      <c r="HR6" s="242"/>
      <c r="HS6" s="243"/>
      <c r="HT6" s="242"/>
      <c r="HU6" s="322"/>
      <c r="HV6" s="242"/>
      <c r="HW6" s="1192"/>
      <c r="HX6" s="242"/>
      <c r="HY6" s="242"/>
      <c r="HZ6" s="242"/>
      <c r="IA6" s="242"/>
      <c r="IB6" s="242"/>
      <c r="IC6" s="243"/>
      <c r="ID6" s="242"/>
      <c r="IE6" s="322"/>
      <c r="IF6" s="242"/>
      <c r="IG6" s="1192"/>
      <c r="IH6" s="242"/>
      <c r="II6" s="242"/>
      <c r="IJ6" s="242"/>
      <c r="IK6" s="242"/>
      <c r="IL6" s="242"/>
      <c r="IM6" s="243"/>
      <c r="IN6" s="242"/>
      <c r="IO6" s="322"/>
      <c r="IP6" s="242"/>
      <c r="IQ6" s="1192"/>
      <c r="IR6" s="254"/>
      <c r="IS6" s="242"/>
      <c r="IT6" s="242"/>
      <c r="IU6" s="242"/>
      <c r="IV6" s="242"/>
      <c r="IW6" s="243"/>
      <c r="IX6" s="242"/>
      <c r="IY6" s="322"/>
      <c r="IZ6" s="242"/>
      <c r="JA6" s="242"/>
      <c r="JB6" s="242"/>
      <c r="JC6" s="242"/>
      <c r="JD6" s="242"/>
      <c r="JE6" s="242"/>
      <c r="JF6" s="242"/>
      <c r="JG6" s="243"/>
      <c r="JH6" s="242"/>
      <c r="JI6" s="322"/>
      <c r="JJ6" s="242"/>
      <c r="JK6" s="1193"/>
      <c r="JL6" s="254"/>
      <c r="JM6" s="242"/>
      <c r="JN6" s="242"/>
      <c r="JO6" s="242"/>
      <c r="JP6" s="242"/>
      <c r="JQ6" s="243"/>
      <c r="JR6" s="242"/>
      <c r="JS6" s="322"/>
      <c r="JT6" s="242"/>
      <c r="JU6" s="250"/>
      <c r="JV6" s="254"/>
      <c r="JW6" s="242"/>
      <c r="JX6" s="242"/>
      <c r="JY6" s="242"/>
      <c r="JZ6" s="242"/>
      <c r="KA6" s="243"/>
      <c r="KB6" s="242"/>
      <c r="KC6" s="322"/>
      <c r="KD6" s="242"/>
      <c r="KE6" s="1196"/>
      <c r="KF6" s="254"/>
      <c r="KG6" s="242"/>
      <c r="KH6" s="242"/>
      <c r="KI6" s="242"/>
      <c r="KJ6" s="242"/>
      <c r="KK6" s="243"/>
      <c r="KL6" s="242"/>
      <c r="KM6" s="322"/>
      <c r="KN6" s="242"/>
      <c r="KO6" s="250"/>
      <c r="KP6" s="254"/>
      <c r="KQ6" s="242"/>
      <c r="KR6" s="242"/>
      <c r="KS6" s="242"/>
      <c r="KT6" s="242"/>
      <c r="KU6" s="243"/>
      <c r="KV6" s="242"/>
      <c r="KW6" s="322"/>
      <c r="KX6" s="242"/>
      <c r="KY6" s="250"/>
      <c r="KZ6" s="367"/>
      <c r="LA6" s="242"/>
      <c r="LB6" s="242"/>
      <c r="LC6" s="242"/>
      <c r="LD6" s="242"/>
      <c r="LE6" s="243"/>
      <c r="LF6" s="242"/>
      <c r="LG6" s="322"/>
      <c r="LH6" s="242"/>
      <c r="LI6" s="242"/>
      <c r="LJ6" s="254"/>
      <c r="LK6" s="242"/>
      <c r="LL6" s="242"/>
      <c r="LM6" s="242"/>
      <c r="LN6" s="242"/>
      <c r="LO6" s="243"/>
      <c r="LS6" s="242"/>
      <c r="LT6" s="254"/>
      <c r="LU6" s="242"/>
      <c r="LV6" s="242"/>
      <c r="LW6" s="242"/>
      <c r="LX6" s="242"/>
      <c r="LY6" s="243"/>
      <c r="MA6" s="569"/>
      <c r="MB6" s="569"/>
      <c r="MC6" s="242"/>
      <c r="MD6" s="254"/>
      <c r="ME6" s="242"/>
      <c r="MF6" s="242"/>
      <c r="MG6" s="242"/>
      <c r="MH6" s="242"/>
      <c r="MI6" s="243"/>
      <c r="MM6" s="242"/>
      <c r="MN6" s="251"/>
      <c r="MO6" s="242"/>
      <c r="MP6" s="242"/>
      <c r="MQ6" s="242"/>
      <c r="MR6" s="242"/>
      <c r="MS6" s="243"/>
      <c r="MW6" s="242"/>
      <c r="MX6" s="251"/>
      <c r="MY6" s="242"/>
      <c r="MZ6" s="242"/>
      <c r="NA6" s="242"/>
      <c r="NB6" s="242"/>
      <c r="NC6" s="243"/>
      <c r="NG6" s="242"/>
      <c r="NH6" s="254"/>
      <c r="NI6" s="242"/>
      <c r="NJ6" s="242"/>
      <c r="NK6" s="242"/>
      <c r="NL6" s="242"/>
      <c r="NM6" s="243"/>
      <c r="NQ6" s="344"/>
      <c r="NR6" s="254"/>
      <c r="NS6" s="242"/>
      <c r="NT6" s="242"/>
      <c r="NU6" s="242"/>
      <c r="NV6" s="242"/>
      <c r="NW6" s="243"/>
      <c r="OA6" s="242"/>
      <c r="OB6" s="254"/>
      <c r="OC6" s="242"/>
      <c r="OD6" s="242"/>
      <c r="OE6" s="242"/>
      <c r="OF6" s="242"/>
      <c r="OG6" s="243"/>
      <c r="OK6" s="593"/>
      <c r="OL6" s="254"/>
      <c r="OM6" s="242"/>
      <c r="ON6" s="242"/>
      <c r="OO6" s="242"/>
      <c r="OP6" s="242"/>
      <c r="OQ6" s="243"/>
      <c r="OU6" s="593"/>
      <c r="OV6" s="254"/>
      <c r="OW6" s="242"/>
      <c r="OX6" s="242"/>
      <c r="OY6" s="242"/>
      <c r="OZ6" s="242"/>
      <c r="PA6" s="243"/>
      <c r="PE6" s="242"/>
      <c r="PF6" s="242"/>
      <c r="PG6" s="242"/>
      <c r="PH6" s="242"/>
      <c r="PI6" s="242"/>
      <c r="PJ6" s="242"/>
      <c r="PK6" s="243"/>
      <c r="PX6" s="192"/>
      <c r="QD6" s="73"/>
      <c r="QG6" s="242"/>
      <c r="QH6" s="252"/>
      <c r="QI6" s="242"/>
      <c r="QJ6" s="242"/>
      <c r="QK6" s="242"/>
      <c r="QL6" s="242"/>
      <c r="QM6" s="243"/>
      <c r="QQ6" s="188"/>
      <c r="QV6" s="73"/>
      <c r="QY6" s="188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TYSON FRESH MEATS</v>
      </c>
      <c r="C7" s="75" t="str">
        <f t="shared" ref="C7:I7" si="3">AP5</f>
        <v xml:space="preserve">I B P </v>
      </c>
      <c r="D7" s="102" t="str">
        <f t="shared" si="3"/>
        <v>PED. 81642490</v>
      </c>
      <c r="E7" s="135">
        <f t="shared" si="3"/>
        <v>44686</v>
      </c>
      <c r="F7" s="86">
        <f t="shared" si="3"/>
        <v>18620.82</v>
      </c>
      <c r="G7" s="73">
        <f t="shared" si="3"/>
        <v>20</v>
      </c>
      <c r="H7" s="48">
        <f t="shared" si="3"/>
        <v>18702.89</v>
      </c>
      <c r="I7" s="105">
        <f t="shared" si="3"/>
        <v>-82.069999999999709</v>
      </c>
      <c r="K7" s="242"/>
      <c r="L7" s="374" t="s">
        <v>7</v>
      </c>
      <c r="M7" s="369" t="s">
        <v>8</v>
      </c>
      <c r="N7" s="370" t="s">
        <v>17</v>
      </c>
      <c r="O7" s="371" t="s">
        <v>2</v>
      </c>
      <c r="P7" s="364" t="s">
        <v>18</v>
      </c>
      <c r="Q7" s="372" t="s">
        <v>15</v>
      </c>
      <c r="R7" s="373"/>
      <c r="S7" s="574"/>
      <c r="V7" s="374" t="s">
        <v>7</v>
      </c>
      <c r="W7" s="369" t="s">
        <v>8</v>
      </c>
      <c r="X7" s="370" t="s">
        <v>17</v>
      </c>
      <c r="Y7" s="371" t="s">
        <v>2</v>
      </c>
      <c r="Z7" s="364" t="s">
        <v>18</v>
      </c>
      <c r="AA7" s="372" t="s">
        <v>15</v>
      </c>
      <c r="AB7" s="373"/>
      <c r="AC7" s="574"/>
      <c r="AF7" s="374" t="s">
        <v>7</v>
      </c>
      <c r="AG7" s="369" t="s">
        <v>8</v>
      </c>
      <c r="AH7" s="370" t="s">
        <v>17</v>
      </c>
      <c r="AI7" s="371" t="s">
        <v>2</v>
      </c>
      <c r="AJ7" s="364" t="s">
        <v>18</v>
      </c>
      <c r="AK7" s="372" t="s">
        <v>15</v>
      </c>
      <c r="AL7" s="373"/>
      <c r="AM7" s="574"/>
      <c r="AP7" s="374" t="s">
        <v>7</v>
      </c>
      <c r="AQ7" s="369" t="s">
        <v>8</v>
      </c>
      <c r="AR7" s="370" t="s">
        <v>17</v>
      </c>
      <c r="AS7" s="371" t="s">
        <v>2</v>
      </c>
      <c r="AT7" s="364" t="s">
        <v>18</v>
      </c>
      <c r="AU7" s="372" t="s">
        <v>15</v>
      </c>
      <c r="AV7" s="373"/>
      <c r="AW7" s="574"/>
      <c r="AZ7" s="374" t="s">
        <v>7</v>
      </c>
      <c r="BA7" s="369" t="s">
        <v>8</v>
      </c>
      <c r="BB7" s="370" t="s">
        <v>17</v>
      </c>
      <c r="BC7" s="371" t="s">
        <v>2</v>
      </c>
      <c r="BD7" s="364" t="s">
        <v>18</v>
      </c>
      <c r="BE7" s="372" t="s">
        <v>15</v>
      </c>
      <c r="BF7" s="373"/>
      <c r="BG7" s="574"/>
      <c r="BJ7" s="374" t="s">
        <v>7</v>
      </c>
      <c r="BK7" s="369" t="s">
        <v>8</v>
      </c>
      <c r="BL7" s="370" t="s">
        <v>17</v>
      </c>
      <c r="BM7" s="371" t="s">
        <v>2</v>
      </c>
      <c r="BN7" s="364" t="s">
        <v>18</v>
      </c>
      <c r="BO7" s="372" t="s">
        <v>15</v>
      </c>
      <c r="BP7" s="373"/>
      <c r="BQ7" s="574"/>
      <c r="BT7" s="374" t="s">
        <v>7</v>
      </c>
      <c r="BU7" s="369" t="s">
        <v>8</v>
      </c>
      <c r="BV7" s="370" t="s">
        <v>17</v>
      </c>
      <c r="BW7" s="371" t="s">
        <v>2</v>
      </c>
      <c r="BX7" s="364" t="s">
        <v>18</v>
      </c>
      <c r="BY7" s="372" t="s">
        <v>15</v>
      </c>
      <c r="BZ7" s="367"/>
      <c r="CD7" s="374" t="s">
        <v>7</v>
      </c>
      <c r="CE7" s="369" t="s">
        <v>8</v>
      </c>
      <c r="CF7" s="370" t="s">
        <v>17</v>
      </c>
      <c r="CG7" s="371" t="s">
        <v>2</v>
      </c>
      <c r="CH7" s="364" t="s">
        <v>18</v>
      </c>
      <c r="CI7" s="372" t="s">
        <v>15</v>
      </c>
      <c r="CJ7" s="373"/>
      <c r="CN7" s="374" t="s">
        <v>7</v>
      </c>
      <c r="CO7" s="369" t="s">
        <v>8</v>
      </c>
      <c r="CP7" s="370" t="s">
        <v>17</v>
      </c>
      <c r="CQ7" s="371" t="s">
        <v>2</v>
      </c>
      <c r="CR7" s="364" t="s">
        <v>18</v>
      </c>
      <c r="CS7" s="372" t="s">
        <v>15</v>
      </c>
      <c r="CT7" s="373"/>
      <c r="CU7" s="574"/>
      <c r="CX7" s="374" t="s">
        <v>7</v>
      </c>
      <c r="CY7" s="369" t="s">
        <v>8</v>
      </c>
      <c r="CZ7" s="370" t="s">
        <v>17</v>
      </c>
      <c r="DA7" s="371" t="s">
        <v>2</v>
      </c>
      <c r="DB7" s="364" t="s">
        <v>18</v>
      </c>
      <c r="DC7" s="372" t="s">
        <v>15</v>
      </c>
      <c r="DD7" s="373"/>
      <c r="DE7" s="574"/>
      <c r="DH7" s="374" t="s">
        <v>7</v>
      </c>
      <c r="DI7" s="369" t="s">
        <v>8</v>
      </c>
      <c r="DJ7" s="370" t="s">
        <v>17</v>
      </c>
      <c r="DK7" s="371" t="s">
        <v>2</v>
      </c>
      <c r="DL7" s="364" t="s">
        <v>18</v>
      </c>
      <c r="DM7" s="372" t="s">
        <v>15</v>
      </c>
      <c r="DN7" s="373"/>
      <c r="DO7" s="574"/>
      <c r="DR7" s="374" t="s">
        <v>7</v>
      </c>
      <c r="DS7" s="369" t="s">
        <v>8</v>
      </c>
      <c r="DT7" s="370" t="s">
        <v>17</v>
      </c>
      <c r="DU7" s="371" t="s">
        <v>2</v>
      </c>
      <c r="DV7" s="364" t="s">
        <v>18</v>
      </c>
      <c r="DW7" s="372" t="s">
        <v>15</v>
      </c>
      <c r="DX7" s="373"/>
      <c r="EB7" s="374" t="s">
        <v>7</v>
      </c>
      <c r="EC7" s="369" t="s">
        <v>8</v>
      </c>
      <c r="ED7" s="370" t="s">
        <v>17</v>
      </c>
      <c r="EE7" s="371" t="s">
        <v>2</v>
      </c>
      <c r="EF7" s="364" t="s">
        <v>18</v>
      </c>
      <c r="EG7" s="372" t="s">
        <v>15</v>
      </c>
      <c r="EH7" s="373"/>
      <c r="EI7" s="574"/>
      <c r="EL7" s="374" t="s">
        <v>7</v>
      </c>
      <c r="EM7" s="369" t="s">
        <v>8</v>
      </c>
      <c r="EN7" s="370" t="s">
        <v>17</v>
      </c>
      <c r="EO7" s="371" t="s">
        <v>2</v>
      </c>
      <c r="EP7" s="364" t="s">
        <v>18</v>
      </c>
      <c r="EQ7" s="372" t="s">
        <v>15</v>
      </c>
      <c r="ER7" s="373"/>
      <c r="ES7" s="574"/>
      <c r="EV7" s="368" t="s">
        <v>7</v>
      </c>
      <c r="EW7" s="369" t="s">
        <v>8</v>
      </c>
      <c r="EX7" s="370" t="s">
        <v>17</v>
      </c>
      <c r="EY7" s="371" t="s">
        <v>2</v>
      </c>
      <c r="EZ7" s="364" t="s">
        <v>18</v>
      </c>
      <c r="FA7" s="372" t="s">
        <v>15</v>
      </c>
      <c r="FB7" s="373"/>
      <c r="FC7" s="574"/>
      <c r="FF7" s="374" t="s">
        <v>7</v>
      </c>
      <c r="FG7" s="369" t="s">
        <v>8</v>
      </c>
      <c r="FH7" s="370" t="s">
        <v>17</v>
      </c>
      <c r="FI7" s="371" t="s">
        <v>2</v>
      </c>
      <c r="FJ7" s="364" t="s">
        <v>18</v>
      </c>
      <c r="FK7" s="372" t="s">
        <v>15</v>
      </c>
      <c r="FL7" s="373"/>
      <c r="FM7" s="574"/>
      <c r="FP7" s="374" t="s">
        <v>7</v>
      </c>
      <c r="FQ7" s="369" t="s">
        <v>8</v>
      </c>
      <c r="FR7" s="370" t="s">
        <v>17</v>
      </c>
      <c r="FS7" s="371" t="s">
        <v>2</v>
      </c>
      <c r="FT7" s="364" t="s">
        <v>18</v>
      </c>
      <c r="FU7" s="372" t="s">
        <v>15</v>
      </c>
      <c r="FV7" s="373"/>
      <c r="FW7" s="574"/>
      <c r="FZ7" s="374" t="s">
        <v>7</v>
      </c>
      <c r="GA7" s="369" t="s">
        <v>8</v>
      </c>
      <c r="GB7" s="370" t="s">
        <v>17</v>
      </c>
      <c r="GC7" s="371" t="s">
        <v>2</v>
      </c>
      <c r="GD7" s="364" t="s">
        <v>18</v>
      </c>
      <c r="GE7" s="372" t="s">
        <v>15</v>
      </c>
      <c r="GF7" s="373"/>
      <c r="GG7" s="574"/>
      <c r="GJ7" s="374" t="s">
        <v>7</v>
      </c>
      <c r="GK7" s="369" t="s">
        <v>8</v>
      </c>
      <c r="GL7" s="370" t="s">
        <v>17</v>
      </c>
      <c r="GM7" s="371" t="s">
        <v>2</v>
      </c>
      <c r="GN7" s="364" t="s">
        <v>18</v>
      </c>
      <c r="GO7" s="372" t="s">
        <v>15</v>
      </c>
      <c r="GP7" s="373"/>
      <c r="GQ7" s="574"/>
      <c r="GT7" s="374" t="s">
        <v>7</v>
      </c>
      <c r="GU7" s="369" t="s">
        <v>8</v>
      </c>
      <c r="GV7" s="370" t="s">
        <v>17</v>
      </c>
      <c r="GW7" s="371" t="s">
        <v>2</v>
      </c>
      <c r="GX7" s="364" t="s">
        <v>18</v>
      </c>
      <c r="GY7" s="372" t="s">
        <v>15</v>
      </c>
      <c r="GZ7" s="373"/>
      <c r="HA7" s="574"/>
      <c r="HD7" s="374" t="s">
        <v>7</v>
      </c>
      <c r="HE7" s="369" t="s">
        <v>8</v>
      </c>
      <c r="HF7" s="370" t="s">
        <v>17</v>
      </c>
      <c r="HG7" s="371" t="s">
        <v>2</v>
      </c>
      <c r="HH7" s="364" t="s">
        <v>18</v>
      </c>
      <c r="HI7" s="372" t="s">
        <v>15</v>
      </c>
      <c r="HJ7" s="373"/>
      <c r="HK7" s="574"/>
      <c r="HN7" s="374" t="s">
        <v>7</v>
      </c>
      <c r="HO7" s="369" t="s">
        <v>8</v>
      </c>
      <c r="HP7" s="370" t="s">
        <v>17</v>
      </c>
      <c r="HQ7" s="371" t="s">
        <v>2</v>
      </c>
      <c r="HR7" s="364" t="s">
        <v>18</v>
      </c>
      <c r="HS7" s="372" t="s">
        <v>15</v>
      </c>
      <c r="HT7" s="373"/>
      <c r="HU7" s="574"/>
      <c r="HX7" s="368" t="s">
        <v>7</v>
      </c>
      <c r="HY7" s="369" t="s">
        <v>8</v>
      </c>
      <c r="HZ7" s="370" t="s">
        <v>17</v>
      </c>
      <c r="IA7" s="371" t="s">
        <v>2</v>
      </c>
      <c r="IB7" s="364" t="s">
        <v>45</v>
      </c>
      <c r="IC7" s="372" t="s">
        <v>15</v>
      </c>
      <c r="ID7" s="373"/>
      <c r="IE7" s="574"/>
      <c r="IG7" s="567"/>
      <c r="IH7" s="368" t="s">
        <v>7</v>
      </c>
      <c r="II7" s="369" t="s">
        <v>8</v>
      </c>
      <c r="IJ7" s="370" t="s">
        <v>17</v>
      </c>
      <c r="IK7" s="371" t="s">
        <v>2</v>
      </c>
      <c r="IL7" s="364" t="s">
        <v>45</v>
      </c>
      <c r="IM7" s="372" t="s">
        <v>15</v>
      </c>
      <c r="IN7" s="373"/>
      <c r="IO7" s="574"/>
      <c r="IQ7" s="567"/>
      <c r="IR7" s="374" t="s">
        <v>7</v>
      </c>
      <c r="IS7" s="369" t="s">
        <v>8</v>
      </c>
      <c r="IT7" s="370" t="s">
        <v>17</v>
      </c>
      <c r="IU7" s="371" t="s">
        <v>2</v>
      </c>
      <c r="IV7" s="364" t="s">
        <v>18</v>
      </c>
      <c r="IW7" s="372" t="s">
        <v>15</v>
      </c>
      <c r="IX7" s="373"/>
      <c r="IY7" s="574"/>
      <c r="JB7" s="368" t="s">
        <v>7</v>
      </c>
      <c r="JC7" s="369" t="s">
        <v>8</v>
      </c>
      <c r="JD7" s="370" t="s">
        <v>17</v>
      </c>
      <c r="JE7" s="371" t="s">
        <v>2</v>
      </c>
      <c r="JF7" s="364" t="s">
        <v>18</v>
      </c>
      <c r="JG7" s="372" t="s">
        <v>15</v>
      </c>
      <c r="JH7" s="373"/>
      <c r="JI7" s="574"/>
      <c r="JL7" s="374" t="s">
        <v>7</v>
      </c>
      <c r="JM7" s="369" t="s">
        <v>8</v>
      </c>
      <c r="JN7" s="370" t="s">
        <v>17</v>
      </c>
      <c r="JO7" s="371" t="s">
        <v>2</v>
      </c>
      <c r="JP7" s="364" t="s">
        <v>18</v>
      </c>
      <c r="JQ7" s="372" t="s">
        <v>15</v>
      </c>
      <c r="JR7" s="373"/>
      <c r="JS7" s="574"/>
      <c r="JV7" s="374" t="s">
        <v>7</v>
      </c>
      <c r="JW7" s="369" t="s">
        <v>8</v>
      </c>
      <c r="JX7" s="370" t="s">
        <v>17</v>
      </c>
      <c r="JY7" s="371" t="s">
        <v>2</v>
      </c>
      <c r="JZ7" s="364" t="s">
        <v>18</v>
      </c>
      <c r="KA7" s="372" t="s">
        <v>15</v>
      </c>
      <c r="KB7" s="373"/>
      <c r="KC7" s="574"/>
      <c r="KE7" s="242"/>
      <c r="KF7" s="946" t="s">
        <v>7</v>
      </c>
      <c r="KG7" s="369" t="s">
        <v>8</v>
      </c>
      <c r="KH7" s="370" t="s">
        <v>17</v>
      </c>
      <c r="KI7" s="371" t="s">
        <v>2</v>
      </c>
      <c r="KJ7" s="364" t="s">
        <v>18</v>
      </c>
      <c r="KK7" s="372" t="s">
        <v>15</v>
      </c>
      <c r="KL7" s="373"/>
      <c r="KM7" s="574"/>
      <c r="KP7" s="374" t="s">
        <v>7</v>
      </c>
      <c r="KQ7" s="369" t="s">
        <v>8</v>
      </c>
      <c r="KR7" s="370" t="s">
        <v>17</v>
      </c>
      <c r="KS7" s="371" t="s">
        <v>2</v>
      </c>
      <c r="KT7" s="364" t="s">
        <v>18</v>
      </c>
      <c r="KU7" s="372" t="s">
        <v>15</v>
      </c>
      <c r="KV7" s="373"/>
      <c r="KW7" s="574"/>
      <c r="KZ7" s="374" t="s">
        <v>7</v>
      </c>
      <c r="LA7" s="369" t="s">
        <v>8</v>
      </c>
      <c r="LB7" s="370" t="s">
        <v>17</v>
      </c>
      <c r="LC7" s="371" t="s">
        <v>2</v>
      </c>
      <c r="LD7" s="364" t="s">
        <v>18</v>
      </c>
      <c r="LE7" s="372" t="s">
        <v>15</v>
      </c>
      <c r="LF7" s="373"/>
      <c r="LG7" s="574"/>
      <c r="LJ7" s="374" t="s">
        <v>7</v>
      </c>
      <c r="LK7" s="369" t="s">
        <v>8</v>
      </c>
      <c r="LL7" s="370" t="s">
        <v>17</v>
      </c>
      <c r="LM7" s="371" t="s">
        <v>2</v>
      </c>
      <c r="LN7" s="364" t="s">
        <v>18</v>
      </c>
      <c r="LO7" s="372" t="s">
        <v>15</v>
      </c>
      <c r="LP7" s="373"/>
      <c r="LQ7" s="574"/>
      <c r="LT7" s="374" t="s">
        <v>7</v>
      </c>
      <c r="LU7" s="369" t="s">
        <v>8</v>
      </c>
      <c r="LV7" s="370" t="s">
        <v>17</v>
      </c>
      <c r="LW7" s="371" t="s">
        <v>2</v>
      </c>
      <c r="LX7" s="364" t="s">
        <v>18</v>
      </c>
      <c r="LY7" s="372" t="s">
        <v>15</v>
      </c>
      <c r="LZ7" s="373"/>
      <c r="MA7" s="574"/>
      <c r="MB7" s="574"/>
      <c r="MD7" s="374" t="s">
        <v>7</v>
      </c>
      <c r="ME7" s="369" t="s">
        <v>8</v>
      </c>
      <c r="MF7" s="370" t="s">
        <v>17</v>
      </c>
      <c r="MG7" s="371" t="s">
        <v>2</v>
      </c>
      <c r="MH7" s="364" t="s">
        <v>18</v>
      </c>
      <c r="MI7" s="372" t="s">
        <v>15</v>
      </c>
      <c r="MJ7" s="373"/>
      <c r="MK7" s="435"/>
      <c r="MN7" s="374" t="s">
        <v>7</v>
      </c>
      <c r="MO7" s="369" t="s">
        <v>8</v>
      </c>
      <c r="MP7" s="370" t="s">
        <v>17</v>
      </c>
      <c r="MQ7" s="371" t="s">
        <v>2</v>
      </c>
      <c r="MR7" s="364" t="s">
        <v>18</v>
      </c>
      <c r="MS7" s="372" t="s">
        <v>15</v>
      </c>
      <c r="MT7" s="373"/>
      <c r="MU7" s="435"/>
      <c r="MX7" s="374" t="s">
        <v>7</v>
      </c>
      <c r="MY7" s="369" t="s">
        <v>8</v>
      </c>
      <c r="MZ7" s="370" t="s">
        <v>17</v>
      </c>
      <c r="NA7" s="371" t="s">
        <v>2</v>
      </c>
      <c r="NB7" s="364" t="s">
        <v>18</v>
      </c>
      <c r="NC7" s="372" t="s">
        <v>15</v>
      </c>
      <c r="ND7" s="373"/>
      <c r="NE7" s="435"/>
      <c r="NH7" s="374" t="s">
        <v>7</v>
      </c>
      <c r="NI7" s="369" t="s">
        <v>8</v>
      </c>
      <c r="NJ7" s="370" t="s">
        <v>17</v>
      </c>
      <c r="NK7" s="371" t="s">
        <v>2</v>
      </c>
      <c r="NL7" s="364" t="s">
        <v>18</v>
      </c>
      <c r="NM7" s="372" t="s">
        <v>15</v>
      </c>
      <c r="NN7" s="373"/>
      <c r="NO7" s="435"/>
      <c r="NR7" s="374" t="s">
        <v>7</v>
      </c>
      <c r="NS7" s="369" t="s">
        <v>8</v>
      </c>
      <c r="NT7" s="370" t="s">
        <v>17</v>
      </c>
      <c r="NU7" s="371" t="s">
        <v>2</v>
      </c>
      <c r="NV7" s="364" t="s">
        <v>18</v>
      </c>
      <c r="NW7" s="372" t="s">
        <v>15</v>
      </c>
      <c r="NX7" s="373"/>
      <c r="NY7" s="435"/>
      <c r="OB7" s="374" t="s">
        <v>7</v>
      </c>
      <c r="OC7" s="369" t="s">
        <v>8</v>
      </c>
      <c r="OD7" s="370" t="s">
        <v>17</v>
      </c>
      <c r="OE7" s="371" t="s">
        <v>2</v>
      </c>
      <c r="OF7" s="364" t="s">
        <v>18</v>
      </c>
      <c r="OG7" s="372" t="s">
        <v>15</v>
      </c>
      <c r="OH7" s="373"/>
      <c r="OI7" s="435"/>
      <c r="OL7" s="374" t="s">
        <v>7</v>
      </c>
      <c r="OM7" s="369" t="s">
        <v>8</v>
      </c>
      <c r="ON7" s="370" t="s">
        <v>17</v>
      </c>
      <c r="OO7" s="371" t="s">
        <v>2</v>
      </c>
      <c r="OP7" s="364" t="s">
        <v>18</v>
      </c>
      <c r="OQ7" s="372" t="s">
        <v>15</v>
      </c>
      <c r="OR7" s="373"/>
      <c r="OS7" s="435"/>
      <c r="OV7" s="374" t="s">
        <v>7</v>
      </c>
      <c r="OW7" s="369" t="s">
        <v>8</v>
      </c>
      <c r="OX7" s="370" t="s">
        <v>17</v>
      </c>
      <c r="OY7" s="371" t="s">
        <v>2</v>
      </c>
      <c r="OZ7" s="364" t="s">
        <v>18</v>
      </c>
      <c r="PA7" s="372" t="s">
        <v>15</v>
      </c>
      <c r="PB7" s="373"/>
      <c r="PC7" s="435"/>
      <c r="PF7" s="375" t="s">
        <v>7</v>
      </c>
      <c r="PG7" s="369" t="s">
        <v>8</v>
      </c>
      <c r="PH7" s="370" t="s">
        <v>17</v>
      </c>
      <c r="PI7" s="371" t="s">
        <v>2</v>
      </c>
      <c r="PJ7" s="364" t="s">
        <v>18</v>
      </c>
      <c r="PK7" s="372" t="s">
        <v>15</v>
      </c>
      <c r="PL7" s="373"/>
      <c r="PM7" s="435"/>
      <c r="PP7" s="375" t="s">
        <v>7</v>
      </c>
      <c r="PQ7" s="369" t="s">
        <v>8</v>
      </c>
      <c r="PR7" s="370" t="s">
        <v>17</v>
      </c>
      <c r="PS7" s="371" t="s">
        <v>2</v>
      </c>
      <c r="PT7" s="364" t="s">
        <v>18</v>
      </c>
      <c r="PU7" s="372" t="s">
        <v>15</v>
      </c>
      <c r="PV7" s="373"/>
      <c r="PY7" s="375" t="s">
        <v>7</v>
      </c>
      <c r="PZ7" s="369" t="s">
        <v>8</v>
      </c>
      <c r="QA7" s="370" t="s">
        <v>17</v>
      </c>
      <c r="QB7" s="371" t="s">
        <v>2</v>
      </c>
      <c r="QC7" s="364" t="s">
        <v>18</v>
      </c>
      <c r="QD7" s="372" t="s">
        <v>15</v>
      </c>
      <c r="QE7" s="373"/>
      <c r="QH7" s="375" t="s">
        <v>7</v>
      </c>
      <c r="QI7" s="369" t="s">
        <v>8</v>
      </c>
      <c r="QJ7" s="370" t="s">
        <v>17</v>
      </c>
      <c r="QK7" s="371" t="s">
        <v>37</v>
      </c>
      <c r="QL7" s="364" t="s">
        <v>18</v>
      </c>
      <c r="QM7" s="372" t="s">
        <v>15</v>
      </c>
      <c r="QN7" s="373"/>
      <c r="QQ7" s="375" t="s">
        <v>7</v>
      </c>
      <c r="QR7" s="369" t="s">
        <v>8</v>
      </c>
      <c r="QS7" s="370" t="s">
        <v>17</v>
      </c>
      <c r="QT7" s="371" t="s">
        <v>37</v>
      </c>
      <c r="QU7" s="364" t="s">
        <v>18</v>
      </c>
      <c r="QV7" s="372" t="s">
        <v>15</v>
      </c>
      <c r="QW7" s="373"/>
      <c r="QZ7" s="375" t="s">
        <v>7</v>
      </c>
      <c r="RA7" s="369" t="s">
        <v>8</v>
      </c>
      <c r="RB7" s="370" t="s">
        <v>17</v>
      </c>
      <c r="RC7" s="371" t="s">
        <v>2</v>
      </c>
      <c r="RD7" s="364" t="s">
        <v>18</v>
      </c>
      <c r="RE7" s="372" t="s">
        <v>15</v>
      </c>
      <c r="RF7" s="373"/>
      <c r="RI7" s="375" t="s">
        <v>7</v>
      </c>
      <c r="RJ7" s="369" t="s">
        <v>8</v>
      </c>
      <c r="RK7" s="370" t="s">
        <v>17</v>
      </c>
      <c r="RL7" s="371" t="s">
        <v>2</v>
      </c>
      <c r="RM7" s="364" t="s">
        <v>18</v>
      </c>
      <c r="RN7" s="372" t="s">
        <v>15</v>
      </c>
      <c r="RO7" s="373"/>
      <c r="RR7" s="375" t="s">
        <v>7</v>
      </c>
      <c r="RS7" s="369" t="s">
        <v>8</v>
      </c>
      <c r="RT7" s="370" t="s">
        <v>17</v>
      </c>
      <c r="RU7" s="371" t="s">
        <v>2</v>
      </c>
      <c r="RV7" s="364" t="s">
        <v>18</v>
      </c>
      <c r="RW7" s="372" t="s">
        <v>15</v>
      </c>
      <c r="RX7" s="373"/>
      <c r="SA7" s="375" t="s">
        <v>7</v>
      </c>
      <c r="SB7" s="369" t="s">
        <v>8</v>
      </c>
      <c r="SC7" s="370" t="s">
        <v>17</v>
      </c>
      <c r="SD7" s="371" t="s">
        <v>2</v>
      </c>
      <c r="SE7" s="364" t="s">
        <v>18</v>
      </c>
      <c r="SF7" s="372" t="s">
        <v>15</v>
      </c>
      <c r="SG7" s="373"/>
      <c r="SJ7" s="375" t="s">
        <v>7</v>
      </c>
      <c r="SK7" s="369" t="s">
        <v>8</v>
      </c>
      <c r="SL7" s="370" t="s">
        <v>17</v>
      </c>
      <c r="SM7" s="371" t="s">
        <v>2</v>
      </c>
      <c r="SN7" s="364" t="s">
        <v>18</v>
      </c>
      <c r="SO7" s="372" t="s">
        <v>15</v>
      </c>
      <c r="SP7" s="373"/>
      <c r="SS7" s="375" t="s">
        <v>7</v>
      </c>
      <c r="ST7" s="369" t="s">
        <v>8</v>
      </c>
      <c r="SU7" s="370" t="s">
        <v>17</v>
      </c>
      <c r="SV7" s="371" t="s">
        <v>2</v>
      </c>
      <c r="SW7" s="364" t="s">
        <v>18</v>
      </c>
      <c r="SX7" s="372" t="s">
        <v>15</v>
      </c>
      <c r="SY7" s="373"/>
      <c r="TB7" s="375" t="s">
        <v>7</v>
      </c>
      <c r="TC7" s="369" t="s">
        <v>8</v>
      </c>
      <c r="TD7" s="370" t="s">
        <v>17</v>
      </c>
      <c r="TE7" s="371" t="s">
        <v>2</v>
      </c>
      <c r="TF7" s="364" t="s">
        <v>18</v>
      </c>
      <c r="TG7" s="372" t="s">
        <v>15</v>
      </c>
      <c r="TH7" s="373"/>
      <c r="TK7" s="375" t="s">
        <v>7</v>
      </c>
      <c r="TL7" s="369" t="s">
        <v>8</v>
      </c>
      <c r="TM7" s="370" t="s">
        <v>17</v>
      </c>
      <c r="TN7" s="371" t="s">
        <v>2</v>
      </c>
      <c r="TO7" s="364" t="s">
        <v>18</v>
      </c>
      <c r="TP7" s="372" t="s">
        <v>15</v>
      </c>
      <c r="TQ7" s="373"/>
      <c r="TT7" s="375" t="s">
        <v>7</v>
      </c>
      <c r="TU7" s="369" t="s">
        <v>8</v>
      </c>
      <c r="TV7" s="370" t="s">
        <v>17</v>
      </c>
      <c r="TW7" s="371" t="s">
        <v>2</v>
      </c>
      <c r="TX7" s="364" t="s">
        <v>18</v>
      </c>
      <c r="TY7" s="372" t="s">
        <v>15</v>
      </c>
      <c r="TZ7" s="373"/>
      <c r="UC7" s="375" t="s">
        <v>7</v>
      </c>
      <c r="UD7" s="369" t="s">
        <v>8</v>
      </c>
      <c r="UE7" s="370" t="s">
        <v>17</v>
      </c>
      <c r="UF7" s="371" t="s">
        <v>2</v>
      </c>
      <c r="UG7" s="364" t="s">
        <v>18</v>
      </c>
      <c r="UH7" s="372" t="s">
        <v>15</v>
      </c>
      <c r="UI7" s="373"/>
      <c r="UL7" s="375" t="s">
        <v>7</v>
      </c>
      <c r="UM7" s="369" t="s">
        <v>8</v>
      </c>
      <c r="UN7" s="370" t="s">
        <v>17</v>
      </c>
      <c r="UO7" s="371" t="s">
        <v>2</v>
      </c>
      <c r="UP7" s="364" t="s">
        <v>18</v>
      </c>
      <c r="UQ7" s="372" t="s">
        <v>15</v>
      </c>
      <c r="UR7" s="373"/>
      <c r="UU7" s="375" t="s">
        <v>7</v>
      </c>
      <c r="UV7" s="369" t="s">
        <v>8</v>
      </c>
      <c r="UW7" s="370" t="s">
        <v>17</v>
      </c>
      <c r="UX7" s="371" t="s">
        <v>2</v>
      </c>
      <c r="UY7" s="364" t="s">
        <v>18</v>
      </c>
      <c r="UZ7" s="372" t="s">
        <v>15</v>
      </c>
      <c r="VA7" s="373"/>
      <c r="VD7" s="375" t="s">
        <v>7</v>
      </c>
      <c r="VE7" s="369" t="s">
        <v>8</v>
      </c>
      <c r="VF7" s="370" t="s">
        <v>17</v>
      </c>
      <c r="VG7" s="371" t="s">
        <v>2</v>
      </c>
      <c r="VH7" s="364" t="s">
        <v>18</v>
      </c>
      <c r="VI7" s="372" t="s">
        <v>15</v>
      </c>
      <c r="VJ7" s="373"/>
      <c r="VM7" s="375" t="s">
        <v>7</v>
      </c>
      <c r="VN7" s="369" t="s">
        <v>8</v>
      </c>
      <c r="VO7" s="370" t="s">
        <v>17</v>
      </c>
      <c r="VP7" s="371" t="s">
        <v>2</v>
      </c>
      <c r="VQ7" s="364" t="s">
        <v>18</v>
      </c>
      <c r="VR7" s="372" t="s">
        <v>15</v>
      </c>
      <c r="VS7" s="373"/>
      <c r="VV7" s="375" t="s">
        <v>7</v>
      </c>
      <c r="VW7" s="369" t="s">
        <v>8</v>
      </c>
      <c r="VX7" s="370" t="s">
        <v>17</v>
      </c>
      <c r="VY7" s="371" t="s">
        <v>2</v>
      </c>
      <c r="VZ7" s="364" t="s">
        <v>18</v>
      </c>
      <c r="WA7" s="372" t="s">
        <v>15</v>
      </c>
      <c r="WB7" s="373"/>
      <c r="WE7" s="375" t="s">
        <v>7</v>
      </c>
      <c r="WF7" s="369" t="s">
        <v>8</v>
      </c>
      <c r="WG7" s="370" t="s">
        <v>17</v>
      </c>
      <c r="WH7" s="371" t="s">
        <v>2</v>
      </c>
      <c r="WI7" s="364" t="s">
        <v>18</v>
      </c>
      <c r="WJ7" s="372" t="s">
        <v>15</v>
      </c>
      <c r="WK7" s="373"/>
      <c r="WN7" s="375" t="s">
        <v>7</v>
      </c>
      <c r="WO7" s="369" t="s">
        <v>8</v>
      </c>
      <c r="WP7" s="370" t="s">
        <v>17</v>
      </c>
      <c r="WQ7" s="371" t="s">
        <v>2</v>
      </c>
      <c r="WR7" s="364" t="s">
        <v>18</v>
      </c>
      <c r="WS7" s="372" t="s">
        <v>15</v>
      </c>
      <c r="WT7" s="373"/>
      <c r="WW7" s="375" t="s">
        <v>7</v>
      </c>
      <c r="WX7" s="369" t="s">
        <v>8</v>
      </c>
      <c r="WY7" s="370" t="s">
        <v>17</v>
      </c>
      <c r="WZ7" s="371" t="s">
        <v>2</v>
      </c>
      <c r="XA7" s="364" t="s">
        <v>18</v>
      </c>
      <c r="XB7" s="372" t="s">
        <v>15</v>
      </c>
      <c r="XC7" s="373"/>
      <c r="XF7" s="375" t="s">
        <v>7</v>
      </c>
      <c r="XG7" s="369" t="s">
        <v>8</v>
      </c>
      <c r="XH7" s="370" t="s">
        <v>17</v>
      </c>
      <c r="XI7" s="371" t="s">
        <v>2</v>
      </c>
      <c r="XJ7" s="364" t="s">
        <v>18</v>
      </c>
      <c r="XK7" s="372" t="s">
        <v>15</v>
      </c>
      <c r="XL7" s="373"/>
      <c r="XO7" s="375" t="s">
        <v>7</v>
      </c>
      <c r="XP7" s="369" t="s">
        <v>8</v>
      </c>
      <c r="XQ7" s="370" t="s">
        <v>17</v>
      </c>
      <c r="XR7" s="371" t="s">
        <v>2</v>
      </c>
      <c r="XS7" s="364" t="s">
        <v>18</v>
      </c>
      <c r="XT7" s="372" t="s">
        <v>15</v>
      </c>
      <c r="XU7" s="373"/>
      <c r="XX7" s="375" t="s">
        <v>7</v>
      </c>
      <c r="XY7" s="369" t="s">
        <v>8</v>
      </c>
      <c r="XZ7" s="370" t="s">
        <v>17</v>
      </c>
      <c r="YA7" s="371" t="s">
        <v>2</v>
      </c>
      <c r="YB7" s="364" t="s">
        <v>18</v>
      </c>
      <c r="YC7" s="372" t="s">
        <v>15</v>
      </c>
      <c r="YD7" s="373"/>
      <c r="YG7" s="375" t="s">
        <v>7</v>
      </c>
      <c r="YH7" s="369" t="s">
        <v>8</v>
      </c>
      <c r="YI7" s="370" t="s">
        <v>17</v>
      </c>
      <c r="YJ7" s="371" t="s">
        <v>2</v>
      </c>
      <c r="YK7" s="364" t="s">
        <v>18</v>
      </c>
      <c r="YL7" s="372" t="s">
        <v>15</v>
      </c>
      <c r="YM7" s="373"/>
      <c r="YP7" s="375" t="s">
        <v>7</v>
      </c>
      <c r="YQ7" s="369" t="s">
        <v>8</v>
      </c>
      <c r="YR7" s="370" t="s">
        <v>17</v>
      </c>
      <c r="YS7" s="371" t="s">
        <v>2</v>
      </c>
      <c r="YT7" s="364" t="s">
        <v>18</v>
      </c>
      <c r="YU7" s="372" t="s">
        <v>15</v>
      </c>
      <c r="YV7" s="373"/>
      <c r="YY7" s="375" t="s">
        <v>7</v>
      </c>
      <c r="YZ7" s="369" t="s">
        <v>8</v>
      </c>
      <c r="ZA7" s="370" t="s">
        <v>17</v>
      </c>
      <c r="ZB7" s="371" t="s">
        <v>2</v>
      </c>
      <c r="ZC7" s="364" t="s">
        <v>18</v>
      </c>
      <c r="ZD7" s="372" t="s">
        <v>15</v>
      </c>
      <c r="ZE7" s="373"/>
      <c r="ZH7" s="375" t="s">
        <v>7</v>
      </c>
      <c r="ZI7" s="369" t="s">
        <v>8</v>
      </c>
      <c r="ZJ7" s="370" t="s">
        <v>17</v>
      </c>
      <c r="ZK7" s="371" t="s">
        <v>2</v>
      </c>
      <c r="ZL7" s="364" t="s">
        <v>18</v>
      </c>
      <c r="ZM7" s="372" t="s">
        <v>15</v>
      </c>
      <c r="ZN7" s="373"/>
      <c r="ZQ7" s="375" t="s">
        <v>7</v>
      </c>
      <c r="ZR7" s="369" t="s">
        <v>8</v>
      </c>
      <c r="ZS7" s="370" t="s">
        <v>17</v>
      </c>
      <c r="ZT7" s="371" t="s">
        <v>2</v>
      </c>
      <c r="ZU7" s="364" t="s">
        <v>18</v>
      </c>
      <c r="ZV7" s="372" t="s">
        <v>15</v>
      </c>
      <c r="ZW7" s="373"/>
      <c r="ZZ7" s="375" t="s">
        <v>7</v>
      </c>
      <c r="AAA7" s="369" t="s">
        <v>8</v>
      </c>
      <c r="AAB7" s="370" t="s">
        <v>17</v>
      </c>
      <c r="AAC7" s="371" t="s">
        <v>2</v>
      </c>
      <c r="AAD7" s="364" t="s">
        <v>18</v>
      </c>
      <c r="AAE7" s="372" t="s">
        <v>15</v>
      </c>
      <c r="AAF7" s="373"/>
      <c r="AAI7" s="375" t="s">
        <v>7</v>
      </c>
      <c r="AAJ7" s="369" t="s">
        <v>8</v>
      </c>
      <c r="AAK7" s="370" t="s">
        <v>17</v>
      </c>
      <c r="AAL7" s="371" t="s">
        <v>2</v>
      </c>
      <c r="AAM7" s="364" t="s">
        <v>18</v>
      </c>
      <c r="AAN7" s="372" t="s">
        <v>15</v>
      </c>
      <c r="AAO7" s="373"/>
      <c r="AAR7" s="375" t="s">
        <v>7</v>
      </c>
      <c r="AAS7" s="369" t="s">
        <v>8</v>
      </c>
      <c r="AAT7" s="370" t="s">
        <v>17</v>
      </c>
      <c r="AAU7" s="371" t="s">
        <v>2</v>
      </c>
      <c r="AAV7" s="364" t="s">
        <v>18</v>
      </c>
      <c r="AAW7" s="372" t="s">
        <v>15</v>
      </c>
      <c r="AAX7" s="373"/>
      <c r="ABA7" s="375" t="s">
        <v>7</v>
      </c>
      <c r="ABB7" s="369" t="s">
        <v>8</v>
      </c>
      <c r="ABC7" s="370" t="s">
        <v>17</v>
      </c>
      <c r="ABD7" s="371" t="s">
        <v>2</v>
      </c>
      <c r="ABE7" s="364" t="s">
        <v>18</v>
      </c>
      <c r="ABF7" s="372" t="s">
        <v>15</v>
      </c>
      <c r="ABG7" s="373"/>
      <c r="ABJ7" s="375" t="s">
        <v>7</v>
      </c>
      <c r="ABK7" s="369" t="s">
        <v>8</v>
      </c>
      <c r="ABL7" s="370" t="s">
        <v>17</v>
      </c>
      <c r="ABM7" s="371" t="s">
        <v>2</v>
      </c>
      <c r="ABN7" s="364" t="s">
        <v>18</v>
      </c>
      <c r="ABO7" s="372" t="s">
        <v>15</v>
      </c>
      <c r="ABP7" s="373"/>
      <c r="ABS7" s="375" t="s">
        <v>7</v>
      </c>
      <c r="ABT7" s="369" t="s">
        <v>8</v>
      </c>
      <c r="ABU7" s="370" t="s">
        <v>17</v>
      </c>
      <c r="ABV7" s="371" t="s">
        <v>2</v>
      </c>
      <c r="ABW7" s="364" t="s">
        <v>18</v>
      </c>
      <c r="ABX7" s="372" t="s">
        <v>15</v>
      </c>
      <c r="ABY7" s="373"/>
      <c r="ACB7" s="375" t="s">
        <v>7</v>
      </c>
      <c r="ACC7" s="369" t="s">
        <v>8</v>
      </c>
      <c r="ACD7" s="370" t="s">
        <v>17</v>
      </c>
      <c r="ACE7" s="371" t="s">
        <v>2</v>
      </c>
      <c r="ACF7" s="364" t="s">
        <v>18</v>
      </c>
      <c r="ACG7" s="372" t="s">
        <v>15</v>
      </c>
      <c r="ACH7" s="373"/>
      <c r="ACK7" s="375" t="s">
        <v>7</v>
      </c>
      <c r="ACL7" s="369" t="s">
        <v>8</v>
      </c>
      <c r="ACM7" s="370" t="s">
        <v>17</v>
      </c>
      <c r="ACN7" s="371" t="s">
        <v>2</v>
      </c>
      <c r="ACO7" s="364" t="s">
        <v>18</v>
      </c>
      <c r="ACP7" s="372" t="s">
        <v>15</v>
      </c>
      <c r="ACQ7" s="373"/>
      <c r="ACT7" s="375" t="s">
        <v>7</v>
      </c>
      <c r="ACU7" s="369" t="s">
        <v>8</v>
      </c>
      <c r="ACV7" s="370" t="s">
        <v>17</v>
      </c>
      <c r="ACW7" s="371" t="s">
        <v>2</v>
      </c>
      <c r="ACX7" s="364" t="s">
        <v>18</v>
      </c>
      <c r="ACY7" s="372" t="s">
        <v>15</v>
      </c>
      <c r="ACZ7" s="373"/>
      <c r="ADC7" s="375" t="s">
        <v>7</v>
      </c>
      <c r="ADD7" s="369" t="s">
        <v>8</v>
      </c>
      <c r="ADE7" s="370" t="s">
        <v>17</v>
      </c>
      <c r="ADF7" s="371" t="s">
        <v>2</v>
      </c>
      <c r="ADG7" s="364" t="s">
        <v>18</v>
      </c>
      <c r="ADH7" s="372" t="s">
        <v>15</v>
      </c>
      <c r="ADI7" s="373"/>
      <c r="ADL7" s="375" t="s">
        <v>7</v>
      </c>
      <c r="ADM7" s="369" t="s">
        <v>8</v>
      </c>
      <c r="ADN7" s="370" t="s">
        <v>17</v>
      </c>
      <c r="ADO7" s="371" t="s">
        <v>2</v>
      </c>
      <c r="ADP7" s="364" t="s">
        <v>18</v>
      </c>
      <c r="ADQ7" s="372" t="s">
        <v>15</v>
      </c>
      <c r="ADR7" s="373"/>
      <c r="ADU7" s="375" t="s">
        <v>7</v>
      </c>
      <c r="ADV7" s="369" t="s">
        <v>8</v>
      </c>
      <c r="ADW7" s="370" t="s">
        <v>17</v>
      </c>
      <c r="ADX7" s="371" t="s">
        <v>2</v>
      </c>
      <c r="ADY7" s="364" t="s">
        <v>18</v>
      </c>
      <c r="ADZ7" s="372" t="s">
        <v>15</v>
      </c>
      <c r="AEA7" s="373"/>
      <c r="AED7" s="375" t="s">
        <v>7</v>
      </c>
      <c r="AEE7" s="369" t="s">
        <v>8</v>
      </c>
      <c r="AEF7" s="370" t="s">
        <v>17</v>
      </c>
      <c r="AEG7" s="371" t="s">
        <v>2</v>
      </c>
      <c r="AEH7" s="364" t="s">
        <v>18</v>
      </c>
      <c r="AEI7" s="372" t="s">
        <v>15</v>
      </c>
      <c r="AEJ7" s="373"/>
      <c r="AEM7" s="375" t="s">
        <v>7</v>
      </c>
      <c r="AEN7" s="369" t="s">
        <v>8</v>
      </c>
      <c r="AEO7" s="370" t="s">
        <v>17</v>
      </c>
      <c r="AEP7" s="371" t="s">
        <v>2</v>
      </c>
      <c r="AEQ7" s="364" t="s">
        <v>18</v>
      </c>
      <c r="AER7" s="372" t="s">
        <v>15</v>
      </c>
      <c r="AES7" s="373"/>
    </row>
    <row r="8" spans="1:825" ht="16.5" thickTop="1" x14ac:dyDescent="0.25">
      <c r="A8" s="137">
        <v>5</v>
      </c>
      <c r="B8" s="75" t="str">
        <f>AY5</f>
        <v>SEBOARD FOODS</v>
      </c>
      <c r="C8" s="75" t="str">
        <f t="shared" ref="C8:I8" si="4">AZ5</f>
        <v>Seaboard</v>
      </c>
      <c r="D8" s="102" t="str">
        <f t="shared" si="4"/>
        <v>PED. 81678103</v>
      </c>
      <c r="E8" s="135">
        <f t="shared" si="4"/>
        <v>44686</v>
      </c>
      <c r="F8" s="86">
        <f t="shared" si="4"/>
        <v>18933.669999999998</v>
      </c>
      <c r="G8" s="73">
        <f t="shared" si="4"/>
        <v>21</v>
      </c>
      <c r="H8" s="48">
        <f t="shared" si="4"/>
        <v>18928.8</v>
      </c>
      <c r="I8" s="105">
        <f t="shared" si="4"/>
        <v>4.8699999999989814</v>
      </c>
      <c r="K8" s="927"/>
      <c r="L8" s="106"/>
      <c r="M8" s="15">
        <v>1</v>
      </c>
      <c r="N8" s="92">
        <v>861.8</v>
      </c>
      <c r="O8" s="336">
        <v>44684</v>
      </c>
      <c r="P8" s="279">
        <v>861.8</v>
      </c>
      <c r="Q8" s="70" t="s">
        <v>376</v>
      </c>
      <c r="R8" s="71">
        <v>47</v>
      </c>
      <c r="S8" s="569">
        <f>R8*P8</f>
        <v>40504.6</v>
      </c>
      <c r="T8" s="242"/>
      <c r="U8" s="61"/>
      <c r="V8" s="106"/>
      <c r="W8" s="15">
        <v>1</v>
      </c>
      <c r="X8" s="92">
        <v>880.9</v>
      </c>
      <c r="Y8" s="336">
        <v>44684</v>
      </c>
      <c r="Z8" s="279">
        <v>880.9</v>
      </c>
      <c r="AA8" s="70" t="s">
        <v>372</v>
      </c>
      <c r="AB8" s="71">
        <v>47</v>
      </c>
      <c r="AC8" s="569">
        <f>AB8*Z8</f>
        <v>41402.299999999996</v>
      </c>
      <c r="AE8" s="61"/>
      <c r="AF8" s="106"/>
      <c r="AG8" s="15">
        <v>1</v>
      </c>
      <c r="AH8" s="92">
        <v>931.67</v>
      </c>
      <c r="AI8" s="324">
        <v>44685</v>
      </c>
      <c r="AJ8" s="92">
        <v>931.67</v>
      </c>
      <c r="AK8" s="95" t="s">
        <v>384</v>
      </c>
      <c r="AL8" s="71">
        <v>47</v>
      </c>
      <c r="AM8" s="569">
        <f>AL8*AJ8</f>
        <v>43788.49</v>
      </c>
      <c r="AO8" s="61"/>
      <c r="AP8" s="106"/>
      <c r="AQ8" s="15">
        <v>1</v>
      </c>
      <c r="AR8" s="92">
        <v>945.74</v>
      </c>
      <c r="AS8" s="324">
        <v>44686</v>
      </c>
      <c r="AT8" s="92">
        <v>945.74</v>
      </c>
      <c r="AU8" s="95" t="s">
        <v>393</v>
      </c>
      <c r="AV8" s="71">
        <v>47</v>
      </c>
      <c r="AW8" s="569">
        <f>AV8*AT8</f>
        <v>44449.78</v>
      </c>
      <c r="AY8" s="61"/>
      <c r="AZ8" s="106"/>
      <c r="BA8" s="15">
        <v>1</v>
      </c>
      <c r="BB8" s="92">
        <v>870.4</v>
      </c>
      <c r="BC8" s="324">
        <v>44687</v>
      </c>
      <c r="BD8" s="92">
        <v>870.4</v>
      </c>
      <c r="BE8" s="95" t="s">
        <v>404</v>
      </c>
      <c r="BF8" s="71">
        <v>49</v>
      </c>
      <c r="BG8" s="569">
        <f>BF8*BD8</f>
        <v>42649.599999999999</v>
      </c>
      <c r="BI8" s="61"/>
      <c r="BJ8" s="106"/>
      <c r="BK8" s="15">
        <v>1</v>
      </c>
      <c r="BL8" s="279">
        <v>903.1</v>
      </c>
      <c r="BM8" s="245">
        <v>44688</v>
      </c>
      <c r="BN8" s="279">
        <v>903.1</v>
      </c>
      <c r="BO8" s="319" t="s">
        <v>406</v>
      </c>
      <c r="BP8" s="813">
        <v>49</v>
      </c>
      <c r="BQ8" s="737">
        <f>BP8*BN8</f>
        <v>44251.9</v>
      </c>
      <c r="BS8" s="61"/>
      <c r="BT8" s="106"/>
      <c r="BU8" s="15">
        <v>1</v>
      </c>
      <c r="BV8" s="92">
        <v>870.9</v>
      </c>
      <c r="BW8" s="378">
        <v>44688</v>
      </c>
      <c r="BX8" s="279">
        <v>870.9</v>
      </c>
      <c r="BY8" s="379" t="s">
        <v>417</v>
      </c>
      <c r="BZ8" s="380">
        <v>49</v>
      </c>
      <c r="CA8" s="569">
        <f>BZ8*BX8</f>
        <v>42674.1</v>
      </c>
      <c r="CC8" s="61"/>
      <c r="CD8" s="762"/>
      <c r="CE8" s="15">
        <v>1</v>
      </c>
      <c r="CF8" s="279">
        <v>886.8</v>
      </c>
      <c r="CG8" s="994">
        <v>44690</v>
      </c>
      <c r="CH8" s="279">
        <v>886.8</v>
      </c>
      <c r="CI8" s="814" t="s">
        <v>431</v>
      </c>
      <c r="CJ8" s="692">
        <v>49</v>
      </c>
      <c r="CK8" s="569">
        <f>CJ8*CH8</f>
        <v>43453.2</v>
      </c>
      <c r="CM8" s="61"/>
      <c r="CN8" s="94"/>
      <c r="CO8" s="15">
        <v>1</v>
      </c>
      <c r="CP8" s="92">
        <v>905.37</v>
      </c>
      <c r="CQ8" s="378">
        <v>44690</v>
      </c>
      <c r="CR8" s="279">
        <v>905.37</v>
      </c>
      <c r="CS8" s="814" t="s">
        <v>427</v>
      </c>
      <c r="CT8" s="380">
        <v>49</v>
      </c>
      <c r="CU8" s="575">
        <f>CT8*CR8</f>
        <v>44363.13</v>
      </c>
      <c r="CW8" s="61"/>
      <c r="CX8" s="106"/>
      <c r="CY8" s="15">
        <v>1</v>
      </c>
      <c r="CZ8" s="92">
        <v>883.6</v>
      </c>
      <c r="DA8" s="324">
        <v>44692</v>
      </c>
      <c r="DB8" s="92">
        <v>883.6</v>
      </c>
      <c r="DC8" s="95" t="s">
        <v>458</v>
      </c>
      <c r="DD8" s="71">
        <v>49</v>
      </c>
      <c r="DE8" s="569">
        <f>DD8*DB8</f>
        <v>43296.4</v>
      </c>
      <c r="DG8" s="61"/>
      <c r="DH8" s="106"/>
      <c r="DI8" s="15">
        <v>1</v>
      </c>
      <c r="DJ8" s="92">
        <v>911.7</v>
      </c>
      <c r="DK8" s="378">
        <v>44691</v>
      </c>
      <c r="DL8" s="92">
        <v>911.7</v>
      </c>
      <c r="DM8" s="381" t="s">
        <v>445</v>
      </c>
      <c r="DN8" s="380">
        <v>49</v>
      </c>
      <c r="DO8" s="575">
        <f>DN8*DL8</f>
        <v>44673.3</v>
      </c>
      <c r="DQ8" s="61"/>
      <c r="DR8" s="106"/>
      <c r="DS8" s="15">
        <v>1</v>
      </c>
      <c r="DT8" s="92">
        <v>912.6</v>
      </c>
      <c r="DU8" s="378">
        <v>44691</v>
      </c>
      <c r="DV8" s="92">
        <v>912.6</v>
      </c>
      <c r="DW8" s="381" t="s">
        <v>437</v>
      </c>
      <c r="DX8" s="380">
        <v>59</v>
      </c>
      <c r="DY8" s="569">
        <f>DX8*DV8</f>
        <v>53843.4</v>
      </c>
      <c r="EA8" s="61"/>
      <c r="EB8" s="106"/>
      <c r="EC8" s="15">
        <v>1</v>
      </c>
      <c r="ED8" s="92">
        <v>962.97</v>
      </c>
      <c r="EE8" s="336">
        <v>44694</v>
      </c>
      <c r="EF8" s="92">
        <v>962.97</v>
      </c>
      <c r="EG8" s="70" t="s">
        <v>477</v>
      </c>
      <c r="EH8" s="71">
        <v>49</v>
      </c>
      <c r="EI8" s="569">
        <f>EH8*EF8</f>
        <v>47185.53</v>
      </c>
      <c r="EK8" s="61"/>
      <c r="EL8" s="425"/>
      <c r="EM8" s="15">
        <v>1</v>
      </c>
      <c r="EN8" s="279">
        <v>934.4</v>
      </c>
      <c r="EO8" s="328">
        <v>44694</v>
      </c>
      <c r="EP8" s="279">
        <v>934.4</v>
      </c>
      <c r="EQ8" s="265" t="s">
        <v>473</v>
      </c>
      <c r="ER8" s="266">
        <v>49</v>
      </c>
      <c r="ES8" s="569">
        <f>ER8*EP8</f>
        <v>45785.599999999999</v>
      </c>
      <c r="EU8" s="61"/>
      <c r="EV8" s="106"/>
      <c r="EW8" s="15">
        <v>1</v>
      </c>
      <c r="EX8" s="279">
        <v>920.33</v>
      </c>
      <c r="EY8" s="495">
        <v>44695</v>
      </c>
      <c r="EZ8" s="279">
        <v>920.33</v>
      </c>
      <c r="FA8" s="265" t="s">
        <v>479</v>
      </c>
      <c r="FB8" s="266">
        <v>49</v>
      </c>
      <c r="FC8" s="322">
        <f>FB8*EZ8</f>
        <v>45096.170000000006</v>
      </c>
      <c r="FE8" s="61"/>
      <c r="FF8" s="425"/>
      <c r="FG8" s="15">
        <v>1</v>
      </c>
      <c r="FH8" s="279">
        <v>938</v>
      </c>
      <c r="FI8" s="328">
        <v>44694</v>
      </c>
      <c r="FJ8" s="279">
        <v>938</v>
      </c>
      <c r="FK8" s="382" t="s">
        <v>488</v>
      </c>
      <c r="FL8" s="266">
        <v>49</v>
      </c>
      <c r="FM8" s="569">
        <f>FL8*FJ8</f>
        <v>45962</v>
      </c>
      <c r="FO8" s="61"/>
      <c r="FP8" s="106"/>
      <c r="FQ8" s="15">
        <v>1</v>
      </c>
      <c r="FR8" s="92">
        <v>904.5</v>
      </c>
      <c r="FS8" s="324">
        <v>44695</v>
      </c>
      <c r="FT8" s="92">
        <v>904.5</v>
      </c>
      <c r="FU8" s="70" t="s">
        <v>504</v>
      </c>
      <c r="FV8" s="71">
        <v>49</v>
      </c>
      <c r="FW8" s="569">
        <f>FV8*FT8</f>
        <v>44320.5</v>
      </c>
      <c r="FY8" s="61"/>
      <c r="FZ8" s="106"/>
      <c r="GA8" s="15">
        <v>1</v>
      </c>
      <c r="GB8" s="279">
        <v>914.4</v>
      </c>
      <c r="GC8" s="495">
        <v>44698</v>
      </c>
      <c r="GD8" s="279">
        <v>914.4</v>
      </c>
      <c r="GE8" s="265" t="s">
        <v>518</v>
      </c>
      <c r="GF8" s="266">
        <v>49</v>
      </c>
      <c r="GG8" s="322">
        <f>GF8*GD8</f>
        <v>44805.599999999999</v>
      </c>
      <c r="GI8" s="61"/>
      <c r="GJ8" s="106"/>
      <c r="GK8" s="15">
        <v>1</v>
      </c>
      <c r="GL8" s="472">
        <v>899.9</v>
      </c>
      <c r="GM8" s="324">
        <v>44699</v>
      </c>
      <c r="GN8" s="499">
        <v>899.9</v>
      </c>
      <c r="GO8" s="95" t="s">
        <v>521</v>
      </c>
      <c r="GP8" s="71">
        <v>43</v>
      </c>
      <c r="GQ8" s="569">
        <f>GP8*GN8</f>
        <v>38695.699999999997</v>
      </c>
      <c r="GS8" s="61"/>
      <c r="GT8" s="106"/>
      <c r="GU8" s="15">
        <v>1</v>
      </c>
      <c r="GV8" s="279">
        <v>861.8</v>
      </c>
      <c r="GW8" s="328">
        <v>44699</v>
      </c>
      <c r="GX8" s="738">
        <v>861.8</v>
      </c>
      <c r="GY8" s="319" t="s">
        <v>526</v>
      </c>
      <c r="GZ8" s="266">
        <v>43</v>
      </c>
      <c r="HA8" s="569">
        <f>GZ8*GX8</f>
        <v>37057.4</v>
      </c>
      <c r="HC8" s="61"/>
      <c r="HD8" s="106"/>
      <c r="HE8" s="15">
        <v>1</v>
      </c>
      <c r="HF8" s="279">
        <v>915.34</v>
      </c>
      <c r="HG8" s="328">
        <v>44700</v>
      </c>
      <c r="HH8" s="279">
        <v>915.34</v>
      </c>
      <c r="HI8" s="319" t="s">
        <v>537</v>
      </c>
      <c r="HJ8" s="266">
        <v>43</v>
      </c>
      <c r="HK8" s="569">
        <f>HJ8*HH8</f>
        <v>39359.620000000003</v>
      </c>
      <c r="HM8" s="61"/>
      <c r="HN8" s="106"/>
      <c r="HO8" s="15">
        <v>1</v>
      </c>
      <c r="HP8" s="279">
        <v>920.79</v>
      </c>
      <c r="HQ8" s="328">
        <v>44700</v>
      </c>
      <c r="HR8" s="279">
        <v>920.79</v>
      </c>
      <c r="HS8" s="383" t="s">
        <v>541</v>
      </c>
      <c r="HT8" s="266">
        <v>43</v>
      </c>
      <c r="HU8" s="569">
        <f>HT8*HR8</f>
        <v>39593.97</v>
      </c>
      <c r="HW8" s="61"/>
      <c r="HX8" s="106"/>
      <c r="HY8" s="15">
        <v>1</v>
      </c>
      <c r="HZ8" s="92">
        <v>879.1</v>
      </c>
      <c r="IA8" s="336">
        <v>44702</v>
      </c>
      <c r="IB8" s="92">
        <v>879.1</v>
      </c>
      <c r="IC8" s="70" t="s">
        <v>553</v>
      </c>
      <c r="ID8" s="71">
        <v>45</v>
      </c>
      <c r="IE8" s="569">
        <f t="shared" ref="IE8:IE28" si="5">ID8*IB8</f>
        <v>39559.5</v>
      </c>
      <c r="IG8" s="61"/>
      <c r="IH8" s="106"/>
      <c r="II8" s="15">
        <v>1</v>
      </c>
      <c r="IJ8" s="92">
        <v>972.5</v>
      </c>
      <c r="IK8" s="336">
        <v>44702</v>
      </c>
      <c r="IL8" s="69">
        <v>972.5</v>
      </c>
      <c r="IM8" s="70" t="s">
        <v>548</v>
      </c>
      <c r="IN8" s="71">
        <v>45</v>
      </c>
      <c r="IO8" s="569">
        <f>IN8*IL8</f>
        <v>43762.5</v>
      </c>
      <c r="IQ8" s="746"/>
      <c r="IR8" s="106"/>
      <c r="IS8" s="15">
        <v>1</v>
      </c>
      <c r="IT8" s="279">
        <v>923.5</v>
      </c>
      <c r="IU8" s="245"/>
      <c r="IV8" s="279"/>
      <c r="IW8" s="501"/>
      <c r="IX8" s="266"/>
      <c r="IY8" s="322">
        <f>IX8*IV8</f>
        <v>0</v>
      </c>
      <c r="IZ8" s="92"/>
      <c r="JA8" s="61"/>
      <c r="JB8" s="106"/>
      <c r="JC8" s="15">
        <v>1</v>
      </c>
      <c r="JD8" s="92">
        <v>898.1</v>
      </c>
      <c r="JE8" s="336"/>
      <c r="JF8" s="92"/>
      <c r="JG8" s="265"/>
      <c r="JH8" s="71"/>
      <c r="JI8" s="569">
        <f>JH8*JF8</f>
        <v>0</v>
      </c>
      <c r="JJ8" s="384"/>
      <c r="JK8" s="385"/>
      <c r="JL8" s="386"/>
      <c r="JM8" s="15">
        <v>1</v>
      </c>
      <c r="JN8" s="92">
        <v>915.3</v>
      </c>
      <c r="JO8" s="324"/>
      <c r="JP8" s="92"/>
      <c r="JQ8" s="70"/>
      <c r="JR8" s="71"/>
      <c r="JS8" s="569">
        <f>JR8*JP8</f>
        <v>0</v>
      </c>
      <c r="JU8" s="61"/>
      <c r="JV8" s="106"/>
      <c r="JW8" s="15">
        <v>1</v>
      </c>
      <c r="JX8" s="92">
        <v>968.41</v>
      </c>
      <c r="JY8" s="336"/>
      <c r="JZ8" s="279"/>
      <c r="KA8" s="70"/>
      <c r="KB8" s="71"/>
      <c r="KC8" s="569">
        <f>KB8*JZ8</f>
        <v>0</v>
      </c>
      <c r="KE8" s="927"/>
      <c r="KF8" s="947"/>
      <c r="KG8" s="15">
        <v>1</v>
      </c>
      <c r="KH8" s="92">
        <v>904</v>
      </c>
      <c r="KI8" s="336"/>
      <c r="KJ8" s="279"/>
      <c r="KK8" s="70"/>
      <c r="KL8" s="71"/>
      <c r="KM8" s="569">
        <f>KL8*KJ8</f>
        <v>0</v>
      </c>
      <c r="KO8" s="61"/>
      <c r="KP8" s="106"/>
      <c r="KQ8" s="15">
        <v>1</v>
      </c>
      <c r="KR8" s="92">
        <v>900.8</v>
      </c>
      <c r="KS8" s="336"/>
      <c r="KT8" s="279"/>
      <c r="KU8" s="70"/>
      <c r="KV8" s="71"/>
      <c r="KW8" s="569">
        <f>KV8*KT8</f>
        <v>0</v>
      </c>
      <c r="KY8" s="61"/>
      <c r="KZ8" s="106"/>
      <c r="LA8" s="15">
        <v>1</v>
      </c>
      <c r="LB8" s="92">
        <v>880</v>
      </c>
      <c r="LC8" s="324"/>
      <c r="LD8" s="92"/>
      <c r="LE8" s="95"/>
      <c r="LF8" s="71"/>
      <c r="LG8" s="569">
        <f>LF8*LD8</f>
        <v>0</v>
      </c>
      <c r="LI8" s="61"/>
      <c r="LJ8" s="106"/>
      <c r="LK8" s="15">
        <v>1</v>
      </c>
      <c r="LL8" s="92">
        <v>914.59</v>
      </c>
      <c r="LM8" s="324"/>
      <c r="LN8" s="279"/>
      <c r="LO8" s="95"/>
      <c r="LP8" s="71"/>
      <c r="LQ8" s="569">
        <f>LP8*LN8</f>
        <v>0</v>
      </c>
      <c r="LS8" s="61"/>
      <c r="LT8" s="106"/>
      <c r="LU8" s="15">
        <v>1</v>
      </c>
      <c r="LV8" s="92"/>
      <c r="LW8" s="324"/>
      <c r="LX8" s="92"/>
      <c r="LY8" s="95"/>
      <c r="LZ8" s="71"/>
      <c r="MA8" s="569">
        <f>LZ8*LX8</f>
        <v>0</v>
      </c>
      <c r="MB8" s="569"/>
      <c r="MC8" s="61"/>
      <c r="MD8" s="106"/>
      <c r="ME8" s="15">
        <v>1</v>
      </c>
      <c r="MF8" s="376"/>
      <c r="MG8" s="324"/>
      <c r="MH8" s="376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24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24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87"/>
      <c r="NK8" s="324"/>
      <c r="NL8" s="387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24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87"/>
      <c r="OE8" s="324"/>
      <c r="OF8" s="387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24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79"/>
      <c r="OY8" s="328"/>
      <c r="OZ8" s="279"/>
      <c r="PA8" s="319"/>
      <c r="PB8" s="266"/>
      <c r="PC8" s="266">
        <f>PB8*OZ8</f>
        <v>0</v>
      </c>
      <c r="PE8" s="61"/>
      <c r="PF8" s="94"/>
      <c r="PG8" s="15">
        <v>1</v>
      </c>
      <c r="PH8" s="387"/>
      <c r="PI8" s="324"/>
      <c r="PJ8" s="387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24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324"/>
      <c r="QL8" s="92"/>
      <c r="QM8" s="95"/>
      <c r="QN8" s="71"/>
      <c r="QP8" s="61"/>
      <c r="QQ8" s="106"/>
      <c r="QR8" s="15">
        <v>1</v>
      </c>
      <c r="QS8" s="92"/>
      <c r="QT8" s="324"/>
      <c r="QU8" s="92"/>
      <c r="QV8" s="95"/>
      <c r="QW8" s="71"/>
      <c r="QY8" s="61"/>
      <c r="QZ8" s="106"/>
      <c r="RA8" s="15">
        <v>1</v>
      </c>
      <c r="RB8" s="92"/>
      <c r="RC8" s="324"/>
      <c r="RD8" s="92"/>
      <c r="RE8" s="95"/>
      <c r="RF8" s="71"/>
      <c r="RH8" s="61"/>
      <c r="RI8" s="94"/>
      <c r="RJ8" s="15">
        <v>1</v>
      </c>
      <c r="RK8" s="92"/>
      <c r="RL8" s="324"/>
      <c r="RM8" s="92"/>
      <c r="RN8" s="95"/>
      <c r="RO8" s="377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88"/>
      <c r="TF8" s="179"/>
      <c r="TG8" s="381"/>
      <c r="TH8" s="380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81742875</v>
      </c>
      <c r="E9" s="135">
        <f t="shared" si="6"/>
        <v>44688</v>
      </c>
      <c r="F9" s="86">
        <f t="shared" si="6"/>
        <v>18820.66</v>
      </c>
      <c r="G9" s="73">
        <f t="shared" si="6"/>
        <v>21</v>
      </c>
      <c r="H9" s="48">
        <f t="shared" si="6"/>
        <v>18851.599999999999</v>
      </c>
      <c r="I9" s="105">
        <f>BP5</f>
        <v>-30.93999999999869</v>
      </c>
      <c r="K9" s="242"/>
      <c r="L9" s="106"/>
      <c r="M9" s="15">
        <v>2</v>
      </c>
      <c r="N9" s="69">
        <v>893.6</v>
      </c>
      <c r="O9" s="336">
        <v>44684</v>
      </c>
      <c r="P9" s="69">
        <v>893.6</v>
      </c>
      <c r="Q9" s="70" t="s">
        <v>376</v>
      </c>
      <c r="R9" s="71">
        <v>47</v>
      </c>
      <c r="S9" s="569">
        <f t="shared" ref="S9:S28" si="7">R9*P9</f>
        <v>41999.200000000004</v>
      </c>
      <c r="T9" s="242"/>
      <c r="V9" s="106"/>
      <c r="W9" s="15">
        <v>2</v>
      </c>
      <c r="X9" s="69">
        <v>871.8</v>
      </c>
      <c r="Y9" s="336">
        <v>44684</v>
      </c>
      <c r="Z9" s="69">
        <v>871.8</v>
      </c>
      <c r="AA9" s="70" t="s">
        <v>368</v>
      </c>
      <c r="AB9" s="71">
        <v>47</v>
      </c>
      <c r="AC9" s="569">
        <f t="shared" ref="AC9:AC28" si="8">AB9*Z9</f>
        <v>40974.6</v>
      </c>
      <c r="AF9" s="94"/>
      <c r="AG9" s="15">
        <v>2</v>
      </c>
      <c r="AH9" s="92">
        <v>928.5</v>
      </c>
      <c r="AI9" s="324">
        <v>44685</v>
      </c>
      <c r="AJ9" s="92">
        <v>928.5</v>
      </c>
      <c r="AK9" s="95" t="s">
        <v>384</v>
      </c>
      <c r="AL9" s="71">
        <v>47</v>
      </c>
      <c r="AM9" s="569">
        <f t="shared" ref="AM9:AM28" si="9">AL9*AJ9</f>
        <v>43639.5</v>
      </c>
      <c r="AP9" s="94"/>
      <c r="AQ9" s="15">
        <v>2</v>
      </c>
      <c r="AR9" s="92">
        <v>929.91</v>
      </c>
      <c r="AS9" s="324">
        <v>44686</v>
      </c>
      <c r="AT9" s="92">
        <v>929.41</v>
      </c>
      <c r="AU9" s="95" t="s">
        <v>393</v>
      </c>
      <c r="AV9" s="71">
        <v>47</v>
      </c>
      <c r="AW9" s="569">
        <f t="shared" ref="AW9:AW29" si="10">AV9*AT9</f>
        <v>43682.27</v>
      </c>
      <c r="AZ9" s="94"/>
      <c r="BA9" s="15">
        <v>2</v>
      </c>
      <c r="BB9" s="92">
        <v>895.8</v>
      </c>
      <c r="BC9" s="324">
        <v>44687</v>
      </c>
      <c r="BD9" s="92">
        <v>895.8</v>
      </c>
      <c r="BE9" s="95" t="s">
        <v>404</v>
      </c>
      <c r="BF9" s="71">
        <v>49</v>
      </c>
      <c r="BG9" s="569">
        <f t="shared" ref="BG9:BG29" si="11">BF9*BD9</f>
        <v>43894.2</v>
      </c>
      <c r="BJ9" s="106"/>
      <c r="BK9" s="15">
        <v>2</v>
      </c>
      <c r="BL9" s="279">
        <v>911.3</v>
      </c>
      <c r="BM9" s="245">
        <v>44688</v>
      </c>
      <c r="BN9" s="279">
        <v>911.3</v>
      </c>
      <c r="BO9" s="319" t="s">
        <v>406</v>
      </c>
      <c r="BP9" s="813">
        <v>49</v>
      </c>
      <c r="BQ9" s="737">
        <f t="shared" ref="BQ9:BQ29" si="12">BP9*BN9</f>
        <v>44653.7</v>
      </c>
      <c r="BT9" s="106"/>
      <c r="BU9" s="15">
        <v>2</v>
      </c>
      <c r="BV9" s="92">
        <v>882.7</v>
      </c>
      <c r="BW9" s="378">
        <v>44688</v>
      </c>
      <c r="BX9" s="92">
        <v>882.7</v>
      </c>
      <c r="BY9" s="379" t="s">
        <v>420</v>
      </c>
      <c r="BZ9" s="380">
        <v>49</v>
      </c>
      <c r="CA9" s="569">
        <f t="shared" ref="CA9:CA28" si="13">BZ9*BX9</f>
        <v>43252.3</v>
      </c>
      <c r="CD9" s="762"/>
      <c r="CE9" s="15">
        <v>2</v>
      </c>
      <c r="CF9" s="279">
        <v>893.6</v>
      </c>
      <c r="CG9" s="994">
        <v>44690</v>
      </c>
      <c r="CH9" s="279">
        <v>893.6</v>
      </c>
      <c r="CI9" s="814" t="s">
        <v>431</v>
      </c>
      <c r="CJ9" s="692">
        <v>49</v>
      </c>
      <c r="CK9" s="569">
        <f t="shared" ref="CK9:CK29" si="14">CJ9*CH9</f>
        <v>43786.400000000001</v>
      </c>
      <c r="CN9" s="94"/>
      <c r="CO9" s="15">
        <v>2</v>
      </c>
      <c r="CP9" s="92">
        <v>922.6</v>
      </c>
      <c r="CQ9" s="378">
        <v>44690</v>
      </c>
      <c r="CR9" s="92">
        <v>922.6</v>
      </c>
      <c r="CS9" s="381" t="s">
        <v>427</v>
      </c>
      <c r="CT9" s="380">
        <v>49</v>
      </c>
      <c r="CU9" s="575">
        <f>CT9*CR9</f>
        <v>45207.4</v>
      </c>
      <c r="CX9" s="94"/>
      <c r="CY9" s="15">
        <v>2</v>
      </c>
      <c r="CZ9" s="92">
        <v>889</v>
      </c>
      <c r="DA9" s="324">
        <v>44693</v>
      </c>
      <c r="DB9" s="92">
        <v>889</v>
      </c>
      <c r="DC9" s="95" t="s">
        <v>456</v>
      </c>
      <c r="DD9" s="71">
        <v>49</v>
      </c>
      <c r="DE9" s="569">
        <f t="shared" ref="DE9:DE29" si="15">DD9*DB9</f>
        <v>43561</v>
      </c>
      <c r="DH9" s="94"/>
      <c r="DI9" s="15">
        <v>2</v>
      </c>
      <c r="DJ9" s="279">
        <v>884.5</v>
      </c>
      <c r="DK9" s="378">
        <v>44691</v>
      </c>
      <c r="DL9" s="92">
        <v>884.5</v>
      </c>
      <c r="DM9" s="381" t="s">
        <v>445</v>
      </c>
      <c r="DN9" s="380">
        <v>49</v>
      </c>
      <c r="DO9" s="575">
        <f t="shared" ref="DO9:DO29" si="16">DN9*DL9</f>
        <v>43340.5</v>
      </c>
      <c r="DR9" s="94"/>
      <c r="DS9" s="15">
        <v>2</v>
      </c>
      <c r="DT9" s="92">
        <v>866.4</v>
      </c>
      <c r="DU9" s="378">
        <v>44691</v>
      </c>
      <c r="DV9" s="92">
        <v>866.4</v>
      </c>
      <c r="DW9" s="381" t="s">
        <v>437</v>
      </c>
      <c r="DX9" s="380">
        <v>59</v>
      </c>
      <c r="DY9" s="569">
        <f t="shared" ref="DY9:DY29" si="17">DX9*DV9</f>
        <v>51117.599999999999</v>
      </c>
      <c r="EB9" s="94"/>
      <c r="EC9" s="15">
        <v>2</v>
      </c>
      <c r="ED9" s="69">
        <v>944.83</v>
      </c>
      <c r="EE9" s="336">
        <v>44694</v>
      </c>
      <c r="EF9" s="92">
        <v>944.83</v>
      </c>
      <c r="EG9" s="70" t="s">
        <v>477</v>
      </c>
      <c r="EH9" s="71">
        <v>49</v>
      </c>
      <c r="EI9" s="569">
        <f t="shared" ref="EI9:EI28" si="18">EH9*EF9</f>
        <v>46296.670000000006</v>
      </c>
      <c r="EL9" s="425"/>
      <c r="EM9" s="15">
        <v>2</v>
      </c>
      <c r="EN9" s="279">
        <v>921.24</v>
      </c>
      <c r="EO9" s="328">
        <v>44694</v>
      </c>
      <c r="EP9" s="279">
        <v>921.24</v>
      </c>
      <c r="EQ9" s="265" t="s">
        <v>483</v>
      </c>
      <c r="ER9" s="266">
        <v>49</v>
      </c>
      <c r="ES9" s="569">
        <f t="shared" ref="ES9:ES29" si="19">ER9*EP9</f>
        <v>45140.76</v>
      </c>
      <c r="EV9" s="94"/>
      <c r="EW9" s="15">
        <v>2</v>
      </c>
      <c r="EX9" s="264">
        <v>949.36</v>
      </c>
      <c r="EY9" s="495">
        <v>44694</v>
      </c>
      <c r="EZ9" s="264">
        <v>949.36</v>
      </c>
      <c r="FA9" s="265" t="s">
        <v>490</v>
      </c>
      <c r="FB9" s="266">
        <v>49</v>
      </c>
      <c r="FC9" s="322">
        <f t="shared" ref="FC9:FC29" si="20">FB9*EZ9</f>
        <v>46518.64</v>
      </c>
      <c r="FF9" s="425"/>
      <c r="FG9" s="15">
        <v>2</v>
      </c>
      <c r="FH9" s="279">
        <v>917</v>
      </c>
      <c r="FI9" s="328">
        <v>44694</v>
      </c>
      <c r="FJ9" s="279">
        <v>917</v>
      </c>
      <c r="FK9" s="265" t="s">
        <v>488</v>
      </c>
      <c r="FL9" s="266">
        <v>49</v>
      </c>
      <c r="FM9" s="569">
        <f t="shared" ref="FM9:FM29" si="21">FL9*FJ9</f>
        <v>44933</v>
      </c>
      <c r="FP9" s="94" t="s">
        <v>41</v>
      </c>
      <c r="FQ9" s="15">
        <v>2</v>
      </c>
      <c r="FR9" s="92">
        <v>933.5</v>
      </c>
      <c r="FS9" s="324">
        <v>44695</v>
      </c>
      <c r="FT9" s="92">
        <v>933.5</v>
      </c>
      <c r="FU9" s="70" t="s">
        <v>500</v>
      </c>
      <c r="FV9" s="71">
        <v>49</v>
      </c>
      <c r="FW9" s="569">
        <f t="shared" ref="FW9:FW29" si="22">FV9*FT9</f>
        <v>45741.5</v>
      </c>
      <c r="FZ9" s="94"/>
      <c r="GA9" s="15">
        <v>2</v>
      </c>
      <c r="GB9" s="264">
        <v>938</v>
      </c>
      <c r="GC9" s="495">
        <v>44697</v>
      </c>
      <c r="GD9" s="264">
        <v>938</v>
      </c>
      <c r="GE9" s="265" t="s">
        <v>517</v>
      </c>
      <c r="GF9" s="266">
        <v>49</v>
      </c>
      <c r="GG9" s="322">
        <f t="shared" ref="GG9:GG29" si="23">GF9*GD9</f>
        <v>45962</v>
      </c>
      <c r="GJ9" s="94"/>
      <c r="GK9" s="15">
        <v>2</v>
      </c>
      <c r="GL9" s="473">
        <v>940.7</v>
      </c>
      <c r="GM9" s="324">
        <v>44699</v>
      </c>
      <c r="GN9" s="473">
        <v>940.7</v>
      </c>
      <c r="GO9" s="95" t="s">
        <v>521</v>
      </c>
      <c r="GP9" s="71">
        <v>43</v>
      </c>
      <c r="GQ9" s="569">
        <f t="shared" ref="GQ9:GQ29" si="24">GP9*GN9</f>
        <v>40450.1</v>
      </c>
      <c r="GT9" s="94"/>
      <c r="GU9" s="15">
        <v>2</v>
      </c>
      <c r="GV9" s="275">
        <v>904.5</v>
      </c>
      <c r="GW9" s="328">
        <v>44699</v>
      </c>
      <c r="GX9" s="275">
        <v>904.5</v>
      </c>
      <c r="GY9" s="319" t="s">
        <v>526</v>
      </c>
      <c r="GZ9" s="266">
        <v>43</v>
      </c>
      <c r="HA9" s="569">
        <f t="shared" ref="HA9:HA28" si="25">GZ9*GX9</f>
        <v>38893.5</v>
      </c>
      <c r="HD9" s="94"/>
      <c r="HE9" s="15">
        <v>2</v>
      </c>
      <c r="HF9" s="279">
        <v>918.97</v>
      </c>
      <c r="HG9" s="328">
        <v>44700</v>
      </c>
      <c r="HH9" s="279">
        <v>918.97</v>
      </c>
      <c r="HI9" s="319" t="s">
        <v>537</v>
      </c>
      <c r="HJ9" s="266">
        <v>43</v>
      </c>
      <c r="HK9" s="569">
        <f t="shared" ref="HK9:HK28" si="26">HJ9*HH9</f>
        <v>39515.71</v>
      </c>
      <c r="HN9" s="94"/>
      <c r="HO9" s="15">
        <v>2</v>
      </c>
      <c r="HP9" s="279">
        <v>950.72</v>
      </c>
      <c r="HQ9" s="328">
        <v>44700</v>
      </c>
      <c r="HR9" s="279">
        <v>950.72</v>
      </c>
      <c r="HS9" s="383" t="s">
        <v>541</v>
      </c>
      <c r="HT9" s="266">
        <v>43</v>
      </c>
      <c r="HU9" s="569">
        <f t="shared" ref="HU9:HU29" si="27">HT9*HR9</f>
        <v>40880.959999999999</v>
      </c>
      <c r="HX9" s="106"/>
      <c r="HY9" s="15">
        <v>2</v>
      </c>
      <c r="HZ9" s="69">
        <v>879.5</v>
      </c>
      <c r="IA9" s="336">
        <v>44702</v>
      </c>
      <c r="IB9" s="69">
        <v>879.5</v>
      </c>
      <c r="IC9" s="70" t="s">
        <v>552</v>
      </c>
      <c r="ID9" s="71">
        <v>45</v>
      </c>
      <c r="IE9" s="569">
        <f t="shared" si="5"/>
        <v>39577.5</v>
      </c>
      <c r="IH9" s="106"/>
      <c r="II9" s="15">
        <v>2</v>
      </c>
      <c r="IJ9" s="69">
        <v>892.66</v>
      </c>
      <c r="IK9" s="336">
        <v>44701</v>
      </c>
      <c r="IL9" s="69">
        <v>892.66</v>
      </c>
      <c r="IM9" s="70" t="s">
        <v>534</v>
      </c>
      <c r="IN9" s="71">
        <v>43</v>
      </c>
      <c r="IO9" s="569">
        <f t="shared" ref="IO9:IO29" si="28">IN9*IL9</f>
        <v>38384.379999999997</v>
      </c>
      <c r="IQ9" s="747"/>
      <c r="IR9" s="94"/>
      <c r="IS9" s="15">
        <v>2</v>
      </c>
      <c r="IT9" s="279">
        <v>866.4</v>
      </c>
      <c r="IU9" s="245"/>
      <c r="IV9" s="279"/>
      <c r="IW9" s="501"/>
      <c r="IX9" s="266"/>
      <c r="IY9" s="322">
        <f t="shared" ref="IY9:IY29" si="29">IX9*IV9</f>
        <v>0</v>
      </c>
      <c r="IZ9" s="92"/>
      <c r="JA9" s="92"/>
      <c r="JB9" s="94"/>
      <c r="JC9" s="15">
        <v>2</v>
      </c>
      <c r="JD9" s="92">
        <v>911.7</v>
      </c>
      <c r="JE9" s="336"/>
      <c r="JF9" s="92"/>
      <c r="JG9" s="265"/>
      <c r="JH9" s="71"/>
      <c r="JI9" s="569">
        <f t="shared" ref="JI9:JI29" si="30">JH9*JF9</f>
        <v>0</v>
      </c>
      <c r="JJ9" s="69"/>
      <c r="JL9" s="94"/>
      <c r="JM9" s="15">
        <v>2</v>
      </c>
      <c r="JN9" s="92">
        <v>914.4</v>
      </c>
      <c r="JO9" s="324"/>
      <c r="JP9" s="92"/>
      <c r="JQ9" s="70"/>
      <c r="JR9" s="71"/>
      <c r="JS9" s="569">
        <f t="shared" ref="JS9:JS27" si="31">JR9*JP9</f>
        <v>0</v>
      </c>
      <c r="JV9" s="106"/>
      <c r="JW9" s="15">
        <v>2</v>
      </c>
      <c r="JX9" s="69">
        <v>925.78</v>
      </c>
      <c r="JY9" s="336"/>
      <c r="JZ9" s="69"/>
      <c r="KA9" s="70"/>
      <c r="KB9" s="71"/>
      <c r="KC9" s="569">
        <f t="shared" ref="KC9:KC28" si="32">KB9*JZ9</f>
        <v>0</v>
      </c>
      <c r="KE9" s="242"/>
      <c r="KF9" s="947"/>
      <c r="KG9" s="15">
        <v>2</v>
      </c>
      <c r="KH9" s="69">
        <v>949.82</v>
      </c>
      <c r="KI9" s="336"/>
      <c r="KJ9" s="69"/>
      <c r="KK9" s="70"/>
      <c r="KL9" s="71"/>
      <c r="KM9" s="569">
        <f t="shared" ref="KM9:KM28" si="33">KL9*KJ9</f>
        <v>0</v>
      </c>
      <c r="KP9" s="106"/>
      <c r="KQ9" s="15">
        <v>2</v>
      </c>
      <c r="KR9" s="69">
        <v>935.3</v>
      </c>
      <c r="KS9" s="336"/>
      <c r="KT9" s="69"/>
      <c r="KU9" s="70"/>
      <c r="KV9" s="71"/>
      <c r="KW9" s="569">
        <f t="shared" ref="KW9:KW28" si="34">KV9*KT9</f>
        <v>0</v>
      </c>
      <c r="KZ9" s="94"/>
      <c r="LA9" s="15">
        <v>2</v>
      </c>
      <c r="LB9" s="92">
        <v>872.7</v>
      </c>
      <c r="LC9" s="324"/>
      <c r="LD9" s="92"/>
      <c r="LE9" s="95"/>
      <c r="LF9" s="71"/>
      <c r="LG9" s="569">
        <f t="shared" ref="LG9:LG28" si="35">LF9*LD9</f>
        <v>0</v>
      </c>
      <c r="LJ9" s="94"/>
      <c r="LK9" s="15">
        <v>2</v>
      </c>
      <c r="LL9" s="92">
        <v>896.75</v>
      </c>
      <c r="LM9" s="324"/>
      <c r="LN9" s="92"/>
      <c r="LO9" s="95"/>
      <c r="LP9" s="71"/>
      <c r="LQ9" s="569">
        <f t="shared" ref="LQ9:LQ29" si="36">LP9*LN9</f>
        <v>0</v>
      </c>
      <c r="LT9" s="94"/>
      <c r="LU9" s="15">
        <v>2</v>
      </c>
      <c r="LV9" s="92"/>
      <c r="LW9" s="324"/>
      <c r="LX9" s="92"/>
      <c r="LY9" s="95"/>
      <c r="LZ9" s="71"/>
      <c r="MA9" s="569">
        <f t="shared" ref="MA9:MA29" si="37">LZ9*LX9</f>
        <v>0</v>
      </c>
      <c r="MB9" s="569"/>
      <c r="MD9" s="94"/>
      <c r="ME9" s="15">
        <v>2</v>
      </c>
      <c r="MF9" s="389"/>
      <c r="MG9" s="324"/>
      <c r="MH9" s="389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24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24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90"/>
      <c r="NK9" s="324"/>
      <c r="NL9" s="390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24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90"/>
      <c r="OE9" s="324"/>
      <c r="OF9" s="390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24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79"/>
      <c r="OY9" s="328"/>
      <c r="OZ9" s="279"/>
      <c r="PA9" s="319"/>
      <c r="PB9" s="266"/>
      <c r="PC9" s="266">
        <f t="shared" ref="PC9:PC28" si="45">PB9*OZ9</f>
        <v>0</v>
      </c>
      <c r="PF9" s="94"/>
      <c r="PG9" s="15">
        <v>2</v>
      </c>
      <c r="PH9" s="390"/>
      <c r="PI9" s="324"/>
      <c r="PJ9" s="390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24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324"/>
      <c r="QL9" s="92"/>
      <c r="QM9" s="95"/>
      <c r="QN9" s="71"/>
      <c r="QQ9" s="106"/>
      <c r="QR9" s="15">
        <v>2</v>
      </c>
      <c r="QS9" s="92"/>
      <c r="QT9" s="324"/>
      <c r="QU9" s="92"/>
      <c r="QV9" s="95"/>
      <c r="QW9" s="71"/>
      <c r="QZ9" s="106"/>
      <c r="RA9" s="15">
        <v>2</v>
      </c>
      <c r="RB9" s="92"/>
      <c r="RC9" s="324"/>
      <c r="RD9" s="92"/>
      <c r="RE9" s="95"/>
      <c r="RF9" s="71"/>
      <c r="RI9" s="106"/>
      <c r="RJ9" s="15">
        <v>2</v>
      </c>
      <c r="RK9" s="92"/>
      <c r="RL9" s="324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88"/>
      <c r="TF9" s="179"/>
      <c r="TG9" s="381"/>
      <c r="TH9" s="380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Seboard</v>
      </c>
      <c r="D10" s="102" t="str">
        <f t="shared" si="47"/>
        <v>PED. 81744846</v>
      </c>
      <c r="E10" s="135">
        <f t="shared" si="47"/>
        <v>44688</v>
      </c>
      <c r="F10" s="86">
        <f t="shared" si="47"/>
        <v>18368.66</v>
      </c>
      <c r="G10" s="73">
        <f t="shared" si="47"/>
        <v>21</v>
      </c>
      <c r="H10" s="48">
        <f t="shared" si="47"/>
        <v>18485.3</v>
      </c>
      <c r="I10" s="105">
        <f t="shared" si="47"/>
        <v>-116.63999999999942</v>
      </c>
      <c r="K10" s="242"/>
      <c r="L10" s="106"/>
      <c r="M10" s="15">
        <v>3</v>
      </c>
      <c r="N10" s="69">
        <v>934.4</v>
      </c>
      <c r="O10" s="336">
        <v>44684</v>
      </c>
      <c r="P10" s="69">
        <v>934.4</v>
      </c>
      <c r="Q10" s="70" t="s">
        <v>376</v>
      </c>
      <c r="R10" s="71">
        <v>47</v>
      </c>
      <c r="S10" s="569">
        <f t="shared" si="7"/>
        <v>43916.799999999996</v>
      </c>
      <c r="T10" s="242"/>
      <c r="V10" s="106"/>
      <c r="W10" s="15">
        <v>3</v>
      </c>
      <c r="X10" s="69">
        <v>913.5</v>
      </c>
      <c r="Y10" s="336">
        <v>44684</v>
      </c>
      <c r="Z10" s="69">
        <v>913.5</v>
      </c>
      <c r="AA10" s="70" t="s">
        <v>372</v>
      </c>
      <c r="AB10" s="71">
        <v>47</v>
      </c>
      <c r="AC10" s="569">
        <f t="shared" si="8"/>
        <v>42934.5</v>
      </c>
      <c r="AF10" s="94"/>
      <c r="AG10" s="15">
        <v>3</v>
      </c>
      <c r="AH10" s="92">
        <v>970.68</v>
      </c>
      <c r="AI10" s="324">
        <v>44685</v>
      </c>
      <c r="AJ10" s="92">
        <v>970.68</v>
      </c>
      <c r="AK10" s="95" t="s">
        <v>384</v>
      </c>
      <c r="AL10" s="71">
        <v>47</v>
      </c>
      <c r="AM10" s="569">
        <f t="shared" si="9"/>
        <v>45621.96</v>
      </c>
      <c r="AP10" s="94"/>
      <c r="AQ10" s="15">
        <v>3</v>
      </c>
      <c r="AR10" s="92">
        <v>955.71</v>
      </c>
      <c r="AS10" s="324">
        <v>44686</v>
      </c>
      <c r="AT10" s="92">
        <v>955.71</v>
      </c>
      <c r="AU10" s="95" t="s">
        <v>393</v>
      </c>
      <c r="AV10" s="71">
        <v>47</v>
      </c>
      <c r="AW10" s="569">
        <f t="shared" si="10"/>
        <v>44918.37</v>
      </c>
      <c r="AZ10" s="94"/>
      <c r="BA10" s="15">
        <v>3</v>
      </c>
      <c r="BB10" s="92">
        <v>884</v>
      </c>
      <c r="BC10" s="324">
        <v>44687</v>
      </c>
      <c r="BD10" s="92">
        <v>884</v>
      </c>
      <c r="BE10" s="95" t="s">
        <v>403</v>
      </c>
      <c r="BF10" s="71">
        <v>49</v>
      </c>
      <c r="BG10" s="569">
        <f t="shared" si="11"/>
        <v>43316</v>
      </c>
      <c r="BJ10" s="106"/>
      <c r="BK10" s="15">
        <v>3</v>
      </c>
      <c r="BL10" s="279">
        <v>884</v>
      </c>
      <c r="BM10" s="245">
        <v>44688</v>
      </c>
      <c r="BN10" s="279">
        <v>884</v>
      </c>
      <c r="BO10" s="319" t="s">
        <v>406</v>
      </c>
      <c r="BP10" s="813">
        <v>49</v>
      </c>
      <c r="BQ10" s="737">
        <f t="shared" si="12"/>
        <v>43316</v>
      </c>
      <c r="BT10" s="106"/>
      <c r="BU10" s="15">
        <v>3</v>
      </c>
      <c r="BV10" s="92">
        <v>875.4</v>
      </c>
      <c r="BW10" s="378">
        <v>44688</v>
      </c>
      <c r="BX10" s="92">
        <v>875.4</v>
      </c>
      <c r="BY10" s="379" t="s">
        <v>417</v>
      </c>
      <c r="BZ10" s="380">
        <v>49</v>
      </c>
      <c r="CA10" s="569">
        <f t="shared" si="13"/>
        <v>42894.6</v>
      </c>
      <c r="CD10" s="762"/>
      <c r="CE10" s="15">
        <v>3</v>
      </c>
      <c r="CF10" s="279">
        <v>884.5</v>
      </c>
      <c r="CG10" s="994">
        <v>44691</v>
      </c>
      <c r="CH10" s="279">
        <v>884.5</v>
      </c>
      <c r="CI10" s="814" t="s">
        <v>439</v>
      </c>
      <c r="CJ10" s="692">
        <v>49</v>
      </c>
      <c r="CK10" s="569">
        <f t="shared" si="14"/>
        <v>43340.5</v>
      </c>
      <c r="CN10" s="94"/>
      <c r="CO10" s="15">
        <v>3</v>
      </c>
      <c r="CP10" s="92">
        <v>931.22</v>
      </c>
      <c r="CQ10" s="378">
        <v>44688</v>
      </c>
      <c r="CR10" s="92">
        <v>931.22</v>
      </c>
      <c r="CS10" s="381" t="s">
        <v>422</v>
      </c>
      <c r="CT10" s="380">
        <v>49</v>
      </c>
      <c r="CU10" s="575">
        <f t="shared" ref="CU10:CU30" si="48">CT10*CR10</f>
        <v>45629.78</v>
      </c>
      <c r="CX10" s="94"/>
      <c r="CY10" s="15">
        <v>3</v>
      </c>
      <c r="CZ10" s="92">
        <v>861.8</v>
      </c>
      <c r="DA10" s="324">
        <v>44692</v>
      </c>
      <c r="DB10" s="92">
        <v>861.8</v>
      </c>
      <c r="DC10" s="95" t="s">
        <v>458</v>
      </c>
      <c r="DD10" s="71">
        <v>49</v>
      </c>
      <c r="DE10" s="569">
        <f t="shared" si="15"/>
        <v>42228.2</v>
      </c>
      <c r="DH10" s="94"/>
      <c r="DI10" s="15">
        <v>3</v>
      </c>
      <c r="DJ10" s="279">
        <v>888.1</v>
      </c>
      <c r="DK10" s="378">
        <v>44691</v>
      </c>
      <c r="DL10" s="92">
        <v>888.1</v>
      </c>
      <c r="DM10" s="381" t="s">
        <v>445</v>
      </c>
      <c r="DN10" s="380">
        <v>49</v>
      </c>
      <c r="DO10" s="575">
        <f t="shared" si="16"/>
        <v>43516.9</v>
      </c>
      <c r="DR10" s="94"/>
      <c r="DS10" s="15">
        <v>3</v>
      </c>
      <c r="DT10" s="92">
        <v>901.7</v>
      </c>
      <c r="DU10" s="378">
        <v>44691</v>
      </c>
      <c r="DV10" s="92">
        <v>901.7</v>
      </c>
      <c r="DW10" s="381" t="s">
        <v>437</v>
      </c>
      <c r="DX10" s="380">
        <v>59</v>
      </c>
      <c r="DY10" s="569">
        <f t="shared" si="17"/>
        <v>53200.3</v>
      </c>
      <c r="EB10" s="94"/>
      <c r="EC10" s="15">
        <v>3</v>
      </c>
      <c r="ED10" s="69">
        <v>930.31</v>
      </c>
      <c r="EE10" s="336">
        <v>44694</v>
      </c>
      <c r="EF10" s="92">
        <v>930.31</v>
      </c>
      <c r="EG10" s="70" t="s">
        <v>477</v>
      </c>
      <c r="EH10" s="71">
        <v>49</v>
      </c>
      <c r="EI10" s="569">
        <f t="shared" si="18"/>
        <v>45585.189999999995</v>
      </c>
      <c r="EL10" s="425"/>
      <c r="EM10" s="15">
        <v>3</v>
      </c>
      <c r="EN10" s="279">
        <v>955.26</v>
      </c>
      <c r="EO10" s="328">
        <v>44694</v>
      </c>
      <c r="EP10" s="279">
        <v>955.26</v>
      </c>
      <c r="EQ10" s="265" t="s">
        <v>483</v>
      </c>
      <c r="ER10" s="266">
        <v>49</v>
      </c>
      <c r="ES10" s="569">
        <f t="shared" si="19"/>
        <v>46807.74</v>
      </c>
      <c r="EV10" s="94"/>
      <c r="EW10" s="15">
        <v>3</v>
      </c>
      <c r="EX10" s="264">
        <v>957.98</v>
      </c>
      <c r="EY10" s="495">
        <v>44694</v>
      </c>
      <c r="EZ10" s="264">
        <v>957.98</v>
      </c>
      <c r="FA10" s="265" t="s">
        <v>490</v>
      </c>
      <c r="FB10" s="266">
        <v>49</v>
      </c>
      <c r="FC10" s="322">
        <f t="shared" si="20"/>
        <v>46941.020000000004</v>
      </c>
      <c r="FF10" s="425"/>
      <c r="FG10" s="15">
        <v>3</v>
      </c>
      <c r="FH10" s="279">
        <v>900</v>
      </c>
      <c r="FI10" s="328">
        <v>44694</v>
      </c>
      <c r="FJ10" s="279">
        <v>900</v>
      </c>
      <c r="FK10" s="265" t="s">
        <v>487</v>
      </c>
      <c r="FL10" s="266">
        <v>49</v>
      </c>
      <c r="FM10" s="569">
        <f t="shared" si="21"/>
        <v>44100</v>
      </c>
      <c r="FP10" s="94"/>
      <c r="FQ10" s="15">
        <v>3</v>
      </c>
      <c r="FR10" s="92">
        <v>912.6</v>
      </c>
      <c r="FS10" s="324">
        <v>44695</v>
      </c>
      <c r="FT10" s="92">
        <v>912.6</v>
      </c>
      <c r="FU10" s="70" t="s">
        <v>500</v>
      </c>
      <c r="FV10" s="71">
        <v>49</v>
      </c>
      <c r="FW10" s="569">
        <f t="shared" si="22"/>
        <v>44717.4</v>
      </c>
      <c r="FZ10" s="94"/>
      <c r="GA10" s="15">
        <v>3</v>
      </c>
      <c r="GB10" s="264">
        <v>934.4</v>
      </c>
      <c r="GC10" s="495">
        <v>44698</v>
      </c>
      <c r="GD10" s="264">
        <v>934.4</v>
      </c>
      <c r="GE10" s="265" t="s">
        <v>518</v>
      </c>
      <c r="GF10" s="266">
        <v>49</v>
      </c>
      <c r="GG10" s="322">
        <f t="shared" si="23"/>
        <v>45785.599999999999</v>
      </c>
      <c r="GJ10" s="94"/>
      <c r="GK10" s="15">
        <v>3</v>
      </c>
      <c r="GL10" s="473">
        <v>889</v>
      </c>
      <c r="GM10" s="324">
        <v>44699</v>
      </c>
      <c r="GN10" s="473">
        <v>889</v>
      </c>
      <c r="GO10" s="95" t="s">
        <v>520</v>
      </c>
      <c r="GP10" s="71">
        <v>43</v>
      </c>
      <c r="GQ10" s="569">
        <f t="shared" si="24"/>
        <v>38227</v>
      </c>
      <c r="GT10" s="94"/>
      <c r="GU10" s="15">
        <v>3</v>
      </c>
      <c r="GV10" s="279">
        <v>893.6</v>
      </c>
      <c r="GW10" s="328">
        <v>44699</v>
      </c>
      <c r="GX10" s="279">
        <v>893.6</v>
      </c>
      <c r="GY10" s="319" t="s">
        <v>526</v>
      </c>
      <c r="GZ10" s="266">
        <v>43</v>
      </c>
      <c r="HA10" s="569">
        <f t="shared" si="25"/>
        <v>38424.800000000003</v>
      </c>
      <c r="HD10" s="94"/>
      <c r="HE10" s="15">
        <v>3</v>
      </c>
      <c r="HF10" s="279">
        <v>956.17</v>
      </c>
      <c r="HG10" s="328">
        <v>44700</v>
      </c>
      <c r="HH10" s="279">
        <v>956.17</v>
      </c>
      <c r="HI10" s="319" t="s">
        <v>443</v>
      </c>
      <c r="HJ10" s="266">
        <v>43</v>
      </c>
      <c r="HK10" s="569">
        <f t="shared" si="26"/>
        <v>41115.31</v>
      </c>
      <c r="HN10" s="94"/>
      <c r="HO10" s="15">
        <v>3</v>
      </c>
      <c r="HP10" s="279">
        <v>931.37</v>
      </c>
      <c r="HQ10" s="328">
        <v>44700</v>
      </c>
      <c r="HR10" s="279">
        <v>931.37</v>
      </c>
      <c r="HS10" s="383" t="s">
        <v>495</v>
      </c>
      <c r="HT10" s="266">
        <v>43</v>
      </c>
      <c r="HU10" s="569">
        <f t="shared" si="27"/>
        <v>40048.910000000003</v>
      </c>
      <c r="HX10" s="106"/>
      <c r="HY10" s="15">
        <v>3</v>
      </c>
      <c r="HZ10" s="69">
        <v>891.8</v>
      </c>
      <c r="IA10" s="336">
        <v>44702</v>
      </c>
      <c r="IB10" s="69">
        <v>891.8</v>
      </c>
      <c r="IC10" s="70" t="s">
        <v>552</v>
      </c>
      <c r="ID10" s="71">
        <v>45</v>
      </c>
      <c r="IE10" s="569">
        <f t="shared" si="5"/>
        <v>40131</v>
      </c>
      <c r="IH10" s="106"/>
      <c r="II10" s="15">
        <v>3</v>
      </c>
      <c r="IJ10" s="69">
        <v>949.82</v>
      </c>
      <c r="IK10" s="336">
        <v>44702</v>
      </c>
      <c r="IL10" s="69">
        <v>949.82</v>
      </c>
      <c r="IM10" s="70" t="s">
        <v>548</v>
      </c>
      <c r="IN10" s="71">
        <v>45</v>
      </c>
      <c r="IO10" s="569">
        <f t="shared" si="28"/>
        <v>42741.9</v>
      </c>
      <c r="IQ10" s="748"/>
      <c r="IR10" s="94"/>
      <c r="IS10" s="15">
        <v>3</v>
      </c>
      <c r="IT10" s="279">
        <v>918.1</v>
      </c>
      <c r="IU10" s="245"/>
      <c r="IV10" s="279"/>
      <c r="IW10" s="501"/>
      <c r="IX10" s="266"/>
      <c r="IY10" s="322">
        <f t="shared" si="29"/>
        <v>0</v>
      </c>
      <c r="IZ10" s="92"/>
      <c r="JA10" s="69"/>
      <c r="JB10" s="94"/>
      <c r="JC10" s="15">
        <v>3</v>
      </c>
      <c r="JD10" s="92">
        <v>897.2</v>
      </c>
      <c r="JE10" s="336"/>
      <c r="JF10" s="92"/>
      <c r="JG10" s="265"/>
      <c r="JH10" s="71"/>
      <c r="JI10" s="569">
        <f t="shared" si="30"/>
        <v>0</v>
      </c>
      <c r="JJ10" s="69"/>
      <c r="JL10" s="94"/>
      <c r="JM10" s="15">
        <v>3</v>
      </c>
      <c r="JN10" s="92">
        <v>899.9</v>
      </c>
      <c r="JO10" s="324"/>
      <c r="JP10" s="92"/>
      <c r="JQ10" s="70"/>
      <c r="JR10" s="71"/>
      <c r="JS10" s="569">
        <f t="shared" si="31"/>
        <v>0</v>
      </c>
      <c r="JV10" s="106"/>
      <c r="JW10" s="15">
        <v>3</v>
      </c>
      <c r="JX10" s="69">
        <v>919.88</v>
      </c>
      <c r="JY10" s="336"/>
      <c r="JZ10" s="69"/>
      <c r="KA10" s="70"/>
      <c r="KB10" s="71"/>
      <c r="KC10" s="569">
        <f t="shared" si="32"/>
        <v>0</v>
      </c>
      <c r="KE10" s="242"/>
      <c r="KF10" s="947"/>
      <c r="KG10" s="15">
        <v>3</v>
      </c>
      <c r="KH10" s="69">
        <v>956.17</v>
      </c>
      <c r="KI10" s="336"/>
      <c r="KJ10" s="69"/>
      <c r="KK10" s="70"/>
      <c r="KL10" s="71"/>
      <c r="KM10" s="569">
        <f t="shared" si="33"/>
        <v>0</v>
      </c>
      <c r="KP10" s="106"/>
      <c r="KQ10" s="15">
        <v>3</v>
      </c>
      <c r="KR10" s="69">
        <v>921.7</v>
      </c>
      <c r="KS10" s="336"/>
      <c r="KT10" s="69"/>
      <c r="KU10" s="70"/>
      <c r="KV10" s="71"/>
      <c r="KW10" s="569">
        <f t="shared" si="34"/>
        <v>0</v>
      </c>
      <c r="KZ10" s="94"/>
      <c r="LA10" s="15">
        <v>3</v>
      </c>
      <c r="LB10" s="92">
        <v>904.5</v>
      </c>
      <c r="LC10" s="324"/>
      <c r="LD10" s="92"/>
      <c r="LE10" s="95"/>
      <c r="LF10" s="71"/>
      <c r="LG10" s="569">
        <f t="shared" si="35"/>
        <v>0</v>
      </c>
      <c r="LJ10" s="94"/>
      <c r="LK10" s="15">
        <v>3</v>
      </c>
      <c r="LL10" s="92">
        <v>949.82</v>
      </c>
      <c r="LM10" s="324"/>
      <c r="LN10" s="92"/>
      <c r="LO10" s="95"/>
      <c r="LP10" s="71"/>
      <c r="LQ10" s="569">
        <f t="shared" si="36"/>
        <v>0</v>
      </c>
      <c r="LT10" s="94"/>
      <c r="LU10" s="15">
        <v>3</v>
      </c>
      <c r="LV10" s="92"/>
      <c r="LW10" s="324"/>
      <c r="LX10" s="92"/>
      <c r="LY10" s="95"/>
      <c r="LZ10" s="71"/>
      <c r="MA10" s="569">
        <f t="shared" si="37"/>
        <v>0</v>
      </c>
      <c r="MB10" s="569"/>
      <c r="MD10" s="94"/>
      <c r="ME10" s="15">
        <v>3</v>
      </c>
      <c r="MF10" s="389"/>
      <c r="MG10" s="324"/>
      <c r="MH10" s="389"/>
      <c r="MI10" s="95"/>
      <c r="MJ10" s="71"/>
      <c r="MK10" s="71">
        <f t="shared" si="38"/>
        <v>0</v>
      </c>
      <c r="MN10" s="94"/>
      <c r="MO10" s="15">
        <v>3</v>
      </c>
      <c r="MP10" s="92"/>
      <c r="MQ10" s="324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24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24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24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24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24"/>
      <c r="OP10" s="92"/>
      <c r="OQ10" s="95"/>
      <c r="OR10" s="71"/>
      <c r="OS10" s="71">
        <f t="shared" si="44"/>
        <v>0</v>
      </c>
      <c r="OV10" s="94"/>
      <c r="OW10" s="15">
        <v>3</v>
      </c>
      <c r="OX10" s="279"/>
      <c r="OY10" s="328"/>
      <c r="OZ10" s="279"/>
      <c r="PA10" s="319"/>
      <c r="PB10" s="266"/>
      <c r="PC10" s="266">
        <f t="shared" si="45"/>
        <v>0</v>
      </c>
      <c r="PF10" s="94"/>
      <c r="PG10" s="15">
        <v>3</v>
      </c>
      <c r="PH10" s="92"/>
      <c r="PI10" s="324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24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324"/>
      <c r="QL10" s="92"/>
      <c r="QM10" s="95"/>
      <c r="QN10" s="71"/>
      <c r="QQ10" s="106"/>
      <c r="QR10" s="15">
        <v>3</v>
      </c>
      <c r="QS10" s="92"/>
      <c r="QT10" s="324"/>
      <c r="QU10" s="92"/>
      <c r="QV10" s="95"/>
      <c r="QW10" s="71"/>
      <c r="QZ10" s="106"/>
      <c r="RA10" s="15">
        <v>3</v>
      </c>
      <c r="RB10" s="92"/>
      <c r="RC10" s="324"/>
      <c r="RD10" s="92"/>
      <c r="RE10" s="95"/>
      <c r="RF10" s="71"/>
      <c r="RI10" s="106"/>
      <c r="RJ10" s="15">
        <v>3</v>
      </c>
      <c r="RK10" s="92"/>
      <c r="RL10" s="324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88"/>
      <c r="TF10" s="179"/>
      <c r="TG10" s="381"/>
      <c r="TH10" s="380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81743574</v>
      </c>
      <c r="E11" s="135">
        <f t="shared" si="49"/>
        <v>44688</v>
      </c>
      <c r="F11" s="86">
        <f t="shared" si="49"/>
        <v>18525.02</v>
      </c>
      <c r="G11" s="73">
        <f t="shared" si="49"/>
        <v>21</v>
      </c>
      <c r="H11" s="48">
        <f t="shared" si="49"/>
        <v>18631.2</v>
      </c>
      <c r="I11" s="105">
        <f t="shared" si="49"/>
        <v>-106.18000000000029</v>
      </c>
      <c r="K11" s="927"/>
      <c r="L11" s="106"/>
      <c r="M11" s="15">
        <v>4</v>
      </c>
      <c r="N11" s="69">
        <v>908.1</v>
      </c>
      <c r="O11" s="336">
        <v>44684</v>
      </c>
      <c r="P11" s="69">
        <v>908.1</v>
      </c>
      <c r="Q11" s="70" t="s">
        <v>376</v>
      </c>
      <c r="R11" s="71">
        <v>47</v>
      </c>
      <c r="S11" s="569">
        <f t="shared" si="7"/>
        <v>42680.700000000004</v>
      </c>
      <c r="T11" s="242"/>
      <c r="U11" s="61"/>
      <c r="V11" s="106"/>
      <c r="W11" s="15">
        <v>4</v>
      </c>
      <c r="X11" s="69">
        <v>864.5</v>
      </c>
      <c r="Y11" s="336">
        <v>44684</v>
      </c>
      <c r="Z11" s="69">
        <v>864.5</v>
      </c>
      <c r="AA11" s="70" t="s">
        <v>368</v>
      </c>
      <c r="AB11" s="71">
        <v>47</v>
      </c>
      <c r="AC11" s="569">
        <f t="shared" si="8"/>
        <v>40631.5</v>
      </c>
      <c r="AE11" s="61"/>
      <c r="AF11" s="106"/>
      <c r="AG11" s="15">
        <v>4</v>
      </c>
      <c r="AH11" s="92">
        <v>963.88</v>
      </c>
      <c r="AI11" s="324">
        <v>44686</v>
      </c>
      <c r="AJ11" s="92">
        <v>963.88</v>
      </c>
      <c r="AK11" s="95" t="s">
        <v>385</v>
      </c>
      <c r="AL11" s="71">
        <v>47</v>
      </c>
      <c r="AM11" s="569">
        <f t="shared" si="9"/>
        <v>45302.36</v>
      </c>
      <c r="AO11" s="61"/>
      <c r="AP11" s="106"/>
      <c r="AQ11" s="15">
        <v>4</v>
      </c>
      <c r="AR11" s="92">
        <v>946.64</v>
      </c>
      <c r="AS11" s="324">
        <v>44686</v>
      </c>
      <c r="AT11" s="92">
        <v>946.64</v>
      </c>
      <c r="AU11" s="95" t="s">
        <v>393</v>
      </c>
      <c r="AV11" s="71">
        <v>47</v>
      </c>
      <c r="AW11" s="569">
        <f t="shared" si="10"/>
        <v>44492.08</v>
      </c>
      <c r="AY11" s="61"/>
      <c r="AZ11" s="106"/>
      <c r="BA11" s="15">
        <v>4</v>
      </c>
      <c r="BB11" s="92">
        <v>913.1</v>
      </c>
      <c r="BC11" s="324">
        <v>44687</v>
      </c>
      <c r="BD11" s="92">
        <v>913.1</v>
      </c>
      <c r="BE11" s="95" t="s">
        <v>403</v>
      </c>
      <c r="BF11" s="71">
        <v>49</v>
      </c>
      <c r="BG11" s="569">
        <f t="shared" si="11"/>
        <v>44741.9</v>
      </c>
      <c r="BI11" s="61"/>
      <c r="BJ11" s="106"/>
      <c r="BK11" s="15">
        <v>4</v>
      </c>
      <c r="BL11" s="279">
        <v>903.1</v>
      </c>
      <c r="BM11" s="245">
        <v>44688</v>
      </c>
      <c r="BN11" s="279">
        <v>903.1</v>
      </c>
      <c r="BO11" s="319" t="s">
        <v>406</v>
      </c>
      <c r="BP11" s="813">
        <v>49</v>
      </c>
      <c r="BQ11" s="737">
        <f t="shared" si="12"/>
        <v>44251.9</v>
      </c>
      <c r="BS11" s="61"/>
      <c r="BT11" s="106"/>
      <c r="BU11" s="263">
        <v>4</v>
      </c>
      <c r="BV11" s="279">
        <v>920.8</v>
      </c>
      <c r="BW11" s="378">
        <v>44688</v>
      </c>
      <c r="BX11" s="279">
        <v>920.8</v>
      </c>
      <c r="BY11" s="379" t="s">
        <v>420</v>
      </c>
      <c r="BZ11" s="380">
        <v>49</v>
      </c>
      <c r="CA11" s="569">
        <f t="shared" si="13"/>
        <v>45119.199999999997</v>
      </c>
      <c r="CC11" s="61"/>
      <c r="CD11" s="762"/>
      <c r="CE11" s="15">
        <v>4</v>
      </c>
      <c r="CF11" s="279">
        <v>881.3</v>
      </c>
      <c r="CG11" s="994">
        <v>44690</v>
      </c>
      <c r="CH11" s="279">
        <v>881.3</v>
      </c>
      <c r="CI11" s="814" t="s">
        <v>431</v>
      </c>
      <c r="CJ11" s="692">
        <v>49</v>
      </c>
      <c r="CK11" s="569">
        <f t="shared" si="14"/>
        <v>43183.7</v>
      </c>
      <c r="CM11" s="61"/>
      <c r="CN11" s="94"/>
      <c r="CO11" s="15">
        <v>4</v>
      </c>
      <c r="CP11" s="92">
        <v>905.82</v>
      </c>
      <c r="CQ11" s="378">
        <v>44690</v>
      </c>
      <c r="CR11" s="92">
        <v>905.82</v>
      </c>
      <c r="CS11" s="381" t="s">
        <v>427</v>
      </c>
      <c r="CT11" s="380">
        <v>49</v>
      </c>
      <c r="CU11" s="575">
        <f t="shared" si="48"/>
        <v>44385.18</v>
      </c>
      <c r="CW11" s="61"/>
      <c r="CX11" s="106"/>
      <c r="CY11" s="15">
        <v>4</v>
      </c>
      <c r="CZ11" s="92">
        <v>913.5</v>
      </c>
      <c r="DA11" s="324">
        <v>44692</v>
      </c>
      <c r="DB11" s="92">
        <v>913.5</v>
      </c>
      <c r="DC11" s="95" t="s">
        <v>458</v>
      </c>
      <c r="DD11" s="71">
        <v>49</v>
      </c>
      <c r="DE11" s="569">
        <f t="shared" si="15"/>
        <v>44761.5</v>
      </c>
      <c r="DG11" s="61"/>
      <c r="DH11" s="106"/>
      <c r="DI11" s="15">
        <v>4</v>
      </c>
      <c r="DJ11" s="279">
        <v>916.3</v>
      </c>
      <c r="DK11" s="378">
        <v>44691</v>
      </c>
      <c r="DL11" s="92">
        <v>916.3</v>
      </c>
      <c r="DM11" s="381" t="s">
        <v>445</v>
      </c>
      <c r="DN11" s="380">
        <v>49</v>
      </c>
      <c r="DO11" s="575">
        <f t="shared" si="16"/>
        <v>44898.7</v>
      </c>
      <c r="DQ11" s="61"/>
      <c r="DR11" s="106"/>
      <c r="DS11" s="15">
        <v>4</v>
      </c>
      <c r="DT11" s="92">
        <v>929.9</v>
      </c>
      <c r="DU11" s="378">
        <v>44691</v>
      </c>
      <c r="DV11" s="92">
        <v>929.9</v>
      </c>
      <c r="DW11" s="381" t="s">
        <v>437</v>
      </c>
      <c r="DX11" s="380">
        <v>59</v>
      </c>
      <c r="DY11" s="569">
        <f t="shared" si="17"/>
        <v>54864.1</v>
      </c>
      <c r="EA11" s="61"/>
      <c r="EB11" s="106"/>
      <c r="EC11" s="15">
        <v>4</v>
      </c>
      <c r="ED11" s="69">
        <v>891.79</v>
      </c>
      <c r="EE11" s="336">
        <v>44693</v>
      </c>
      <c r="EF11" s="92">
        <v>891.76</v>
      </c>
      <c r="EG11" s="70" t="s">
        <v>465</v>
      </c>
      <c r="EH11" s="71">
        <v>49</v>
      </c>
      <c r="EI11" s="569">
        <f t="shared" si="18"/>
        <v>43696.24</v>
      </c>
      <c r="EK11" s="799"/>
      <c r="EL11" s="425"/>
      <c r="EM11" s="15">
        <v>4</v>
      </c>
      <c r="EN11" s="279">
        <v>926.23</v>
      </c>
      <c r="EO11" s="328">
        <v>44694</v>
      </c>
      <c r="EP11" s="279">
        <v>926.23</v>
      </c>
      <c r="EQ11" s="265" t="s">
        <v>483</v>
      </c>
      <c r="ER11" s="266">
        <v>49</v>
      </c>
      <c r="ES11" s="569">
        <f t="shared" si="19"/>
        <v>45385.270000000004</v>
      </c>
      <c r="EU11" s="61"/>
      <c r="EV11" s="106"/>
      <c r="EW11" s="15">
        <v>4</v>
      </c>
      <c r="EX11" s="264">
        <v>952.54</v>
      </c>
      <c r="EY11" s="495">
        <v>44695</v>
      </c>
      <c r="EZ11" s="264">
        <v>952.24</v>
      </c>
      <c r="FA11" s="265" t="s">
        <v>479</v>
      </c>
      <c r="FB11" s="266">
        <v>49</v>
      </c>
      <c r="FC11" s="322">
        <f t="shared" si="20"/>
        <v>46659.76</v>
      </c>
      <c r="FE11" s="61"/>
      <c r="FF11" s="425"/>
      <c r="FG11" s="15">
        <v>4</v>
      </c>
      <c r="FH11" s="279">
        <v>920</v>
      </c>
      <c r="FI11" s="328">
        <v>44694</v>
      </c>
      <c r="FJ11" s="279">
        <v>920</v>
      </c>
      <c r="FK11" s="265" t="s">
        <v>488</v>
      </c>
      <c r="FL11" s="266">
        <v>49</v>
      </c>
      <c r="FM11" s="569">
        <f t="shared" si="21"/>
        <v>45080</v>
      </c>
      <c r="FO11" s="61"/>
      <c r="FP11" s="106"/>
      <c r="FQ11" s="15">
        <v>4</v>
      </c>
      <c r="FR11" s="92">
        <v>939.8</v>
      </c>
      <c r="FS11" s="324">
        <v>44695</v>
      </c>
      <c r="FT11" s="92">
        <v>939.8</v>
      </c>
      <c r="FU11" s="70" t="s">
        <v>499</v>
      </c>
      <c r="FV11" s="71">
        <v>49</v>
      </c>
      <c r="FW11" s="569">
        <f t="shared" si="22"/>
        <v>46050.2</v>
      </c>
      <c r="FY11" s="61"/>
      <c r="FZ11" s="106"/>
      <c r="GA11" s="15">
        <v>4</v>
      </c>
      <c r="GB11" s="264">
        <v>917.2</v>
      </c>
      <c r="GC11" s="495">
        <v>44698</v>
      </c>
      <c r="GD11" s="264">
        <v>917.2</v>
      </c>
      <c r="GE11" s="265" t="s">
        <v>518</v>
      </c>
      <c r="GF11" s="266">
        <v>49</v>
      </c>
      <c r="GG11" s="322">
        <f t="shared" si="23"/>
        <v>44942.8</v>
      </c>
      <c r="GI11" s="61"/>
      <c r="GJ11" s="106"/>
      <c r="GK11" s="15">
        <v>4</v>
      </c>
      <c r="GL11" s="473">
        <v>899</v>
      </c>
      <c r="GM11" s="324">
        <v>44699</v>
      </c>
      <c r="GN11" s="473">
        <v>899</v>
      </c>
      <c r="GO11" s="95" t="s">
        <v>525</v>
      </c>
      <c r="GP11" s="71">
        <v>43</v>
      </c>
      <c r="GQ11" s="569">
        <f t="shared" si="24"/>
        <v>38657</v>
      </c>
      <c r="GS11" s="61"/>
      <c r="GT11" s="106"/>
      <c r="GU11" s="15">
        <v>4</v>
      </c>
      <c r="GV11" s="279">
        <v>883.6</v>
      </c>
      <c r="GW11" s="328">
        <v>44700</v>
      </c>
      <c r="GX11" s="279">
        <v>883.6</v>
      </c>
      <c r="GY11" s="319" t="s">
        <v>529</v>
      </c>
      <c r="GZ11" s="266">
        <v>43</v>
      </c>
      <c r="HA11" s="569">
        <f t="shared" si="25"/>
        <v>37994.800000000003</v>
      </c>
      <c r="HC11" s="61"/>
      <c r="HD11" s="106"/>
      <c r="HE11" s="15">
        <v>4</v>
      </c>
      <c r="HF11" s="279">
        <v>943.47</v>
      </c>
      <c r="HG11" s="328">
        <v>44700</v>
      </c>
      <c r="HH11" s="279">
        <v>943.47</v>
      </c>
      <c r="HI11" s="319" t="s">
        <v>537</v>
      </c>
      <c r="HJ11" s="266">
        <v>43</v>
      </c>
      <c r="HK11" s="569">
        <f t="shared" si="26"/>
        <v>40569.21</v>
      </c>
      <c r="HM11" s="61"/>
      <c r="HN11" s="106"/>
      <c r="HO11" s="15">
        <v>4</v>
      </c>
      <c r="HP11" s="279">
        <v>928.95</v>
      </c>
      <c r="HQ11" s="328">
        <v>44700</v>
      </c>
      <c r="HR11" s="279">
        <v>928.95</v>
      </c>
      <c r="HS11" s="383" t="s">
        <v>495</v>
      </c>
      <c r="HT11" s="266">
        <v>43</v>
      </c>
      <c r="HU11" s="569">
        <f t="shared" si="27"/>
        <v>39944.85</v>
      </c>
      <c r="HW11" s="61"/>
      <c r="HX11" s="106"/>
      <c r="HY11" s="15">
        <v>4</v>
      </c>
      <c r="HZ11" s="69">
        <v>861.8</v>
      </c>
      <c r="IA11" s="336">
        <v>44702</v>
      </c>
      <c r="IB11" s="69">
        <v>861.8</v>
      </c>
      <c r="IC11" s="70" t="s">
        <v>552</v>
      </c>
      <c r="ID11" s="71">
        <v>45</v>
      </c>
      <c r="IE11" s="569">
        <f t="shared" si="5"/>
        <v>38781</v>
      </c>
      <c r="IG11" s="61"/>
      <c r="IH11" s="106"/>
      <c r="II11" s="15">
        <v>4</v>
      </c>
      <c r="IJ11" s="69">
        <v>956.17</v>
      </c>
      <c r="IK11" s="336">
        <v>44702</v>
      </c>
      <c r="IL11" s="69">
        <v>956.17</v>
      </c>
      <c r="IM11" s="70" t="s">
        <v>546</v>
      </c>
      <c r="IN11" s="71">
        <v>45</v>
      </c>
      <c r="IO11" s="569">
        <f t="shared" si="28"/>
        <v>43027.65</v>
      </c>
      <c r="IQ11" s="749"/>
      <c r="IR11" s="106"/>
      <c r="IS11" s="15">
        <v>4</v>
      </c>
      <c r="IT11" s="279">
        <v>898.1</v>
      </c>
      <c r="IU11" s="245"/>
      <c r="IV11" s="279"/>
      <c r="IW11" s="501"/>
      <c r="IX11" s="266"/>
      <c r="IY11" s="322">
        <f t="shared" si="29"/>
        <v>0</v>
      </c>
      <c r="IZ11" s="92"/>
      <c r="JA11" s="69"/>
      <c r="JB11" s="106"/>
      <c r="JC11" s="15">
        <v>4</v>
      </c>
      <c r="JD11" s="92">
        <v>863.6</v>
      </c>
      <c r="JE11" s="336"/>
      <c r="JF11" s="92"/>
      <c r="JG11" s="265"/>
      <c r="JH11" s="71"/>
      <c r="JI11" s="569">
        <f t="shared" si="30"/>
        <v>0</v>
      </c>
      <c r="JJ11" s="69"/>
      <c r="JK11" s="61"/>
      <c r="JL11" s="106"/>
      <c r="JM11" s="15">
        <v>4</v>
      </c>
      <c r="JN11" s="92">
        <v>867.7</v>
      </c>
      <c r="JO11" s="324"/>
      <c r="JP11" s="92"/>
      <c r="JQ11" s="70"/>
      <c r="JR11" s="71"/>
      <c r="JS11" s="569">
        <f t="shared" si="31"/>
        <v>0</v>
      </c>
      <c r="JU11" s="61"/>
      <c r="JV11" s="106"/>
      <c r="JW11" s="15">
        <v>4</v>
      </c>
      <c r="JX11" s="69">
        <v>909.45</v>
      </c>
      <c r="JY11" s="336"/>
      <c r="JZ11" s="69"/>
      <c r="KA11" s="70"/>
      <c r="KB11" s="71"/>
      <c r="KC11" s="569">
        <f t="shared" si="32"/>
        <v>0</v>
      </c>
      <c r="KE11" s="927"/>
      <c r="KF11" s="947"/>
      <c r="KG11" s="15">
        <v>4</v>
      </c>
      <c r="KH11" s="69">
        <v>928.95</v>
      </c>
      <c r="KI11" s="336"/>
      <c r="KJ11" s="69"/>
      <c r="KK11" s="70"/>
      <c r="KL11" s="71"/>
      <c r="KM11" s="569">
        <f t="shared" si="33"/>
        <v>0</v>
      </c>
      <c r="KO11" s="61"/>
      <c r="KP11" s="106"/>
      <c r="KQ11" s="15">
        <v>4</v>
      </c>
      <c r="KR11" s="69">
        <v>893.6</v>
      </c>
      <c r="KS11" s="336"/>
      <c r="KT11" s="69"/>
      <c r="KU11" s="70"/>
      <c r="KV11" s="71"/>
      <c r="KW11" s="569">
        <f t="shared" si="34"/>
        <v>0</v>
      </c>
      <c r="KY11" s="61"/>
      <c r="KZ11" s="106"/>
      <c r="LA11" s="15">
        <v>4</v>
      </c>
      <c r="LB11" s="92">
        <v>913.5</v>
      </c>
      <c r="LC11" s="324"/>
      <c r="LD11" s="92"/>
      <c r="LE11" s="95"/>
      <c r="LF11" s="71"/>
      <c r="LG11" s="569">
        <f t="shared" si="35"/>
        <v>0</v>
      </c>
      <c r="LI11" s="61"/>
      <c r="LJ11" s="106"/>
      <c r="LK11" s="15">
        <v>4</v>
      </c>
      <c r="LL11" s="92">
        <v>918.97</v>
      </c>
      <c r="LM11" s="324"/>
      <c r="LN11" s="92"/>
      <c r="LO11" s="95"/>
      <c r="LP11" s="71"/>
      <c r="LQ11" s="569">
        <f t="shared" si="36"/>
        <v>0</v>
      </c>
      <c r="LS11" s="61"/>
      <c r="LT11" s="106"/>
      <c r="LU11" s="15">
        <v>4</v>
      </c>
      <c r="LV11" s="92"/>
      <c r="LW11" s="324"/>
      <c r="LX11" s="92"/>
      <c r="LY11" s="95"/>
      <c r="LZ11" s="71"/>
      <c r="MA11" s="569">
        <f t="shared" si="37"/>
        <v>0</v>
      </c>
      <c r="MB11" s="569"/>
      <c r="MC11" s="61"/>
      <c r="MD11" s="106"/>
      <c r="ME11" s="15">
        <v>4</v>
      </c>
      <c r="MF11" s="389"/>
      <c r="MG11" s="324"/>
      <c r="MH11" s="389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24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24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90"/>
      <c r="NK11" s="324"/>
      <c r="NL11" s="390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24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90"/>
      <c r="OE11" s="324"/>
      <c r="OF11" s="390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24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79"/>
      <c r="OY11" s="328"/>
      <c r="OZ11" s="279"/>
      <c r="PA11" s="319"/>
      <c r="PB11" s="266"/>
      <c r="PC11" s="266">
        <f t="shared" si="45"/>
        <v>0</v>
      </c>
      <c r="PE11" s="61"/>
      <c r="PF11" s="94"/>
      <c r="PG11" s="15">
        <v>4</v>
      </c>
      <c r="PH11" s="390"/>
      <c r="PI11" s="324"/>
      <c r="PJ11" s="390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24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324"/>
      <c r="QL11" s="92"/>
      <c r="QM11" s="95"/>
      <c r="QN11" s="71"/>
      <c r="QP11" s="61"/>
      <c r="QQ11" s="106"/>
      <c r="QR11" s="15">
        <v>4</v>
      </c>
      <c r="QS11" s="92"/>
      <c r="QT11" s="324"/>
      <c r="QU11" s="92"/>
      <c r="QV11" s="95"/>
      <c r="QW11" s="71"/>
      <c r="QY11" s="61"/>
      <c r="QZ11" s="106"/>
      <c r="RA11" s="15">
        <v>4</v>
      </c>
      <c r="RB11" s="92"/>
      <c r="RC11" s="324"/>
      <c r="RD11" s="92"/>
      <c r="RE11" s="95"/>
      <c r="RF11" s="71"/>
      <c r="RH11" s="61"/>
      <c r="RI11" s="106"/>
      <c r="RJ11" s="15">
        <v>4</v>
      </c>
      <c r="RK11" s="92"/>
      <c r="RL11" s="324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88"/>
      <c r="TF11" s="179"/>
      <c r="TG11" s="381"/>
      <c r="TH11" s="380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TYSON FRESH MEATS</v>
      </c>
      <c r="C12" s="75" t="str">
        <f t="shared" si="50"/>
        <v>I B P</v>
      </c>
      <c r="D12" s="102" t="str">
        <f t="shared" si="50"/>
        <v xml:space="preserve"> PED. 81744843</v>
      </c>
      <c r="E12" s="135">
        <f t="shared" si="50"/>
        <v>44688</v>
      </c>
      <c r="F12" s="86">
        <f t="shared" si="50"/>
        <v>18324.73</v>
      </c>
      <c r="G12" s="73">
        <f t="shared" si="50"/>
        <v>20</v>
      </c>
      <c r="H12" s="48">
        <f t="shared" si="50"/>
        <v>18414.84</v>
      </c>
      <c r="I12" s="105">
        <f t="shared" si="50"/>
        <v>-90.110000000000582</v>
      </c>
      <c r="K12" s="242"/>
      <c r="L12" s="106"/>
      <c r="M12" s="15">
        <v>5</v>
      </c>
      <c r="N12" s="69">
        <v>907.2</v>
      </c>
      <c r="O12" s="336">
        <v>44684</v>
      </c>
      <c r="P12" s="69">
        <v>907.2</v>
      </c>
      <c r="Q12" s="70" t="s">
        <v>376</v>
      </c>
      <c r="R12" s="71">
        <v>47</v>
      </c>
      <c r="S12" s="569">
        <f t="shared" si="7"/>
        <v>42638.400000000001</v>
      </c>
      <c r="T12" s="242"/>
      <c r="V12" s="106"/>
      <c r="W12" s="15">
        <v>5</v>
      </c>
      <c r="X12" s="69">
        <v>889.9</v>
      </c>
      <c r="Y12" s="336">
        <v>44684</v>
      </c>
      <c r="Z12" s="69">
        <v>889.9</v>
      </c>
      <c r="AA12" s="70" t="s">
        <v>372</v>
      </c>
      <c r="AB12" s="71">
        <v>47</v>
      </c>
      <c r="AC12" s="569">
        <f t="shared" si="8"/>
        <v>41825.299999999996</v>
      </c>
      <c r="AF12" s="106"/>
      <c r="AG12" s="15">
        <v>5</v>
      </c>
      <c r="AH12" s="92">
        <v>923.51</v>
      </c>
      <c r="AI12" s="324">
        <v>44685</v>
      </c>
      <c r="AJ12" s="92">
        <v>923.51</v>
      </c>
      <c r="AK12" s="95" t="s">
        <v>384</v>
      </c>
      <c r="AL12" s="71">
        <v>47</v>
      </c>
      <c r="AM12" s="569">
        <f t="shared" si="9"/>
        <v>43404.97</v>
      </c>
      <c r="AP12" s="106"/>
      <c r="AQ12" s="15">
        <v>5</v>
      </c>
      <c r="AR12" s="92">
        <v>909.45</v>
      </c>
      <c r="AS12" s="324">
        <v>44686</v>
      </c>
      <c r="AT12" s="92">
        <v>909.45</v>
      </c>
      <c r="AU12" s="95" t="s">
        <v>393</v>
      </c>
      <c r="AV12" s="71">
        <v>47</v>
      </c>
      <c r="AW12" s="569">
        <f t="shared" si="10"/>
        <v>42744.15</v>
      </c>
      <c r="AZ12" s="106"/>
      <c r="BA12" s="15">
        <v>5</v>
      </c>
      <c r="BB12" s="92">
        <v>893.1</v>
      </c>
      <c r="BC12" s="324">
        <v>44687</v>
      </c>
      <c r="BD12" s="92">
        <v>893.1</v>
      </c>
      <c r="BE12" s="95" t="s">
        <v>404</v>
      </c>
      <c r="BF12" s="71">
        <v>49</v>
      </c>
      <c r="BG12" s="569">
        <f t="shared" si="11"/>
        <v>43761.9</v>
      </c>
      <c r="BJ12" s="106"/>
      <c r="BK12" s="15">
        <v>5</v>
      </c>
      <c r="BL12" s="279">
        <v>907.6</v>
      </c>
      <c r="BM12" s="245">
        <v>44688</v>
      </c>
      <c r="BN12" s="279">
        <v>907.6</v>
      </c>
      <c r="BO12" s="319" t="s">
        <v>406</v>
      </c>
      <c r="BP12" s="813">
        <v>49</v>
      </c>
      <c r="BQ12" s="737">
        <f t="shared" si="12"/>
        <v>44472.4</v>
      </c>
      <c r="BT12" s="106"/>
      <c r="BU12" s="263">
        <v>5</v>
      </c>
      <c r="BV12" s="279">
        <v>865.4</v>
      </c>
      <c r="BW12" s="378">
        <v>44688</v>
      </c>
      <c r="BX12" s="279">
        <v>865.4</v>
      </c>
      <c r="BY12" s="379" t="s">
        <v>417</v>
      </c>
      <c r="BZ12" s="380">
        <v>49</v>
      </c>
      <c r="CA12" s="569">
        <f t="shared" si="13"/>
        <v>42404.6</v>
      </c>
      <c r="CD12" s="762"/>
      <c r="CE12" s="15">
        <v>5</v>
      </c>
      <c r="CF12" s="279">
        <v>924.4</v>
      </c>
      <c r="CG12" s="994">
        <v>44691</v>
      </c>
      <c r="CH12" s="279">
        <v>924.4</v>
      </c>
      <c r="CI12" s="814" t="s">
        <v>439</v>
      </c>
      <c r="CJ12" s="692">
        <v>49</v>
      </c>
      <c r="CK12" s="569">
        <f t="shared" si="14"/>
        <v>45295.6</v>
      </c>
      <c r="CN12" s="94"/>
      <c r="CO12" s="15">
        <v>5</v>
      </c>
      <c r="CP12" s="92">
        <v>925.78</v>
      </c>
      <c r="CQ12" s="378">
        <v>44690</v>
      </c>
      <c r="CR12" s="92">
        <v>925.78</v>
      </c>
      <c r="CS12" s="381" t="s">
        <v>427</v>
      </c>
      <c r="CT12" s="380">
        <v>49</v>
      </c>
      <c r="CU12" s="575">
        <f t="shared" si="48"/>
        <v>45363.22</v>
      </c>
      <c r="CX12" s="106"/>
      <c r="CY12" s="15">
        <v>5</v>
      </c>
      <c r="CZ12" s="92">
        <v>911.7</v>
      </c>
      <c r="DA12" s="324">
        <v>44692</v>
      </c>
      <c r="DB12" s="92">
        <v>911.7</v>
      </c>
      <c r="DC12" s="95" t="s">
        <v>458</v>
      </c>
      <c r="DD12" s="71">
        <v>49</v>
      </c>
      <c r="DE12" s="569">
        <f t="shared" si="15"/>
        <v>44673.3</v>
      </c>
      <c r="DH12" s="106"/>
      <c r="DI12" s="15">
        <v>5</v>
      </c>
      <c r="DJ12" s="279">
        <v>907.2</v>
      </c>
      <c r="DK12" s="378">
        <v>44691</v>
      </c>
      <c r="DL12" s="92">
        <v>907.2</v>
      </c>
      <c r="DM12" s="381" t="s">
        <v>445</v>
      </c>
      <c r="DN12" s="380">
        <v>49</v>
      </c>
      <c r="DO12" s="575">
        <f t="shared" si="16"/>
        <v>44452.800000000003</v>
      </c>
      <c r="DR12" s="106"/>
      <c r="DS12" s="15">
        <v>5</v>
      </c>
      <c r="DT12" s="92">
        <v>918.1</v>
      </c>
      <c r="DU12" s="378">
        <v>44691</v>
      </c>
      <c r="DV12" s="92">
        <v>918.1</v>
      </c>
      <c r="DW12" s="381" t="s">
        <v>437</v>
      </c>
      <c r="DX12" s="380">
        <v>59</v>
      </c>
      <c r="DY12" s="569">
        <f t="shared" si="17"/>
        <v>54167.9</v>
      </c>
      <c r="EB12" s="106"/>
      <c r="EC12" s="15">
        <v>5</v>
      </c>
      <c r="ED12" s="69">
        <v>914.44</v>
      </c>
      <c r="EE12" s="336">
        <v>44694</v>
      </c>
      <c r="EF12" s="69">
        <v>914.44</v>
      </c>
      <c r="EG12" s="70" t="s">
        <v>477</v>
      </c>
      <c r="EH12" s="71">
        <v>49</v>
      </c>
      <c r="EI12" s="569">
        <f t="shared" si="18"/>
        <v>44807.560000000005</v>
      </c>
      <c r="EL12" s="425"/>
      <c r="EM12" s="15">
        <v>5</v>
      </c>
      <c r="EN12" s="279">
        <v>876.79</v>
      </c>
      <c r="EO12" s="328">
        <v>44693</v>
      </c>
      <c r="EP12" s="279">
        <v>876.79</v>
      </c>
      <c r="EQ12" s="265" t="s">
        <v>470</v>
      </c>
      <c r="ER12" s="266">
        <v>49</v>
      </c>
      <c r="ES12" s="569">
        <f t="shared" si="19"/>
        <v>42962.71</v>
      </c>
      <c r="EV12" s="106"/>
      <c r="EW12" s="15">
        <v>5</v>
      </c>
      <c r="EX12" s="264">
        <v>891.3</v>
      </c>
      <c r="EY12" s="495">
        <v>44695</v>
      </c>
      <c r="EZ12" s="264">
        <v>891.3</v>
      </c>
      <c r="FA12" s="265" t="s">
        <v>479</v>
      </c>
      <c r="FB12" s="266">
        <v>49</v>
      </c>
      <c r="FC12" s="322">
        <f t="shared" si="20"/>
        <v>43673.7</v>
      </c>
      <c r="FF12" s="425"/>
      <c r="FG12" s="15">
        <v>5</v>
      </c>
      <c r="FH12" s="279">
        <v>904</v>
      </c>
      <c r="FI12" s="328">
        <v>44694</v>
      </c>
      <c r="FJ12" s="279">
        <v>904</v>
      </c>
      <c r="FK12" s="265" t="s">
        <v>487</v>
      </c>
      <c r="FL12" s="266">
        <v>49</v>
      </c>
      <c r="FM12" s="569">
        <f t="shared" si="21"/>
        <v>44296</v>
      </c>
      <c r="FN12" s="75" t="s">
        <v>41</v>
      </c>
      <c r="FP12" s="106"/>
      <c r="FQ12" s="15">
        <v>5</v>
      </c>
      <c r="FR12" s="92">
        <v>906.3</v>
      </c>
      <c r="FS12" s="324">
        <v>44695</v>
      </c>
      <c r="FT12" s="92">
        <v>906.3</v>
      </c>
      <c r="FU12" s="70" t="s">
        <v>504</v>
      </c>
      <c r="FV12" s="71">
        <v>49</v>
      </c>
      <c r="FW12" s="569">
        <f t="shared" si="22"/>
        <v>44408.7</v>
      </c>
      <c r="FZ12" s="106"/>
      <c r="GA12" s="15">
        <v>5</v>
      </c>
      <c r="GB12" s="264">
        <v>909</v>
      </c>
      <c r="GC12" s="495">
        <v>44698</v>
      </c>
      <c r="GD12" s="264">
        <v>909</v>
      </c>
      <c r="GE12" s="265" t="s">
        <v>518</v>
      </c>
      <c r="GF12" s="266">
        <v>49</v>
      </c>
      <c r="GG12" s="322">
        <f t="shared" si="23"/>
        <v>44541</v>
      </c>
      <c r="GJ12" s="106"/>
      <c r="GK12" s="15">
        <v>5</v>
      </c>
      <c r="GL12" s="473">
        <v>893.6</v>
      </c>
      <c r="GM12" s="324">
        <v>44699</v>
      </c>
      <c r="GN12" s="473">
        <v>893.6</v>
      </c>
      <c r="GO12" s="95" t="s">
        <v>526</v>
      </c>
      <c r="GP12" s="71">
        <v>43</v>
      </c>
      <c r="GQ12" s="569">
        <f t="shared" si="24"/>
        <v>38424.800000000003</v>
      </c>
      <c r="GT12" s="106"/>
      <c r="GU12" s="15">
        <v>5</v>
      </c>
      <c r="GV12" s="279">
        <v>897.2</v>
      </c>
      <c r="GW12" s="328">
        <v>44700</v>
      </c>
      <c r="GX12" s="279">
        <v>897.2</v>
      </c>
      <c r="GY12" s="319" t="s">
        <v>532</v>
      </c>
      <c r="GZ12" s="266">
        <v>43</v>
      </c>
      <c r="HA12" s="569">
        <f t="shared" si="25"/>
        <v>38579.599999999999</v>
      </c>
      <c r="HD12" s="106"/>
      <c r="HE12" s="15">
        <v>5</v>
      </c>
      <c r="HF12" s="279">
        <v>939.84</v>
      </c>
      <c r="HG12" s="328">
        <v>44700</v>
      </c>
      <c r="HH12" s="279">
        <v>939.84</v>
      </c>
      <c r="HI12" s="319" t="s">
        <v>536</v>
      </c>
      <c r="HJ12" s="266">
        <v>43</v>
      </c>
      <c r="HK12" s="569">
        <f t="shared" si="26"/>
        <v>40413.120000000003</v>
      </c>
      <c r="HN12" s="106"/>
      <c r="HO12" s="15">
        <v>5</v>
      </c>
      <c r="HP12" s="279">
        <v>925.32</v>
      </c>
      <c r="HQ12" s="328">
        <v>44700</v>
      </c>
      <c r="HR12" s="279">
        <v>925.32</v>
      </c>
      <c r="HS12" s="383" t="s">
        <v>541</v>
      </c>
      <c r="HT12" s="266">
        <v>43</v>
      </c>
      <c r="HU12" s="569">
        <f t="shared" si="27"/>
        <v>39788.76</v>
      </c>
      <c r="HX12" s="106"/>
      <c r="HY12" s="15">
        <v>5</v>
      </c>
      <c r="HZ12" s="69">
        <v>897.2</v>
      </c>
      <c r="IA12" s="336">
        <v>44702</v>
      </c>
      <c r="IB12" s="69">
        <v>897.2</v>
      </c>
      <c r="IC12" s="70" t="s">
        <v>552</v>
      </c>
      <c r="ID12" s="71">
        <v>45</v>
      </c>
      <c r="IE12" s="569">
        <f t="shared" si="5"/>
        <v>40374</v>
      </c>
      <c r="IH12" s="106"/>
      <c r="II12" s="15">
        <v>5</v>
      </c>
      <c r="IJ12" s="69">
        <v>949.82</v>
      </c>
      <c r="IK12" s="336">
        <v>44702</v>
      </c>
      <c r="IL12" s="69">
        <v>949.82</v>
      </c>
      <c r="IM12" s="70" t="s">
        <v>539</v>
      </c>
      <c r="IN12" s="71">
        <v>45</v>
      </c>
      <c r="IO12" s="569">
        <f t="shared" si="28"/>
        <v>42741.9</v>
      </c>
      <c r="IQ12" s="748"/>
      <c r="IR12" s="106"/>
      <c r="IS12" s="15">
        <v>5</v>
      </c>
      <c r="IT12" s="279">
        <v>888.1</v>
      </c>
      <c r="IU12" s="245"/>
      <c r="IV12" s="279"/>
      <c r="IW12" s="501"/>
      <c r="IX12" s="266"/>
      <c r="IY12" s="322">
        <f t="shared" si="29"/>
        <v>0</v>
      </c>
      <c r="IZ12" s="92"/>
      <c r="JA12" s="69"/>
      <c r="JB12" s="106"/>
      <c r="JC12" s="15">
        <v>5</v>
      </c>
      <c r="JD12" s="92">
        <v>862.7</v>
      </c>
      <c r="JE12" s="336"/>
      <c r="JF12" s="279"/>
      <c r="JG12" s="265"/>
      <c r="JH12" s="71"/>
      <c r="JI12" s="569">
        <f t="shared" si="30"/>
        <v>0</v>
      </c>
      <c r="JJ12" s="69"/>
      <c r="JL12" s="106"/>
      <c r="JM12" s="15">
        <v>5</v>
      </c>
      <c r="JN12" s="92">
        <v>880.9</v>
      </c>
      <c r="JO12" s="324"/>
      <c r="JP12" s="92"/>
      <c r="JQ12" s="70"/>
      <c r="JR12" s="71"/>
      <c r="JS12" s="569">
        <f t="shared" si="31"/>
        <v>0</v>
      </c>
      <c r="JV12" s="106"/>
      <c r="JW12" s="15">
        <v>5</v>
      </c>
      <c r="JX12" s="69">
        <v>955.26</v>
      </c>
      <c r="JY12" s="336"/>
      <c r="JZ12" s="69"/>
      <c r="KA12" s="70"/>
      <c r="KB12" s="71"/>
      <c r="KC12" s="569">
        <f t="shared" si="32"/>
        <v>0</v>
      </c>
      <c r="KE12" s="242"/>
      <c r="KF12" s="947"/>
      <c r="KG12" s="15">
        <v>5</v>
      </c>
      <c r="KH12" s="69">
        <v>962.97</v>
      </c>
      <c r="KI12" s="336"/>
      <c r="KJ12" s="69"/>
      <c r="KK12" s="70"/>
      <c r="KL12" s="71"/>
      <c r="KM12" s="569">
        <f t="shared" si="33"/>
        <v>0</v>
      </c>
      <c r="KP12" s="106"/>
      <c r="KQ12" s="15">
        <v>5</v>
      </c>
      <c r="KR12" s="69">
        <v>940.7</v>
      </c>
      <c r="KS12" s="336"/>
      <c r="KT12" s="69"/>
      <c r="KU12" s="70"/>
      <c r="KV12" s="71"/>
      <c r="KW12" s="569">
        <f t="shared" si="34"/>
        <v>0</v>
      </c>
      <c r="KZ12" s="106"/>
      <c r="LA12" s="15">
        <v>5</v>
      </c>
      <c r="LB12" s="92">
        <v>905.4</v>
      </c>
      <c r="LC12" s="324"/>
      <c r="LD12" s="92"/>
      <c r="LE12" s="95"/>
      <c r="LF12" s="71"/>
      <c r="LG12" s="569">
        <f t="shared" si="35"/>
        <v>0</v>
      </c>
      <c r="LJ12" s="106"/>
      <c r="LK12" s="15">
        <v>5</v>
      </c>
      <c r="LL12" s="92">
        <v>963.88</v>
      </c>
      <c r="LM12" s="324"/>
      <c r="LN12" s="92"/>
      <c r="LO12" s="95"/>
      <c r="LP12" s="71"/>
      <c r="LQ12" s="569">
        <f t="shared" si="36"/>
        <v>0</v>
      </c>
      <c r="LT12" s="106"/>
      <c r="LU12" s="15">
        <v>5</v>
      </c>
      <c r="LV12" s="92"/>
      <c r="LW12" s="324"/>
      <c r="LX12" s="92"/>
      <c r="LY12" s="95"/>
      <c r="LZ12" s="71"/>
      <c r="MA12" s="569">
        <f t="shared" si="37"/>
        <v>0</v>
      </c>
      <c r="MB12" s="569"/>
      <c r="MD12" s="106"/>
      <c r="ME12" s="15">
        <v>5</v>
      </c>
      <c r="MF12" s="389"/>
      <c r="MG12" s="324"/>
      <c r="MH12" s="389"/>
      <c r="MI12" s="95"/>
      <c r="MJ12" s="71"/>
      <c r="MK12" s="71">
        <f t="shared" si="38"/>
        <v>0</v>
      </c>
      <c r="MN12" s="106"/>
      <c r="MO12" s="15">
        <v>5</v>
      </c>
      <c r="MP12" s="92"/>
      <c r="MQ12" s="324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24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24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24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24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24"/>
      <c r="OP12" s="92"/>
      <c r="OQ12" s="95"/>
      <c r="OR12" s="71"/>
      <c r="OS12" s="71">
        <f t="shared" si="44"/>
        <v>0</v>
      </c>
      <c r="OV12" s="106"/>
      <c r="OW12" s="15">
        <v>5</v>
      </c>
      <c r="OX12" s="279"/>
      <c r="OY12" s="328"/>
      <c r="OZ12" s="279"/>
      <c r="PA12" s="319"/>
      <c r="PB12" s="266"/>
      <c r="PC12" s="266">
        <f t="shared" si="45"/>
        <v>0</v>
      </c>
      <c r="PF12" s="94"/>
      <c r="PG12" s="15">
        <v>5</v>
      </c>
      <c r="PH12" s="92"/>
      <c r="PI12" s="324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24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324"/>
      <c r="QL12" s="92"/>
      <c r="QM12" s="95"/>
      <c r="QN12" s="71"/>
      <c r="QQ12" s="106"/>
      <c r="QR12" s="15">
        <v>5</v>
      </c>
      <c r="QS12" s="92"/>
      <c r="QT12" s="324"/>
      <c r="QU12" s="92"/>
      <c r="QV12" s="95"/>
      <c r="QW12" s="71"/>
      <c r="QZ12" s="106"/>
      <c r="RA12" s="15">
        <v>5</v>
      </c>
      <c r="RB12" s="92"/>
      <c r="RC12" s="324"/>
      <c r="RD12" s="92"/>
      <c r="RE12" s="95"/>
      <c r="RF12" s="71"/>
      <c r="RI12" s="106"/>
      <c r="RJ12" s="15">
        <v>5</v>
      </c>
      <c r="RK12" s="92"/>
      <c r="RL12" s="324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88"/>
      <c r="TF12" s="179"/>
      <c r="TG12" s="381"/>
      <c r="TH12" s="380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81837575</v>
      </c>
      <c r="E13" s="135">
        <f t="shared" si="51"/>
        <v>44691</v>
      </c>
      <c r="F13" s="86">
        <f t="shared" si="51"/>
        <v>18607.38</v>
      </c>
      <c r="G13" s="73">
        <f t="shared" si="51"/>
        <v>21</v>
      </c>
      <c r="H13" s="48">
        <f t="shared" si="51"/>
        <v>18764.8</v>
      </c>
      <c r="I13" s="105">
        <f t="shared" si="51"/>
        <v>-157.41999999999825</v>
      </c>
      <c r="K13" s="242"/>
      <c r="L13" s="106"/>
      <c r="M13" s="15">
        <v>6</v>
      </c>
      <c r="N13" s="69">
        <v>927.1</v>
      </c>
      <c r="O13" s="336">
        <v>44684</v>
      </c>
      <c r="P13" s="69">
        <v>927.1</v>
      </c>
      <c r="Q13" s="70" t="s">
        <v>376</v>
      </c>
      <c r="R13" s="71">
        <v>47</v>
      </c>
      <c r="S13" s="569">
        <f t="shared" si="7"/>
        <v>43573.700000000004</v>
      </c>
      <c r="T13" s="242"/>
      <c r="V13" s="106"/>
      <c r="W13" s="15">
        <v>6</v>
      </c>
      <c r="X13" s="69">
        <v>864.5</v>
      </c>
      <c r="Y13" s="336">
        <v>44684</v>
      </c>
      <c r="Z13" s="69">
        <v>864.5</v>
      </c>
      <c r="AA13" s="70" t="s">
        <v>372</v>
      </c>
      <c r="AB13" s="71">
        <v>47</v>
      </c>
      <c r="AC13" s="569">
        <f t="shared" si="8"/>
        <v>40631.5</v>
      </c>
      <c r="AF13" s="106"/>
      <c r="AG13" s="15">
        <v>6</v>
      </c>
      <c r="AH13" s="92">
        <v>913.53</v>
      </c>
      <c r="AI13" s="324">
        <v>44685</v>
      </c>
      <c r="AJ13" s="92">
        <v>913.53</v>
      </c>
      <c r="AK13" s="95" t="s">
        <v>384</v>
      </c>
      <c r="AL13" s="71">
        <v>47</v>
      </c>
      <c r="AM13" s="569">
        <f t="shared" si="9"/>
        <v>42935.909999999996</v>
      </c>
      <c r="AP13" s="106"/>
      <c r="AQ13" s="15">
        <v>6</v>
      </c>
      <c r="AR13" s="92">
        <v>916.25</v>
      </c>
      <c r="AS13" s="324">
        <v>44686</v>
      </c>
      <c r="AT13" s="92">
        <v>916.25</v>
      </c>
      <c r="AU13" s="95" t="s">
        <v>393</v>
      </c>
      <c r="AV13" s="71">
        <v>47</v>
      </c>
      <c r="AW13" s="569">
        <f t="shared" si="10"/>
        <v>43063.75</v>
      </c>
      <c r="AZ13" s="106"/>
      <c r="BA13" s="15">
        <v>6</v>
      </c>
      <c r="BB13" s="92">
        <v>918.5</v>
      </c>
      <c r="BC13" s="324">
        <v>44687</v>
      </c>
      <c r="BD13" s="92">
        <v>918.5</v>
      </c>
      <c r="BE13" s="95" t="s">
        <v>403</v>
      </c>
      <c r="BF13" s="71">
        <v>49</v>
      </c>
      <c r="BG13" s="569">
        <f t="shared" si="11"/>
        <v>45006.5</v>
      </c>
      <c r="BJ13" s="106"/>
      <c r="BK13" s="15">
        <v>6</v>
      </c>
      <c r="BL13" s="279">
        <v>906.7</v>
      </c>
      <c r="BM13" s="245">
        <v>44688</v>
      </c>
      <c r="BN13" s="279">
        <v>906.7</v>
      </c>
      <c r="BO13" s="319" t="s">
        <v>406</v>
      </c>
      <c r="BP13" s="813">
        <v>49</v>
      </c>
      <c r="BQ13" s="737">
        <f t="shared" si="12"/>
        <v>44428.3</v>
      </c>
      <c r="BT13" s="106"/>
      <c r="BU13" s="263">
        <v>6</v>
      </c>
      <c r="BV13" s="279">
        <v>867.3</v>
      </c>
      <c r="BW13" s="378">
        <v>44688</v>
      </c>
      <c r="BX13" s="279">
        <v>867.3</v>
      </c>
      <c r="BY13" s="379" t="s">
        <v>417</v>
      </c>
      <c r="BZ13" s="380">
        <v>49</v>
      </c>
      <c r="CA13" s="569">
        <f t="shared" si="13"/>
        <v>42497.7</v>
      </c>
      <c r="CD13" s="762"/>
      <c r="CE13" s="15">
        <v>6</v>
      </c>
      <c r="CF13" s="279">
        <v>872.3</v>
      </c>
      <c r="CG13" s="994">
        <v>44691</v>
      </c>
      <c r="CH13" s="279">
        <v>872.3</v>
      </c>
      <c r="CI13" s="814" t="s">
        <v>434</v>
      </c>
      <c r="CJ13" s="692">
        <v>49</v>
      </c>
      <c r="CK13" s="569">
        <f t="shared" si="14"/>
        <v>42742.7</v>
      </c>
      <c r="CN13" s="94"/>
      <c r="CO13" s="15">
        <v>6</v>
      </c>
      <c r="CP13" s="92">
        <v>929.86</v>
      </c>
      <c r="CQ13" s="378">
        <v>44690</v>
      </c>
      <c r="CR13" s="92">
        <v>929.86</v>
      </c>
      <c r="CS13" s="381" t="s">
        <v>430</v>
      </c>
      <c r="CT13" s="380">
        <v>49</v>
      </c>
      <c r="CU13" s="575">
        <f t="shared" si="48"/>
        <v>45563.14</v>
      </c>
      <c r="CX13" s="106"/>
      <c r="CY13" s="15">
        <v>6</v>
      </c>
      <c r="CZ13" s="92">
        <v>895.4</v>
      </c>
      <c r="DA13" s="324">
        <v>44692</v>
      </c>
      <c r="DB13" s="92">
        <v>895.4</v>
      </c>
      <c r="DC13" s="95" t="s">
        <v>458</v>
      </c>
      <c r="DD13" s="71">
        <v>49</v>
      </c>
      <c r="DE13" s="569">
        <f t="shared" si="15"/>
        <v>43874.6</v>
      </c>
      <c r="DH13" s="106"/>
      <c r="DI13" s="15">
        <v>6</v>
      </c>
      <c r="DJ13" s="279">
        <v>884.5</v>
      </c>
      <c r="DK13" s="378">
        <v>44691</v>
      </c>
      <c r="DL13" s="92">
        <v>884.5</v>
      </c>
      <c r="DM13" s="381" t="s">
        <v>445</v>
      </c>
      <c r="DN13" s="380">
        <v>49</v>
      </c>
      <c r="DO13" s="575">
        <f t="shared" si="16"/>
        <v>43340.5</v>
      </c>
      <c r="DR13" s="106"/>
      <c r="DS13" s="15">
        <v>6</v>
      </c>
      <c r="DT13" s="92">
        <v>886.3</v>
      </c>
      <c r="DU13" s="378">
        <v>44691</v>
      </c>
      <c r="DV13" s="92">
        <v>886.3</v>
      </c>
      <c r="DW13" s="381" t="s">
        <v>437</v>
      </c>
      <c r="DX13" s="380">
        <v>59</v>
      </c>
      <c r="DY13" s="569">
        <f t="shared" si="17"/>
        <v>52291.7</v>
      </c>
      <c r="EB13" s="106"/>
      <c r="EC13" s="15">
        <v>6</v>
      </c>
      <c r="ED13" s="69">
        <v>934.5</v>
      </c>
      <c r="EE13" s="336">
        <v>44694</v>
      </c>
      <c r="EF13" s="92">
        <v>934.5</v>
      </c>
      <c r="EG13" s="70" t="s">
        <v>477</v>
      </c>
      <c r="EH13" s="71">
        <v>49</v>
      </c>
      <c r="EI13" s="569">
        <f t="shared" si="18"/>
        <v>45790.5</v>
      </c>
      <c r="EL13" s="425"/>
      <c r="EM13" s="15">
        <v>6</v>
      </c>
      <c r="EN13" s="279">
        <v>965.24</v>
      </c>
      <c r="EO13" s="328">
        <v>44694</v>
      </c>
      <c r="EP13" s="279">
        <v>965.24</v>
      </c>
      <c r="EQ13" s="265" t="s">
        <v>483</v>
      </c>
      <c r="ER13" s="266">
        <v>49</v>
      </c>
      <c r="ES13" s="569">
        <f t="shared" si="19"/>
        <v>47296.76</v>
      </c>
      <c r="EV13" s="106"/>
      <c r="EW13" s="15">
        <v>6</v>
      </c>
      <c r="EX13" s="264">
        <v>944.37</v>
      </c>
      <c r="EY13" s="495">
        <v>44695</v>
      </c>
      <c r="EZ13" s="264">
        <v>944.37</v>
      </c>
      <c r="FA13" s="265" t="s">
        <v>479</v>
      </c>
      <c r="FB13" s="266">
        <v>49</v>
      </c>
      <c r="FC13" s="322">
        <f t="shared" si="20"/>
        <v>46274.13</v>
      </c>
      <c r="FF13" s="425"/>
      <c r="FG13" s="15">
        <v>6</v>
      </c>
      <c r="FH13" s="279">
        <v>949</v>
      </c>
      <c r="FI13" s="328">
        <v>44694</v>
      </c>
      <c r="FJ13" s="279">
        <v>949</v>
      </c>
      <c r="FK13" s="265" t="s">
        <v>487</v>
      </c>
      <c r="FL13" s="266">
        <v>49</v>
      </c>
      <c r="FM13" s="569">
        <f t="shared" si="21"/>
        <v>46501</v>
      </c>
      <c r="FP13" s="106"/>
      <c r="FQ13" s="15">
        <v>6</v>
      </c>
      <c r="FR13" s="92">
        <v>907.2</v>
      </c>
      <c r="FS13" s="324">
        <v>44695</v>
      </c>
      <c r="FT13" s="92">
        <v>907.2</v>
      </c>
      <c r="FU13" s="70" t="s">
        <v>504</v>
      </c>
      <c r="FV13" s="71">
        <v>49</v>
      </c>
      <c r="FW13" s="569">
        <f t="shared" si="22"/>
        <v>44452.800000000003</v>
      </c>
      <c r="FZ13" s="106"/>
      <c r="GA13" s="15">
        <v>6</v>
      </c>
      <c r="GB13" s="69">
        <v>870</v>
      </c>
      <c r="GC13" s="495">
        <v>44698</v>
      </c>
      <c r="GD13" s="69">
        <v>870</v>
      </c>
      <c r="GE13" s="265" t="s">
        <v>518</v>
      </c>
      <c r="GF13" s="266">
        <v>49</v>
      </c>
      <c r="GG13" s="322">
        <f t="shared" si="23"/>
        <v>42630</v>
      </c>
      <c r="GJ13" s="106"/>
      <c r="GK13" s="15">
        <v>6</v>
      </c>
      <c r="GL13" s="473">
        <v>916.3</v>
      </c>
      <c r="GM13" s="324">
        <v>44698</v>
      </c>
      <c r="GN13" s="473">
        <v>916.3</v>
      </c>
      <c r="GO13" s="95" t="s">
        <v>492</v>
      </c>
      <c r="GP13" s="71">
        <v>44</v>
      </c>
      <c r="GQ13" s="569">
        <f t="shared" si="24"/>
        <v>40317.199999999997</v>
      </c>
      <c r="GT13" s="106"/>
      <c r="GU13" s="15">
        <v>6</v>
      </c>
      <c r="GV13" s="279">
        <v>902.6</v>
      </c>
      <c r="GW13" s="328">
        <v>44700</v>
      </c>
      <c r="GX13" s="279">
        <v>902.6</v>
      </c>
      <c r="GY13" s="319" t="s">
        <v>532</v>
      </c>
      <c r="GZ13" s="266">
        <v>43</v>
      </c>
      <c r="HA13" s="569">
        <f t="shared" si="25"/>
        <v>38811.800000000003</v>
      </c>
      <c r="HD13" s="106"/>
      <c r="HE13" s="15">
        <v>6</v>
      </c>
      <c r="HF13" s="279">
        <v>943.47</v>
      </c>
      <c r="HG13" s="328">
        <v>44700</v>
      </c>
      <c r="HH13" s="279">
        <v>943.47</v>
      </c>
      <c r="HI13" s="319" t="s">
        <v>535</v>
      </c>
      <c r="HJ13" s="266">
        <v>43</v>
      </c>
      <c r="HK13" s="569">
        <f t="shared" si="26"/>
        <v>40569.21</v>
      </c>
      <c r="HN13" s="106"/>
      <c r="HO13" s="15">
        <v>6</v>
      </c>
      <c r="HP13" s="279">
        <v>956.17</v>
      </c>
      <c r="HQ13" s="328">
        <v>44700</v>
      </c>
      <c r="HR13" s="279">
        <v>956.17</v>
      </c>
      <c r="HS13" s="383" t="s">
        <v>495</v>
      </c>
      <c r="HT13" s="266">
        <v>43</v>
      </c>
      <c r="HU13" s="569">
        <f t="shared" si="27"/>
        <v>41115.31</v>
      </c>
      <c r="HX13" s="106"/>
      <c r="HY13" s="15">
        <v>6</v>
      </c>
      <c r="HZ13" s="69">
        <v>914.4</v>
      </c>
      <c r="IA13" s="336">
        <v>44702</v>
      </c>
      <c r="IB13" s="69">
        <v>914.4</v>
      </c>
      <c r="IC13" s="70" t="s">
        <v>551</v>
      </c>
      <c r="ID13" s="71">
        <v>45</v>
      </c>
      <c r="IE13" s="569">
        <f t="shared" si="5"/>
        <v>41148</v>
      </c>
      <c r="IH13" s="106"/>
      <c r="II13" s="15">
        <v>6</v>
      </c>
      <c r="IJ13" s="69">
        <v>932.58</v>
      </c>
      <c r="IK13" s="336">
        <v>44702</v>
      </c>
      <c r="IL13" s="69">
        <v>932.58</v>
      </c>
      <c r="IM13" s="70" t="s">
        <v>539</v>
      </c>
      <c r="IN13" s="71">
        <v>45</v>
      </c>
      <c r="IO13" s="569">
        <f t="shared" si="28"/>
        <v>41966.1</v>
      </c>
      <c r="IQ13" s="748"/>
      <c r="IR13" s="106"/>
      <c r="IS13" s="15">
        <v>6</v>
      </c>
      <c r="IT13" s="279">
        <v>865.4</v>
      </c>
      <c r="IU13" s="245"/>
      <c r="IV13" s="279"/>
      <c r="IW13" s="501"/>
      <c r="IX13" s="266"/>
      <c r="IY13" s="322">
        <f t="shared" si="29"/>
        <v>0</v>
      </c>
      <c r="IZ13" s="92"/>
      <c r="JA13" s="69"/>
      <c r="JB13" s="106"/>
      <c r="JC13" s="15">
        <v>6</v>
      </c>
      <c r="JD13" s="92">
        <v>886.3</v>
      </c>
      <c r="JE13" s="336"/>
      <c r="JF13" s="279"/>
      <c r="JG13" s="265"/>
      <c r="JH13" s="71"/>
      <c r="JI13" s="569">
        <f t="shared" si="30"/>
        <v>0</v>
      </c>
      <c r="JJ13" s="69"/>
      <c r="JL13" s="106"/>
      <c r="JM13" s="15">
        <v>6</v>
      </c>
      <c r="JN13" s="92">
        <v>907.2</v>
      </c>
      <c r="JO13" s="324"/>
      <c r="JP13" s="92"/>
      <c r="JQ13" s="70"/>
      <c r="JR13" s="71"/>
      <c r="JS13" s="569">
        <f t="shared" si="31"/>
        <v>0</v>
      </c>
      <c r="JV13" s="106"/>
      <c r="JW13" s="15">
        <v>6</v>
      </c>
      <c r="JX13" s="69">
        <v>946.19</v>
      </c>
      <c r="JY13" s="336"/>
      <c r="JZ13" s="69"/>
      <c r="KA13" s="70"/>
      <c r="KB13" s="71"/>
      <c r="KC13" s="569">
        <f t="shared" si="32"/>
        <v>0</v>
      </c>
      <c r="KE13" s="242"/>
      <c r="KF13" s="947"/>
      <c r="KG13" s="15">
        <v>6</v>
      </c>
      <c r="KH13" s="69">
        <v>915.8</v>
      </c>
      <c r="KI13" s="336"/>
      <c r="KJ13" s="69"/>
      <c r="KK13" s="70"/>
      <c r="KL13" s="71"/>
      <c r="KM13" s="569">
        <f t="shared" si="33"/>
        <v>0</v>
      </c>
      <c r="KP13" s="106"/>
      <c r="KQ13" s="15">
        <v>6</v>
      </c>
      <c r="KR13" s="69">
        <v>910.4</v>
      </c>
      <c r="KS13" s="336"/>
      <c r="KT13" s="69"/>
      <c r="KU13" s="70"/>
      <c r="KV13" s="71"/>
      <c r="KW13" s="569">
        <f t="shared" si="34"/>
        <v>0</v>
      </c>
      <c r="KZ13" s="106"/>
      <c r="LA13" s="15">
        <v>6</v>
      </c>
      <c r="LB13" s="92">
        <v>940.7</v>
      </c>
      <c r="LC13" s="324"/>
      <c r="LD13" s="92"/>
      <c r="LE13" s="95"/>
      <c r="LF13" s="71"/>
      <c r="LG13" s="569">
        <f t="shared" si="35"/>
        <v>0</v>
      </c>
      <c r="LJ13" s="106"/>
      <c r="LK13" s="15">
        <v>6</v>
      </c>
      <c r="LL13" s="92">
        <v>940.75</v>
      </c>
      <c r="LM13" s="324"/>
      <c r="LN13" s="92"/>
      <c r="LO13" s="95"/>
      <c r="LP13" s="71"/>
      <c r="LQ13" s="569">
        <f t="shared" si="36"/>
        <v>0</v>
      </c>
      <c r="LT13" s="106"/>
      <c r="LU13" s="15">
        <v>6</v>
      </c>
      <c r="LV13" s="92"/>
      <c r="LW13" s="324"/>
      <c r="LX13" s="92"/>
      <c r="LY13" s="95"/>
      <c r="LZ13" s="71"/>
      <c r="MA13" s="569">
        <f t="shared" si="37"/>
        <v>0</v>
      </c>
      <c r="MB13" s="569"/>
      <c r="MD13" s="106"/>
      <c r="ME13" s="15">
        <v>6</v>
      </c>
      <c r="MF13" s="389"/>
      <c r="MG13" s="324"/>
      <c r="MH13" s="389"/>
      <c r="MI13" s="95"/>
      <c r="MJ13" s="71"/>
      <c r="MK13" s="71">
        <f t="shared" si="38"/>
        <v>0</v>
      </c>
      <c r="MN13" s="106"/>
      <c r="MO13" s="15">
        <v>6</v>
      </c>
      <c r="MP13" s="92"/>
      <c r="MQ13" s="324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24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24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24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24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24"/>
      <c r="OP13" s="92"/>
      <c r="OQ13" s="95"/>
      <c r="OR13" s="71"/>
      <c r="OS13" s="71">
        <f t="shared" si="44"/>
        <v>0</v>
      </c>
      <c r="OV13" s="106"/>
      <c r="OW13" s="15">
        <v>6</v>
      </c>
      <c r="OX13" s="279"/>
      <c r="OY13" s="328"/>
      <c r="OZ13" s="279"/>
      <c r="PA13" s="319"/>
      <c r="PB13" s="266"/>
      <c r="PC13" s="266">
        <f t="shared" si="45"/>
        <v>0</v>
      </c>
      <c r="PF13" s="94"/>
      <c r="PG13" s="15">
        <v>6</v>
      </c>
      <c r="PH13" s="92"/>
      <c r="PI13" s="324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24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324"/>
      <c r="QL13" s="92"/>
      <c r="QM13" s="95"/>
      <c r="QN13" s="71"/>
      <c r="QQ13" s="106"/>
      <c r="QR13" s="15">
        <v>6</v>
      </c>
      <c r="QS13" s="92"/>
      <c r="QT13" s="324"/>
      <c r="QU13" s="92"/>
      <c r="QV13" s="95"/>
      <c r="QW13" s="71"/>
      <c r="QZ13" s="106"/>
      <c r="RA13" s="15">
        <v>6</v>
      </c>
      <c r="RB13" s="92"/>
      <c r="RC13" s="324"/>
      <c r="RD13" s="92"/>
      <c r="RE13" s="95"/>
      <c r="RF13" s="71"/>
      <c r="RI13" s="94"/>
      <c r="RJ13" s="15">
        <v>6</v>
      </c>
      <c r="RK13" s="92"/>
      <c r="RL13" s="324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88"/>
      <c r="TF13" s="179"/>
      <c r="TG13" s="381"/>
      <c r="TH13" s="380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81835787</v>
      </c>
      <c r="E14" s="135">
        <f t="shared" si="52"/>
        <v>44691</v>
      </c>
      <c r="F14" s="86">
        <f t="shared" si="52"/>
        <v>18890.990000000002</v>
      </c>
      <c r="G14" s="73">
        <f t="shared" si="52"/>
        <v>21</v>
      </c>
      <c r="H14" s="48">
        <f t="shared" si="52"/>
        <v>18936.599999999999</v>
      </c>
      <c r="I14" s="105">
        <f t="shared" si="52"/>
        <v>-45.609999999996944</v>
      </c>
      <c r="K14" s="242"/>
      <c r="L14" s="106"/>
      <c r="M14" s="15">
        <v>7</v>
      </c>
      <c r="N14" s="69">
        <v>887.2</v>
      </c>
      <c r="O14" s="336">
        <v>44684</v>
      </c>
      <c r="P14" s="69">
        <v>887.2</v>
      </c>
      <c r="Q14" s="70" t="s">
        <v>376</v>
      </c>
      <c r="R14" s="71">
        <v>47</v>
      </c>
      <c r="S14" s="569">
        <f t="shared" si="7"/>
        <v>41698.400000000001</v>
      </c>
      <c r="T14" s="242"/>
      <c r="V14" s="106"/>
      <c r="W14" s="15">
        <v>7</v>
      </c>
      <c r="X14" s="69">
        <v>940.7</v>
      </c>
      <c r="Y14" s="336">
        <v>44684</v>
      </c>
      <c r="Z14" s="69">
        <v>940.7</v>
      </c>
      <c r="AA14" s="70" t="s">
        <v>373</v>
      </c>
      <c r="AB14" s="71">
        <v>47</v>
      </c>
      <c r="AC14" s="569">
        <f t="shared" si="8"/>
        <v>44212.9</v>
      </c>
      <c r="AF14" s="106"/>
      <c r="AG14" s="15">
        <v>7</v>
      </c>
      <c r="AH14" s="92">
        <v>923.51</v>
      </c>
      <c r="AI14" s="324">
        <v>44686</v>
      </c>
      <c r="AJ14" s="92">
        <v>923.51</v>
      </c>
      <c r="AK14" s="95" t="s">
        <v>390</v>
      </c>
      <c r="AL14" s="71">
        <v>47</v>
      </c>
      <c r="AM14" s="569">
        <f t="shared" si="9"/>
        <v>43404.97</v>
      </c>
      <c r="AP14" s="106"/>
      <c r="AQ14" s="15">
        <v>7</v>
      </c>
      <c r="AR14" s="92">
        <v>932.13</v>
      </c>
      <c r="AS14" s="324">
        <v>44686</v>
      </c>
      <c r="AT14" s="92">
        <v>932.13</v>
      </c>
      <c r="AU14" s="95" t="s">
        <v>393</v>
      </c>
      <c r="AV14" s="71">
        <v>47</v>
      </c>
      <c r="AW14" s="569">
        <f t="shared" si="10"/>
        <v>43810.11</v>
      </c>
      <c r="AZ14" s="106"/>
      <c r="BA14" s="15">
        <v>7</v>
      </c>
      <c r="BB14" s="92">
        <v>937.6</v>
      </c>
      <c r="BC14" s="324">
        <v>44687</v>
      </c>
      <c r="BD14" s="92">
        <v>937.6</v>
      </c>
      <c r="BE14" s="95" t="s">
        <v>403</v>
      </c>
      <c r="BF14" s="71">
        <v>49</v>
      </c>
      <c r="BG14" s="569">
        <f t="shared" si="11"/>
        <v>45942.400000000001</v>
      </c>
      <c r="BJ14" s="106"/>
      <c r="BK14" s="15">
        <v>7</v>
      </c>
      <c r="BL14" s="279">
        <v>904</v>
      </c>
      <c r="BM14" s="245">
        <v>44688</v>
      </c>
      <c r="BN14" s="279">
        <v>904</v>
      </c>
      <c r="BO14" s="319" t="s">
        <v>406</v>
      </c>
      <c r="BP14" s="813">
        <v>49</v>
      </c>
      <c r="BQ14" s="737">
        <f t="shared" si="12"/>
        <v>44296</v>
      </c>
      <c r="BT14" s="106"/>
      <c r="BU14" s="263">
        <v>7</v>
      </c>
      <c r="BV14" s="279">
        <v>875.4</v>
      </c>
      <c r="BW14" s="378">
        <v>44688</v>
      </c>
      <c r="BX14" s="279">
        <v>875.4</v>
      </c>
      <c r="BY14" s="379" t="s">
        <v>420</v>
      </c>
      <c r="BZ14" s="380">
        <v>49</v>
      </c>
      <c r="CA14" s="569">
        <f t="shared" si="13"/>
        <v>42894.6</v>
      </c>
      <c r="CD14" s="762"/>
      <c r="CE14" s="15">
        <v>7</v>
      </c>
      <c r="CF14" s="279">
        <v>884</v>
      </c>
      <c r="CG14" s="994">
        <v>44691</v>
      </c>
      <c r="CH14" s="279">
        <v>884</v>
      </c>
      <c r="CI14" s="814" t="s">
        <v>434</v>
      </c>
      <c r="CJ14" s="692">
        <v>49</v>
      </c>
      <c r="CK14" s="569">
        <f t="shared" si="14"/>
        <v>43316</v>
      </c>
      <c r="CN14" s="94"/>
      <c r="CO14" s="15">
        <v>7</v>
      </c>
      <c r="CP14" s="92">
        <v>920.33</v>
      </c>
      <c r="CQ14" s="378">
        <v>44688</v>
      </c>
      <c r="CR14" s="92">
        <v>920.33</v>
      </c>
      <c r="CS14" s="381" t="s">
        <v>422</v>
      </c>
      <c r="CT14" s="380">
        <v>49</v>
      </c>
      <c r="CU14" s="575">
        <f t="shared" si="48"/>
        <v>45096.170000000006</v>
      </c>
      <c r="CX14" s="106"/>
      <c r="CY14" s="15">
        <v>7</v>
      </c>
      <c r="CZ14" s="92">
        <v>870.9</v>
      </c>
      <c r="DA14" s="324">
        <v>44692</v>
      </c>
      <c r="DB14" s="92">
        <v>870.9</v>
      </c>
      <c r="DC14" s="95" t="s">
        <v>458</v>
      </c>
      <c r="DD14" s="71">
        <v>49</v>
      </c>
      <c r="DE14" s="569">
        <f t="shared" si="15"/>
        <v>42674.1</v>
      </c>
      <c r="DH14" s="106"/>
      <c r="DI14" s="15">
        <v>7</v>
      </c>
      <c r="DJ14" s="279">
        <v>902.6</v>
      </c>
      <c r="DK14" s="378">
        <v>44691</v>
      </c>
      <c r="DL14" s="92">
        <v>902.6</v>
      </c>
      <c r="DM14" s="381" t="s">
        <v>441</v>
      </c>
      <c r="DN14" s="380">
        <v>49</v>
      </c>
      <c r="DO14" s="575">
        <f t="shared" si="16"/>
        <v>44227.4</v>
      </c>
      <c r="DR14" s="106"/>
      <c r="DS14" s="15">
        <v>7</v>
      </c>
      <c r="DT14" s="92">
        <v>893.6</v>
      </c>
      <c r="DU14" s="378">
        <v>44691</v>
      </c>
      <c r="DV14" s="92">
        <v>893.6</v>
      </c>
      <c r="DW14" s="381" t="s">
        <v>437</v>
      </c>
      <c r="DX14" s="380">
        <v>59</v>
      </c>
      <c r="DY14" s="569">
        <f t="shared" si="17"/>
        <v>52722.400000000001</v>
      </c>
      <c r="EB14" s="106"/>
      <c r="EC14" s="15">
        <v>7</v>
      </c>
      <c r="ED14" s="69">
        <v>963.43</v>
      </c>
      <c r="EE14" s="336">
        <v>44694</v>
      </c>
      <c r="EF14" s="92">
        <v>963.43</v>
      </c>
      <c r="EG14" s="70" t="s">
        <v>477</v>
      </c>
      <c r="EH14" s="71">
        <v>49</v>
      </c>
      <c r="EI14" s="569">
        <f t="shared" si="18"/>
        <v>47208.07</v>
      </c>
      <c r="EL14" s="425"/>
      <c r="EM14" s="15">
        <v>7</v>
      </c>
      <c r="EN14" s="279">
        <v>918.52</v>
      </c>
      <c r="EO14" s="328">
        <v>44693</v>
      </c>
      <c r="EP14" s="279">
        <v>918.52</v>
      </c>
      <c r="EQ14" s="265" t="s">
        <v>470</v>
      </c>
      <c r="ER14" s="266">
        <v>49</v>
      </c>
      <c r="ES14" s="569">
        <f t="shared" si="19"/>
        <v>45007.479999999996</v>
      </c>
      <c r="EV14" s="106"/>
      <c r="EW14" s="15">
        <v>7</v>
      </c>
      <c r="EX14" s="264">
        <v>920.33</v>
      </c>
      <c r="EY14" s="495">
        <v>44694</v>
      </c>
      <c r="EZ14" s="264">
        <v>920.33</v>
      </c>
      <c r="FA14" s="265" t="s">
        <v>490</v>
      </c>
      <c r="FB14" s="266">
        <v>49</v>
      </c>
      <c r="FC14" s="322">
        <f t="shared" si="20"/>
        <v>45096.170000000006</v>
      </c>
      <c r="FF14" s="425"/>
      <c r="FG14" s="15">
        <v>7</v>
      </c>
      <c r="FH14" s="279">
        <v>946</v>
      </c>
      <c r="FI14" s="328">
        <v>44694</v>
      </c>
      <c r="FJ14" s="279">
        <v>946</v>
      </c>
      <c r="FK14" s="265" t="s">
        <v>487</v>
      </c>
      <c r="FL14" s="266">
        <v>49</v>
      </c>
      <c r="FM14" s="569">
        <f t="shared" si="21"/>
        <v>46354</v>
      </c>
      <c r="FP14" s="106"/>
      <c r="FQ14" s="15">
        <v>7</v>
      </c>
      <c r="FR14" s="92">
        <v>880</v>
      </c>
      <c r="FS14" s="324">
        <v>44695</v>
      </c>
      <c r="FT14" s="92">
        <v>880</v>
      </c>
      <c r="FU14" s="70" t="s">
        <v>479</v>
      </c>
      <c r="FV14" s="71">
        <v>49</v>
      </c>
      <c r="FW14" s="569">
        <f t="shared" si="22"/>
        <v>43120</v>
      </c>
      <c r="FZ14" s="106"/>
      <c r="GA14" s="15">
        <v>7</v>
      </c>
      <c r="GB14" s="69">
        <v>937.1</v>
      </c>
      <c r="GC14" s="495">
        <v>44698</v>
      </c>
      <c r="GD14" s="69">
        <v>937.1</v>
      </c>
      <c r="GE14" s="265" t="s">
        <v>518</v>
      </c>
      <c r="GF14" s="266">
        <v>49</v>
      </c>
      <c r="GG14" s="322">
        <f t="shared" si="23"/>
        <v>45917.9</v>
      </c>
      <c r="GJ14" s="106"/>
      <c r="GK14" s="15">
        <v>7</v>
      </c>
      <c r="GL14" s="473">
        <v>900.8</v>
      </c>
      <c r="GM14" s="324">
        <v>44699</v>
      </c>
      <c r="GN14" s="473">
        <v>900.8</v>
      </c>
      <c r="GO14" s="95" t="s">
        <v>521</v>
      </c>
      <c r="GP14" s="71">
        <v>43</v>
      </c>
      <c r="GQ14" s="569">
        <f t="shared" si="24"/>
        <v>38734.400000000001</v>
      </c>
      <c r="GT14" s="106"/>
      <c r="GU14" s="15">
        <v>7</v>
      </c>
      <c r="GV14" s="279">
        <v>885.4</v>
      </c>
      <c r="GW14" s="328">
        <v>44700</v>
      </c>
      <c r="GX14" s="279">
        <v>885.4</v>
      </c>
      <c r="GY14" s="319" t="s">
        <v>532</v>
      </c>
      <c r="GZ14" s="266">
        <v>43</v>
      </c>
      <c r="HA14" s="569">
        <f t="shared" si="25"/>
        <v>38072.199999999997</v>
      </c>
      <c r="HD14" s="106"/>
      <c r="HE14" s="15">
        <v>7</v>
      </c>
      <c r="HF14" s="279">
        <v>942.56</v>
      </c>
      <c r="HG14" s="328">
        <v>44700</v>
      </c>
      <c r="HH14" s="279">
        <v>942.56</v>
      </c>
      <c r="HI14" s="319" t="s">
        <v>443</v>
      </c>
      <c r="HJ14" s="266">
        <v>43</v>
      </c>
      <c r="HK14" s="569">
        <f t="shared" si="26"/>
        <v>40530.079999999994</v>
      </c>
      <c r="HN14" s="106"/>
      <c r="HO14" s="15">
        <v>7</v>
      </c>
      <c r="HP14" s="279">
        <v>933.49</v>
      </c>
      <c r="HQ14" s="328">
        <v>44700</v>
      </c>
      <c r="HR14" s="279">
        <v>933.49</v>
      </c>
      <c r="HS14" s="383" t="s">
        <v>495</v>
      </c>
      <c r="HT14" s="266">
        <v>43</v>
      </c>
      <c r="HU14" s="569">
        <f t="shared" si="27"/>
        <v>40140.07</v>
      </c>
      <c r="HX14" s="106"/>
      <c r="HY14" s="15">
        <v>7</v>
      </c>
      <c r="HZ14" s="69">
        <v>876.3</v>
      </c>
      <c r="IA14" s="336">
        <v>44702</v>
      </c>
      <c r="IB14" s="69">
        <v>876.3</v>
      </c>
      <c r="IC14" s="70" t="s">
        <v>551</v>
      </c>
      <c r="ID14" s="71">
        <v>45</v>
      </c>
      <c r="IE14" s="569">
        <f t="shared" si="5"/>
        <v>39433.5</v>
      </c>
      <c r="IH14" s="106"/>
      <c r="II14" s="15">
        <v>7</v>
      </c>
      <c r="IJ14" s="69">
        <v>933.49</v>
      </c>
      <c r="IK14" s="336">
        <v>44702</v>
      </c>
      <c r="IL14" s="69">
        <v>933.49</v>
      </c>
      <c r="IM14" s="70" t="s">
        <v>548</v>
      </c>
      <c r="IN14" s="71">
        <v>45</v>
      </c>
      <c r="IO14" s="569">
        <f t="shared" si="28"/>
        <v>42007.05</v>
      </c>
      <c r="IQ14" s="745"/>
      <c r="IR14" s="106"/>
      <c r="IS14" s="15">
        <v>7</v>
      </c>
      <c r="IT14" s="279">
        <v>916.3</v>
      </c>
      <c r="IU14" s="245"/>
      <c r="IV14" s="279"/>
      <c r="IW14" s="501"/>
      <c r="IX14" s="266"/>
      <c r="IY14" s="322">
        <f t="shared" si="29"/>
        <v>0</v>
      </c>
      <c r="IZ14" s="92"/>
      <c r="JA14" s="69"/>
      <c r="JB14" s="106"/>
      <c r="JC14" s="15">
        <v>7</v>
      </c>
      <c r="JD14" s="92">
        <v>861.8</v>
      </c>
      <c r="JE14" s="336"/>
      <c r="JF14" s="279"/>
      <c r="JG14" s="265"/>
      <c r="JH14" s="71"/>
      <c r="JI14" s="569">
        <f t="shared" si="30"/>
        <v>0</v>
      </c>
      <c r="JJ14" s="69"/>
      <c r="JL14" s="106"/>
      <c r="JM14" s="15">
        <v>7</v>
      </c>
      <c r="JN14" s="92">
        <v>898.6</v>
      </c>
      <c r="JO14" s="324"/>
      <c r="JP14" s="92"/>
      <c r="JQ14" s="70"/>
      <c r="JR14" s="71"/>
      <c r="JS14" s="569">
        <f t="shared" si="31"/>
        <v>0</v>
      </c>
      <c r="JV14" s="106"/>
      <c r="JW14" s="15">
        <v>7</v>
      </c>
      <c r="JX14" s="69">
        <v>962.97</v>
      </c>
      <c r="JY14" s="336"/>
      <c r="JZ14" s="69"/>
      <c r="KA14" s="70"/>
      <c r="KB14" s="71"/>
      <c r="KC14" s="569">
        <f t="shared" si="32"/>
        <v>0</v>
      </c>
      <c r="KE14" s="242"/>
      <c r="KF14" s="947"/>
      <c r="KG14" s="15">
        <v>7</v>
      </c>
      <c r="KH14" s="69">
        <v>915.8</v>
      </c>
      <c r="KI14" s="336"/>
      <c r="KJ14" s="69"/>
      <c r="KK14" s="70"/>
      <c r="KL14" s="71"/>
      <c r="KM14" s="569">
        <f t="shared" si="33"/>
        <v>0</v>
      </c>
      <c r="KP14" s="106"/>
      <c r="KQ14" s="15">
        <v>7</v>
      </c>
      <c r="KR14" s="69">
        <v>879.1</v>
      </c>
      <c r="KS14" s="336"/>
      <c r="KT14" s="69"/>
      <c r="KU14" s="70"/>
      <c r="KV14" s="71"/>
      <c r="KW14" s="569">
        <f t="shared" si="34"/>
        <v>0</v>
      </c>
      <c r="KZ14" s="106"/>
      <c r="LA14" s="15">
        <v>7</v>
      </c>
      <c r="LB14" s="92">
        <v>868.2</v>
      </c>
      <c r="LC14" s="324"/>
      <c r="LD14" s="92"/>
      <c r="LE14" s="95"/>
      <c r="LF14" s="71"/>
      <c r="LG14" s="569">
        <f t="shared" si="35"/>
        <v>0</v>
      </c>
      <c r="LJ14" s="106"/>
      <c r="LK14" s="15">
        <v>7</v>
      </c>
      <c r="LL14" s="92">
        <v>882.23</v>
      </c>
      <c r="LM14" s="324"/>
      <c r="LN14" s="92"/>
      <c r="LO14" s="95"/>
      <c r="LP14" s="71"/>
      <c r="LQ14" s="569">
        <f t="shared" si="36"/>
        <v>0</v>
      </c>
      <c r="LT14" s="106"/>
      <c r="LU14" s="15">
        <v>7</v>
      </c>
      <c r="LV14" s="92"/>
      <c r="LW14" s="324"/>
      <c r="LX14" s="92"/>
      <c r="LY14" s="95"/>
      <c r="LZ14" s="71"/>
      <c r="MA14" s="569">
        <f t="shared" si="37"/>
        <v>0</v>
      </c>
      <c r="MB14" s="569"/>
      <c r="MD14" s="106"/>
      <c r="ME14" s="15">
        <v>7</v>
      </c>
      <c r="MF14" s="389"/>
      <c r="MG14" s="324"/>
      <c r="MH14" s="389"/>
      <c r="MI14" s="95"/>
      <c r="MJ14" s="71"/>
      <c r="MK14" s="71">
        <f t="shared" si="38"/>
        <v>0</v>
      </c>
      <c r="MN14" s="106"/>
      <c r="MO14" s="15">
        <v>7</v>
      </c>
      <c r="MP14" s="92"/>
      <c r="MQ14" s="324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24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24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24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24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24"/>
      <c r="OP14" s="92"/>
      <c r="OQ14" s="95"/>
      <c r="OR14" s="71"/>
      <c r="OS14" s="71">
        <f t="shared" si="44"/>
        <v>0</v>
      </c>
      <c r="OV14" s="106"/>
      <c r="OW14" s="15">
        <v>7</v>
      </c>
      <c r="OX14" s="279"/>
      <c r="OY14" s="328"/>
      <c r="OZ14" s="279"/>
      <c r="PA14" s="319"/>
      <c r="PB14" s="266"/>
      <c r="PC14" s="266">
        <f t="shared" si="45"/>
        <v>0</v>
      </c>
      <c r="PF14" s="94"/>
      <c r="PG14" s="15">
        <v>7</v>
      </c>
      <c r="PH14" s="92"/>
      <c r="PI14" s="324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24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324"/>
      <c r="QL14" s="92"/>
      <c r="QM14" s="95"/>
      <c r="QN14" s="71"/>
      <c r="QQ14" s="106"/>
      <c r="QR14" s="15">
        <v>7</v>
      </c>
      <c r="QS14" s="92"/>
      <c r="QT14" s="324"/>
      <c r="QU14" s="92"/>
      <c r="QV14" s="95"/>
      <c r="QW14" s="71"/>
      <c r="QZ14" s="106"/>
      <c r="RA14" s="15">
        <v>7</v>
      </c>
      <c r="RB14" s="92"/>
      <c r="RC14" s="324"/>
      <c r="RD14" s="92"/>
      <c r="RE14" s="95"/>
      <c r="RF14" s="71"/>
      <c r="RI14" s="106"/>
      <c r="RJ14" s="15">
        <v>7</v>
      </c>
      <c r="RK14" s="92"/>
      <c r="RL14" s="324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88"/>
      <c r="TF14" s="179"/>
      <c r="TG14" s="381"/>
      <c r="TH14" s="380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81836180</v>
      </c>
      <c r="E15" s="135">
        <f t="shared" si="53"/>
        <v>44691</v>
      </c>
      <c r="F15" s="86">
        <f t="shared" si="53"/>
        <v>17859.43</v>
      </c>
      <c r="G15" s="73">
        <f t="shared" si="53"/>
        <v>20</v>
      </c>
      <c r="H15" s="48">
        <f t="shared" si="53"/>
        <v>17919.599999999999</v>
      </c>
      <c r="I15" s="105">
        <f t="shared" si="53"/>
        <v>-60.169999999998254</v>
      </c>
      <c r="K15" s="242"/>
      <c r="L15" s="106"/>
      <c r="M15" s="15">
        <v>8</v>
      </c>
      <c r="N15" s="69">
        <v>911.7</v>
      </c>
      <c r="O15" s="336">
        <v>44684</v>
      </c>
      <c r="P15" s="69">
        <v>911.7</v>
      </c>
      <c r="Q15" s="70" t="s">
        <v>376</v>
      </c>
      <c r="R15" s="71">
        <v>47</v>
      </c>
      <c r="S15" s="569">
        <f t="shared" si="7"/>
        <v>42849.9</v>
      </c>
      <c r="T15" s="242"/>
      <c r="V15" s="106"/>
      <c r="W15" s="15">
        <v>8</v>
      </c>
      <c r="X15" s="69">
        <v>894.5</v>
      </c>
      <c r="Y15" s="336">
        <v>44684</v>
      </c>
      <c r="Z15" s="69">
        <v>894.5</v>
      </c>
      <c r="AA15" s="70" t="s">
        <v>373</v>
      </c>
      <c r="AB15" s="71">
        <v>47</v>
      </c>
      <c r="AC15" s="569">
        <f t="shared" si="8"/>
        <v>42041.5</v>
      </c>
      <c r="AF15" s="106"/>
      <c r="AG15" s="15">
        <v>8</v>
      </c>
      <c r="AH15" s="92">
        <v>925.78</v>
      </c>
      <c r="AI15" s="324">
        <v>44686</v>
      </c>
      <c r="AJ15" s="92">
        <v>925.78</v>
      </c>
      <c r="AK15" s="95" t="s">
        <v>390</v>
      </c>
      <c r="AL15" s="71">
        <v>47</v>
      </c>
      <c r="AM15" s="569">
        <f t="shared" si="9"/>
        <v>43511.659999999996</v>
      </c>
      <c r="AP15" s="106"/>
      <c r="AQ15" s="15">
        <v>8</v>
      </c>
      <c r="AR15" s="92">
        <v>971.14</v>
      </c>
      <c r="AS15" s="324">
        <v>44686</v>
      </c>
      <c r="AT15" s="92">
        <v>971.14</v>
      </c>
      <c r="AU15" s="95" t="s">
        <v>393</v>
      </c>
      <c r="AV15" s="71">
        <v>47</v>
      </c>
      <c r="AW15" s="569">
        <f t="shared" si="10"/>
        <v>45643.58</v>
      </c>
      <c r="AZ15" s="106"/>
      <c r="BA15" s="15">
        <v>8</v>
      </c>
      <c r="BB15" s="92">
        <v>904</v>
      </c>
      <c r="BC15" s="324">
        <v>44687</v>
      </c>
      <c r="BD15" s="92">
        <v>904</v>
      </c>
      <c r="BE15" s="95" t="s">
        <v>404</v>
      </c>
      <c r="BF15" s="71">
        <v>49</v>
      </c>
      <c r="BG15" s="569">
        <f t="shared" si="11"/>
        <v>44296</v>
      </c>
      <c r="BJ15" s="106"/>
      <c r="BK15" s="15">
        <v>8</v>
      </c>
      <c r="BL15" s="279">
        <v>904</v>
      </c>
      <c r="BM15" s="245">
        <v>44688</v>
      </c>
      <c r="BN15" s="279">
        <v>904</v>
      </c>
      <c r="BO15" s="319" t="s">
        <v>406</v>
      </c>
      <c r="BP15" s="813">
        <v>49</v>
      </c>
      <c r="BQ15" s="737">
        <f t="shared" si="12"/>
        <v>44296</v>
      </c>
      <c r="BT15" s="106"/>
      <c r="BU15" s="263">
        <v>8</v>
      </c>
      <c r="BV15" s="279">
        <v>862.7</v>
      </c>
      <c r="BW15" s="378">
        <v>44688</v>
      </c>
      <c r="BX15" s="279">
        <v>862.7</v>
      </c>
      <c r="BY15" s="379" t="s">
        <v>417</v>
      </c>
      <c r="BZ15" s="380">
        <v>49</v>
      </c>
      <c r="CA15" s="569">
        <f t="shared" si="13"/>
        <v>42272.3</v>
      </c>
      <c r="CD15" s="762"/>
      <c r="CE15" s="15">
        <v>8</v>
      </c>
      <c r="CF15" s="279">
        <v>920.8</v>
      </c>
      <c r="CG15" s="994">
        <v>44691</v>
      </c>
      <c r="CH15" s="279">
        <v>920.8</v>
      </c>
      <c r="CI15" s="814" t="s">
        <v>439</v>
      </c>
      <c r="CJ15" s="692">
        <v>49</v>
      </c>
      <c r="CK15" s="569">
        <f t="shared" si="14"/>
        <v>45119.199999999997</v>
      </c>
      <c r="CN15" s="94"/>
      <c r="CO15" s="15">
        <v>8</v>
      </c>
      <c r="CP15" s="92">
        <v>941.65</v>
      </c>
      <c r="CQ15" s="378">
        <v>44688</v>
      </c>
      <c r="CR15" s="92">
        <v>941.65</v>
      </c>
      <c r="CS15" s="381" t="s">
        <v>422</v>
      </c>
      <c r="CT15" s="380">
        <v>49</v>
      </c>
      <c r="CU15" s="575">
        <f t="shared" si="48"/>
        <v>46140.85</v>
      </c>
      <c r="CX15" s="106"/>
      <c r="CY15" s="15">
        <v>8</v>
      </c>
      <c r="CZ15" s="92">
        <v>898.1</v>
      </c>
      <c r="DA15" s="324">
        <v>44693</v>
      </c>
      <c r="DB15" s="92">
        <v>898.1</v>
      </c>
      <c r="DC15" s="95" t="s">
        <v>456</v>
      </c>
      <c r="DD15" s="71">
        <v>49</v>
      </c>
      <c r="DE15" s="569">
        <f t="shared" si="15"/>
        <v>44006.9</v>
      </c>
      <c r="DH15" s="106"/>
      <c r="DI15" s="15">
        <v>8</v>
      </c>
      <c r="DJ15" s="279">
        <v>866.4</v>
      </c>
      <c r="DK15" s="378">
        <v>44691</v>
      </c>
      <c r="DL15" s="92">
        <v>866.4</v>
      </c>
      <c r="DM15" s="381" t="s">
        <v>441</v>
      </c>
      <c r="DN15" s="380">
        <v>49</v>
      </c>
      <c r="DO15" s="575">
        <f t="shared" si="16"/>
        <v>42453.599999999999</v>
      </c>
      <c r="DR15" s="106"/>
      <c r="DS15" s="15">
        <v>8</v>
      </c>
      <c r="DT15" s="92">
        <v>914.4</v>
      </c>
      <c r="DU15" s="378">
        <v>44691</v>
      </c>
      <c r="DV15" s="92">
        <v>914.4</v>
      </c>
      <c r="DW15" s="381" t="s">
        <v>437</v>
      </c>
      <c r="DX15" s="380">
        <v>59</v>
      </c>
      <c r="DY15" s="569">
        <f t="shared" si="17"/>
        <v>53949.599999999999</v>
      </c>
      <c r="EB15" s="106"/>
      <c r="EC15" s="15">
        <v>8</v>
      </c>
      <c r="ED15" s="69">
        <v>922.6</v>
      </c>
      <c r="EE15" s="336">
        <v>44694</v>
      </c>
      <c r="EF15" s="92">
        <v>922.6</v>
      </c>
      <c r="EG15" s="70" t="s">
        <v>477</v>
      </c>
      <c r="EH15" s="71">
        <v>49</v>
      </c>
      <c r="EI15" s="569">
        <f t="shared" si="18"/>
        <v>45207.4</v>
      </c>
      <c r="EL15" s="425"/>
      <c r="EM15" s="15">
        <v>8</v>
      </c>
      <c r="EN15" s="279">
        <v>924.87</v>
      </c>
      <c r="EO15" s="328">
        <v>44694</v>
      </c>
      <c r="EP15" s="279">
        <v>924.87</v>
      </c>
      <c r="EQ15" s="265" t="s">
        <v>483</v>
      </c>
      <c r="ER15" s="266">
        <v>49</v>
      </c>
      <c r="ES15" s="569">
        <f t="shared" si="19"/>
        <v>45318.63</v>
      </c>
      <c r="EV15" s="106"/>
      <c r="EW15" s="15">
        <v>8</v>
      </c>
      <c r="EX15" s="264">
        <v>902.19</v>
      </c>
      <c r="EY15" s="495">
        <v>44694</v>
      </c>
      <c r="EZ15" s="264">
        <v>902.19</v>
      </c>
      <c r="FA15" s="265" t="s">
        <v>490</v>
      </c>
      <c r="FB15" s="266">
        <v>49</v>
      </c>
      <c r="FC15" s="322">
        <f t="shared" si="20"/>
        <v>44207.310000000005</v>
      </c>
      <c r="FF15" s="425"/>
      <c r="FG15" s="15">
        <v>8</v>
      </c>
      <c r="FH15" s="279">
        <v>929</v>
      </c>
      <c r="FI15" s="328">
        <v>44694</v>
      </c>
      <c r="FJ15" s="279">
        <v>929</v>
      </c>
      <c r="FK15" s="265" t="s">
        <v>488</v>
      </c>
      <c r="FL15" s="266">
        <v>49</v>
      </c>
      <c r="FM15" s="569">
        <f t="shared" si="21"/>
        <v>45521</v>
      </c>
      <c r="FP15" s="106"/>
      <c r="FQ15" s="15">
        <v>8</v>
      </c>
      <c r="FR15" s="92">
        <v>916.3</v>
      </c>
      <c r="FS15" s="324">
        <v>44695</v>
      </c>
      <c r="FT15" s="92">
        <v>916.3</v>
      </c>
      <c r="FU15" s="70" t="s">
        <v>500</v>
      </c>
      <c r="FV15" s="71">
        <v>49</v>
      </c>
      <c r="FW15" s="569">
        <f t="shared" si="22"/>
        <v>44898.7</v>
      </c>
      <c r="FZ15" s="106"/>
      <c r="GA15" s="15">
        <v>8</v>
      </c>
      <c r="GB15" s="69">
        <v>934.4</v>
      </c>
      <c r="GC15" s="495">
        <v>44697</v>
      </c>
      <c r="GD15" s="69">
        <v>934.4</v>
      </c>
      <c r="GE15" s="265" t="s">
        <v>517</v>
      </c>
      <c r="GF15" s="266">
        <v>49</v>
      </c>
      <c r="GG15" s="322">
        <f t="shared" si="23"/>
        <v>45785.599999999999</v>
      </c>
      <c r="GJ15" s="106"/>
      <c r="GK15" s="15">
        <v>8</v>
      </c>
      <c r="GL15" s="473">
        <v>902.6</v>
      </c>
      <c r="GM15" s="324">
        <v>44699</v>
      </c>
      <c r="GN15" s="473">
        <v>902.6</v>
      </c>
      <c r="GO15" s="95" t="s">
        <v>521</v>
      </c>
      <c r="GP15" s="71">
        <v>43</v>
      </c>
      <c r="GQ15" s="569">
        <f t="shared" si="24"/>
        <v>38811.800000000003</v>
      </c>
      <c r="GT15" s="106"/>
      <c r="GU15" s="15">
        <v>8</v>
      </c>
      <c r="GV15" s="279">
        <v>910.8</v>
      </c>
      <c r="GW15" s="328">
        <v>44700</v>
      </c>
      <c r="GX15" s="279">
        <v>910.8</v>
      </c>
      <c r="GY15" s="319" t="s">
        <v>532</v>
      </c>
      <c r="GZ15" s="266">
        <v>43</v>
      </c>
      <c r="HA15" s="569">
        <f t="shared" si="25"/>
        <v>39164.400000000001</v>
      </c>
      <c r="HD15" s="106"/>
      <c r="HE15" s="15">
        <v>8</v>
      </c>
      <c r="HF15" s="279">
        <v>954.35</v>
      </c>
      <c r="HG15" s="328">
        <v>44700</v>
      </c>
      <c r="HH15" s="279">
        <v>954.35</v>
      </c>
      <c r="HI15" s="319" t="s">
        <v>535</v>
      </c>
      <c r="HJ15" s="266">
        <v>43</v>
      </c>
      <c r="HK15" s="569">
        <f t="shared" si="26"/>
        <v>41037.050000000003</v>
      </c>
      <c r="HN15" s="106"/>
      <c r="HO15" s="15">
        <v>8</v>
      </c>
      <c r="HP15" s="279">
        <v>970.68</v>
      </c>
      <c r="HQ15" s="328">
        <v>44700</v>
      </c>
      <c r="HR15" s="279">
        <v>970.68</v>
      </c>
      <c r="HS15" s="383" t="s">
        <v>540</v>
      </c>
      <c r="HT15" s="266">
        <v>43</v>
      </c>
      <c r="HU15" s="569">
        <f t="shared" si="27"/>
        <v>41739.24</v>
      </c>
      <c r="HX15" s="94"/>
      <c r="HY15" s="15">
        <v>8</v>
      </c>
      <c r="HZ15" s="69">
        <v>869.1</v>
      </c>
      <c r="IA15" s="336">
        <v>44702</v>
      </c>
      <c r="IB15" s="69">
        <v>869.1</v>
      </c>
      <c r="IC15" s="70" t="s">
        <v>553</v>
      </c>
      <c r="ID15" s="71">
        <v>45</v>
      </c>
      <c r="IE15" s="569">
        <f t="shared" si="5"/>
        <v>39109.5</v>
      </c>
      <c r="IH15" s="94"/>
      <c r="II15" s="15">
        <v>8</v>
      </c>
      <c r="IJ15" s="69">
        <v>954.35</v>
      </c>
      <c r="IK15" s="336">
        <v>44701</v>
      </c>
      <c r="IL15" s="69">
        <v>954.35</v>
      </c>
      <c r="IM15" s="70" t="s">
        <v>534</v>
      </c>
      <c r="IN15" s="71">
        <v>43</v>
      </c>
      <c r="IO15" s="569">
        <f t="shared" si="28"/>
        <v>41037.050000000003</v>
      </c>
      <c r="IR15" s="106"/>
      <c r="IS15" s="15">
        <v>8</v>
      </c>
      <c r="IT15" s="279">
        <v>872.7</v>
      </c>
      <c r="IU15" s="245"/>
      <c r="IV15" s="279"/>
      <c r="IW15" s="501"/>
      <c r="IX15" s="266"/>
      <c r="IY15" s="322">
        <f t="shared" si="29"/>
        <v>0</v>
      </c>
      <c r="IZ15" s="92"/>
      <c r="JA15" s="69"/>
      <c r="JB15" s="106"/>
      <c r="JC15" s="15">
        <v>8</v>
      </c>
      <c r="JD15" s="92">
        <v>918.1</v>
      </c>
      <c r="JE15" s="336"/>
      <c r="JF15" s="279"/>
      <c r="JG15" s="265"/>
      <c r="JH15" s="71"/>
      <c r="JI15" s="569">
        <f t="shared" si="30"/>
        <v>0</v>
      </c>
      <c r="JJ15" s="69"/>
      <c r="JL15" s="106"/>
      <c r="JM15" s="15">
        <v>8</v>
      </c>
      <c r="JN15" s="92">
        <v>901.7</v>
      </c>
      <c r="JO15" s="324"/>
      <c r="JP15" s="92"/>
      <c r="JQ15" s="70"/>
      <c r="JR15" s="71"/>
      <c r="JS15" s="569">
        <f t="shared" si="31"/>
        <v>0</v>
      </c>
      <c r="JV15" s="106"/>
      <c r="JW15" s="15">
        <v>8</v>
      </c>
      <c r="JX15" s="69">
        <v>913.08</v>
      </c>
      <c r="JY15" s="336"/>
      <c r="JZ15" s="69"/>
      <c r="KA15" s="70"/>
      <c r="KB15" s="71"/>
      <c r="KC15" s="569">
        <f t="shared" si="32"/>
        <v>0</v>
      </c>
      <c r="KE15" s="242"/>
      <c r="KF15" s="947"/>
      <c r="KG15" s="15">
        <v>8</v>
      </c>
      <c r="KH15" s="69">
        <v>945.28</v>
      </c>
      <c r="KI15" s="336"/>
      <c r="KJ15" s="69"/>
      <c r="KK15" s="70"/>
      <c r="KL15" s="71"/>
      <c r="KM15" s="569">
        <f t="shared" si="33"/>
        <v>0</v>
      </c>
      <c r="KP15" s="106"/>
      <c r="KQ15" s="15">
        <v>8</v>
      </c>
      <c r="KR15" s="69">
        <v>881.8</v>
      </c>
      <c r="KS15" s="336"/>
      <c r="KT15" s="69"/>
      <c r="KU15" s="70"/>
      <c r="KV15" s="71"/>
      <c r="KW15" s="569">
        <f t="shared" si="34"/>
        <v>0</v>
      </c>
      <c r="KZ15" s="106"/>
      <c r="LA15" s="15">
        <v>8</v>
      </c>
      <c r="LB15" s="92">
        <v>872.7</v>
      </c>
      <c r="LC15" s="324"/>
      <c r="LD15" s="92"/>
      <c r="LE15" s="95"/>
      <c r="LF15" s="71"/>
      <c r="LG15" s="569">
        <f t="shared" si="35"/>
        <v>0</v>
      </c>
      <c r="LJ15" s="106"/>
      <c r="LK15" s="15">
        <v>8</v>
      </c>
      <c r="LL15" s="92">
        <v>872.25</v>
      </c>
      <c r="LM15" s="324"/>
      <c r="LN15" s="92"/>
      <c r="LO15" s="95"/>
      <c r="LP15" s="71"/>
      <c r="LQ15" s="569">
        <f t="shared" si="36"/>
        <v>0</v>
      </c>
      <c r="LT15" s="106"/>
      <c r="LU15" s="15">
        <v>8</v>
      </c>
      <c r="LV15" s="92"/>
      <c r="LW15" s="324"/>
      <c r="LX15" s="92"/>
      <c r="LY15" s="95"/>
      <c r="LZ15" s="71"/>
      <c r="MA15" s="569">
        <f t="shared" si="37"/>
        <v>0</v>
      </c>
      <c r="MB15" s="569"/>
      <c r="MD15" s="106"/>
      <c r="ME15" s="15">
        <v>8</v>
      </c>
      <c r="MF15" s="389"/>
      <c r="MG15" s="324"/>
      <c r="MH15" s="389"/>
      <c r="MI15" s="95"/>
      <c r="MJ15" s="71"/>
      <c r="MK15" s="71">
        <f t="shared" si="38"/>
        <v>0</v>
      </c>
      <c r="MN15" s="106"/>
      <c r="MO15" s="15">
        <v>8</v>
      </c>
      <c r="MP15" s="92"/>
      <c r="MQ15" s="324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24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24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24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24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24"/>
      <c r="OP15" s="92"/>
      <c r="OQ15" s="95"/>
      <c r="OR15" s="71"/>
      <c r="OS15" s="71">
        <f t="shared" si="44"/>
        <v>0</v>
      </c>
      <c r="OV15" s="106"/>
      <c r="OW15" s="15">
        <v>8</v>
      </c>
      <c r="OX15" s="279"/>
      <c r="OY15" s="328"/>
      <c r="OZ15" s="279"/>
      <c r="PA15" s="319"/>
      <c r="PB15" s="266"/>
      <c r="PC15" s="266">
        <f t="shared" si="45"/>
        <v>0</v>
      </c>
      <c r="PF15" s="94"/>
      <c r="PG15" s="15">
        <v>8</v>
      </c>
      <c r="PH15" s="92"/>
      <c r="PI15" s="324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24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324"/>
      <c r="QL15" s="92"/>
      <c r="QM15" s="95"/>
      <c r="QN15" s="71"/>
      <c r="QQ15" s="106"/>
      <c r="QR15" s="15">
        <v>8</v>
      </c>
      <c r="QS15" s="92"/>
      <c r="QT15" s="324"/>
      <c r="QU15" s="92"/>
      <c r="QV15" s="95"/>
      <c r="QW15" s="71"/>
      <c r="QZ15" s="106"/>
      <c r="RA15" s="15">
        <v>8</v>
      </c>
      <c r="RB15" s="92"/>
      <c r="RC15" s="324"/>
      <c r="RD15" s="92"/>
      <c r="RE15" s="95"/>
      <c r="RF15" s="71"/>
      <c r="RI15" s="106"/>
      <c r="RJ15" s="15">
        <v>8</v>
      </c>
      <c r="RK15" s="92"/>
      <c r="RL15" s="324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88"/>
      <c r="TF15" s="179"/>
      <c r="TG15" s="381"/>
      <c r="TH15" s="380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TYSON FRESH MEATS</v>
      </c>
      <c r="C16" s="75" t="str">
        <f t="shared" si="54"/>
        <v xml:space="preserve">I B P </v>
      </c>
      <c r="D16" s="102" t="str">
        <f t="shared" si="54"/>
        <v>PED. 81890999</v>
      </c>
      <c r="E16" s="135">
        <f t="shared" si="54"/>
        <v>44692</v>
      </c>
      <c r="F16" s="86">
        <f t="shared" si="54"/>
        <v>18232.04</v>
      </c>
      <c r="G16" s="73">
        <f t="shared" si="54"/>
        <v>20</v>
      </c>
      <c r="H16" s="48">
        <f t="shared" si="54"/>
        <v>18249.32</v>
      </c>
      <c r="I16" s="105">
        <f t="shared" si="54"/>
        <v>-17.279999999998836</v>
      </c>
      <c r="K16" s="242"/>
      <c r="L16" s="106"/>
      <c r="M16" s="15">
        <v>9</v>
      </c>
      <c r="N16" s="69">
        <v>890.9</v>
      </c>
      <c r="O16" s="336">
        <v>44684</v>
      </c>
      <c r="P16" s="69">
        <v>890.9</v>
      </c>
      <c r="Q16" s="70" t="s">
        <v>376</v>
      </c>
      <c r="R16" s="71">
        <v>47</v>
      </c>
      <c r="S16" s="569">
        <f t="shared" si="7"/>
        <v>41872.299999999996</v>
      </c>
      <c r="T16" s="242"/>
      <c r="V16" s="106"/>
      <c r="W16" s="15">
        <v>9</v>
      </c>
      <c r="X16" s="69">
        <v>876.3</v>
      </c>
      <c r="Y16" s="336">
        <v>44684</v>
      </c>
      <c r="Z16" s="69">
        <v>876.3</v>
      </c>
      <c r="AA16" s="70" t="s">
        <v>367</v>
      </c>
      <c r="AB16" s="71">
        <v>47</v>
      </c>
      <c r="AC16" s="569">
        <f t="shared" si="8"/>
        <v>41186.1</v>
      </c>
      <c r="AF16" s="106"/>
      <c r="AG16" s="15">
        <v>9</v>
      </c>
      <c r="AH16" s="92">
        <v>915.8</v>
      </c>
      <c r="AI16" s="324">
        <v>44686</v>
      </c>
      <c r="AJ16" s="92">
        <v>915.8</v>
      </c>
      <c r="AK16" s="95" t="s">
        <v>390</v>
      </c>
      <c r="AL16" s="71">
        <v>47</v>
      </c>
      <c r="AM16" s="569">
        <f t="shared" si="9"/>
        <v>43042.6</v>
      </c>
      <c r="AP16" s="106"/>
      <c r="AQ16" s="15">
        <v>9</v>
      </c>
      <c r="AR16" s="92">
        <v>922.15</v>
      </c>
      <c r="AS16" s="324">
        <v>44686</v>
      </c>
      <c r="AT16" s="92">
        <v>922.15</v>
      </c>
      <c r="AU16" s="95" t="s">
        <v>392</v>
      </c>
      <c r="AV16" s="71">
        <v>47</v>
      </c>
      <c r="AW16" s="569">
        <f t="shared" si="10"/>
        <v>43341.049999999996</v>
      </c>
      <c r="AZ16" s="106"/>
      <c r="BA16" s="15">
        <v>9</v>
      </c>
      <c r="BB16" s="92">
        <v>874.1</v>
      </c>
      <c r="BC16" s="324">
        <v>44687</v>
      </c>
      <c r="BD16" s="92">
        <v>874.1</v>
      </c>
      <c r="BE16" s="95" t="s">
        <v>404</v>
      </c>
      <c r="BF16" s="71">
        <v>49</v>
      </c>
      <c r="BG16" s="569">
        <f t="shared" si="11"/>
        <v>42830.9</v>
      </c>
      <c r="BJ16" s="106"/>
      <c r="BK16" s="15">
        <v>9</v>
      </c>
      <c r="BL16" s="279">
        <v>910.4</v>
      </c>
      <c r="BM16" s="245">
        <v>44688</v>
      </c>
      <c r="BN16" s="279">
        <v>910.4</v>
      </c>
      <c r="BO16" s="319" t="s">
        <v>406</v>
      </c>
      <c r="BP16" s="813">
        <v>49</v>
      </c>
      <c r="BQ16" s="737">
        <f t="shared" si="12"/>
        <v>44609.599999999999</v>
      </c>
      <c r="BT16" s="106"/>
      <c r="BU16" s="263">
        <v>9</v>
      </c>
      <c r="BV16" s="279">
        <v>861.8</v>
      </c>
      <c r="BW16" s="378">
        <v>44688</v>
      </c>
      <c r="BX16" s="279">
        <v>861.8</v>
      </c>
      <c r="BY16" s="379" t="s">
        <v>417</v>
      </c>
      <c r="BZ16" s="380">
        <v>49</v>
      </c>
      <c r="CA16" s="569">
        <f t="shared" si="13"/>
        <v>42228.2</v>
      </c>
      <c r="CD16" s="762"/>
      <c r="CE16" s="15">
        <v>9</v>
      </c>
      <c r="CF16" s="279">
        <v>884</v>
      </c>
      <c r="CG16" s="994">
        <v>44691</v>
      </c>
      <c r="CH16" s="279">
        <v>884</v>
      </c>
      <c r="CI16" s="814" t="s">
        <v>439</v>
      </c>
      <c r="CJ16" s="692">
        <v>49</v>
      </c>
      <c r="CK16" s="569">
        <f t="shared" si="14"/>
        <v>43316</v>
      </c>
      <c r="CN16" s="94"/>
      <c r="CO16" s="15">
        <v>9</v>
      </c>
      <c r="CP16" s="92">
        <v>916.71</v>
      </c>
      <c r="CQ16" s="378">
        <v>44690</v>
      </c>
      <c r="CR16" s="92">
        <v>916.71</v>
      </c>
      <c r="CS16" s="381" t="s">
        <v>425</v>
      </c>
      <c r="CT16" s="380">
        <v>49</v>
      </c>
      <c r="CU16" s="575">
        <f t="shared" si="48"/>
        <v>44918.79</v>
      </c>
      <c r="CX16" s="106"/>
      <c r="CY16" s="15">
        <v>9</v>
      </c>
      <c r="CZ16" s="92">
        <v>893.6</v>
      </c>
      <c r="DA16" s="324">
        <v>44692</v>
      </c>
      <c r="DB16" s="92">
        <v>893.6</v>
      </c>
      <c r="DC16" s="95" t="s">
        <v>458</v>
      </c>
      <c r="DD16" s="71">
        <v>49</v>
      </c>
      <c r="DE16" s="569">
        <f t="shared" si="15"/>
        <v>43786.400000000001</v>
      </c>
      <c r="DH16" s="106"/>
      <c r="DI16" s="15">
        <v>9</v>
      </c>
      <c r="DJ16" s="279">
        <v>932.6</v>
      </c>
      <c r="DK16" s="378">
        <v>44691</v>
      </c>
      <c r="DL16" s="92">
        <v>932.6</v>
      </c>
      <c r="DM16" s="381" t="s">
        <v>441</v>
      </c>
      <c r="DN16" s="380">
        <v>49</v>
      </c>
      <c r="DO16" s="575">
        <f t="shared" si="16"/>
        <v>45697.4</v>
      </c>
      <c r="DR16" s="106"/>
      <c r="DS16" s="15">
        <v>9</v>
      </c>
      <c r="DT16" s="92">
        <v>867.3</v>
      </c>
      <c r="DU16" s="378">
        <v>44691</v>
      </c>
      <c r="DV16" s="92">
        <v>867.3</v>
      </c>
      <c r="DW16" s="381" t="s">
        <v>437</v>
      </c>
      <c r="DX16" s="380">
        <v>59</v>
      </c>
      <c r="DY16" s="569">
        <f t="shared" si="17"/>
        <v>51170.7</v>
      </c>
      <c r="EB16" s="106"/>
      <c r="EC16" s="15">
        <v>9</v>
      </c>
      <c r="ED16" s="69">
        <v>904.46</v>
      </c>
      <c r="EE16" s="336">
        <v>44693</v>
      </c>
      <c r="EF16" s="92">
        <v>904.46</v>
      </c>
      <c r="EG16" s="70" t="s">
        <v>465</v>
      </c>
      <c r="EH16" s="71">
        <v>49</v>
      </c>
      <c r="EI16" s="569">
        <f t="shared" si="18"/>
        <v>44318.54</v>
      </c>
      <c r="EL16" s="425"/>
      <c r="EM16" s="15">
        <v>9</v>
      </c>
      <c r="EN16" s="279">
        <v>918.52</v>
      </c>
      <c r="EO16" s="328">
        <v>44693</v>
      </c>
      <c r="EP16" s="279">
        <v>918.52</v>
      </c>
      <c r="EQ16" s="265" t="s">
        <v>470</v>
      </c>
      <c r="ER16" s="266">
        <v>49</v>
      </c>
      <c r="ES16" s="569">
        <f t="shared" si="19"/>
        <v>45007.479999999996</v>
      </c>
      <c r="EV16" s="106"/>
      <c r="EW16" s="15">
        <v>9</v>
      </c>
      <c r="EX16" s="264">
        <v>973.4</v>
      </c>
      <c r="EY16" s="495">
        <v>44695</v>
      </c>
      <c r="EZ16" s="264">
        <v>973.4</v>
      </c>
      <c r="FA16" s="265" t="s">
        <v>479</v>
      </c>
      <c r="FB16" s="266">
        <v>49</v>
      </c>
      <c r="FC16" s="322">
        <f t="shared" si="20"/>
        <v>47696.6</v>
      </c>
      <c r="FF16" s="425"/>
      <c r="FG16" s="15">
        <v>9</v>
      </c>
      <c r="FH16" s="279">
        <v>924</v>
      </c>
      <c r="FI16" s="328">
        <v>44694</v>
      </c>
      <c r="FJ16" s="279">
        <v>924</v>
      </c>
      <c r="FK16" s="265" t="s">
        <v>486</v>
      </c>
      <c r="FL16" s="266">
        <v>49</v>
      </c>
      <c r="FM16" s="569">
        <f t="shared" si="21"/>
        <v>45276</v>
      </c>
      <c r="FP16" s="106"/>
      <c r="FQ16" s="15">
        <v>9</v>
      </c>
      <c r="FR16" s="92">
        <v>925.3</v>
      </c>
      <c r="FS16" s="324">
        <v>44695</v>
      </c>
      <c r="FT16" s="92">
        <v>925.3</v>
      </c>
      <c r="FU16" s="70" t="s">
        <v>500</v>
      </c>
      <c r="FV16" s="71">
        <v>49</v>
      </c>
      <c r="FW16" s="569">
        <f t="shared" si="22"/>
        <v>45339.7</v>
      </c>
      <c r="FZ16" s="106"/>
      <c r="GA16" s="15">
        <v>9</v>
      </c>
      <c r="GB16" s="69">
        <v>869.1</v>
      </c>
      <c r="GC16" s="495">
        <v>44698</v>
      </c>
      <c r="GD16" s="69">
        <v>869.1</v>
      </c>
      <c r="GE16" s="265" t="s">
        <v>518</v>
      </c>
      <c r="GF16" s="266">
        <v>49</v>
      </c>
      <c r="GG16" s="322">
        <f t="shared" si="23"/>
        <v>42585.9</v>
      </c>
      <c r="GJ16" s="106"/>
      <c r="GK16" s="15">
        <v>9</v>
      </c>
      <c r="GL16" s="473">
        <v>935.3</v>
      </c>
      <c r="GM16" s="324">
        <v>44699</v>
      </c>
      <c r="GN16" s="473">
        <v>935.3</v>
      </c>
      <c r="GO16" s="95" t="s">
        <v>521</v>
      </c>
      <c r="GP16" s="71">
        <v>43</v>
      </c>
      <c r="GQ16" s="569">
        <f t="shared" si="24"/>
        <v>40217.9</v>
      </c>
      <c r="GT16" s="106"/>
      <c r="GU16" s="15">
        <v>9</v>
      </c>
      <c r="GV16" s="279">
        <v>906.3</v>
      </c>
      <c r="GW16" s="328">
        <v>44700</v>
      </c>
      <c r="GX16" s="279">
        <v>906.3</v>
      </c>
      <c r="GY16" s="319" t="s">
        <v>532</v>
      </c>
      <c r="GZ16" s="266">
        <v>43</v>
      </c>
      <c r="HA16" s="569">
        <f t="shared" si="25"/>
        <v>38970.9</v>
      </c>
      <c r="HD16" s="106"/>
      <c r="HE16" s="15">
        <v>9</v>
      </c>
      <c r="HF16" s="279">
        <v>890.95</v>
      </c>
      <c r="HG16" s="328">
        <v>44700</v>
      </c>
      <c r="HH16" s="279">
        <v>890.95</v>
      </c>
      <c r="HI16" s="319" t="s">
        <v>537</v>
      </c>
      <c r="HJ16" s="266">
        <v>43</v>
      </c>
      <c r="HK16" s="569">
        <f t="shared" si="26"/>
        <v>38310.85</v>
      </c>
      <c r="HN16" s="106"/>
      <c r="HO16" s="15">
        <v>9</v>
      </c>
      <c r="HP16" s="279">
        <v>925.32</v>
      </c>
      <c r="HQ16" s="328">
        <v>44700</v>
      </c>
      <c r="HR16" s="279">
        <v>925.32</v>
      </c>
      <c r="HS16" s="383" t="s">
        <v>495</v>
      </c>
      <c r="HT16" s="266">
        <v>43</v>
      </c>
      <c r="HU16" s="569">
        <f t="shared" si="27"/>
        <v>39788.76</v>
      </c>
      <c r="HX16" s="94"/>
      <c r="HY16" s="15">
        <v>9</v>
      </c>
      <c r="HZ16" s="69">
        <v>890.8</v>
      </c>
      <c r="IA16" s="336">
        <v>44702</v>
      </c>
      <c r="IB16" s="69">
        <v>890.8</v>
      </c>
      <c r="IC16" s="70" t="s">
        <v>553</v>
      </c>
      <c r="ID16" s="71">
        <v>45</v>
      </c>
      <c r="IE16" s="569">
        <f t="shared" si="5"/>
        <v>40086</v>
      </c>
      <c r="IH16" s="94"/>
      <c r="II16" s="15">
        <v>9</v>
      </c>
      <c r="IJ16" s="69">
        <v>949.82</v>
      </c>
      <c r="IK16" s="336">
        <v>44701</v>
      </c>
      <c r="IL16" s="69">
        <v>949.82</v>
      </c>
      <c r="IM16" s="70" t="s">
        <v>534</v>
      </c>
      <c r="IN16" s="71">
        <v>43</v>
      </c>
      <c r="IO16" s="569">
        <f t="shared" si="28"/>
        <v>40842.26</v>
      </c>
      <c r="IR16" s="106"/>
      <c r="IS16" s="15">
        <v>9</v>
      </c>
      <c r="IT16" s="279">
        <v>896.3</v>
      </c>
      <c r="IU16" s="245"/>
      <c r="IV16" s="279"/>
      <c r="IW16" s="501"/>
      <c r="IX16" s="266"/>
      <c r="IY16" s="322">
        <f t="shared" si="29"/>
        <v>0</v>
      </c>
      <c r="IZ16" s="92"/>
      <c r="JA16" s="69"/>
      <c r="JB16" s="106"/>
      <c r="JC16" s="15">
        <v>9</v>
      </c>
      <c r="JD16" s="92">
        <v>885.4</v>
      </c>
      <c r="JE16" s="336"/>
      <c r="JF16" s="279"/>
      <c r="JG16" s="265"/>
      <c r="JH16" s="71"/>
      <c r="JI16" s="569">
        <f t="shared" si="30"/>
        <v>0</v>
      </c>
      <c r="JJ16" s="69"/>
      <c r="JL16" s="106"/>
      <c r="JM16" s="15">
        <v>9</v>
      </c>
      <c r="JN16" s="92">
        <v>932.6</v>
      </c>
      <c r="JO16" s="324"/>
      <c r="JP16" s="92"/>
      <c r="JQ16" s="70"/>
      <c r="JR16" s="71"/>
      <c r="JS16" s="569">
        <f t="shared" si="31"/>
        <v>0</v>
      </c>
      <c r="JV16" s="106"/>
      <c r="JW16" s="15">
        <v>9</v>
      </c>
      <c r="JX16" s="69">
        <v>946.64</v>
      </c>
      <c r="JY16" s="336"/>
      <c r="JZ16" s="69"/>
      <c r="KA16" s="70"/>
      <c r="KB16" s="71"/>
      <c r="KC16" s="569">
        <f t="shared" si="32"/>
        <v>0</v>
      </c>
      <c r="KE16" s="242"/>
      <c r="KF16" s="947"/>
      <c r="KG16" s="15">
        <v>9</v>
      </c>
      <c r="KH16" s="69">
        <v>942.11</v>
      </c>
      <c r="KI16" s="336"/>
      <c r="KJ16" s="69"/>
      <c r="KK16" s="70"/>
      <c r="KL16" s="71"/>
      <c r="KM16" s="569">
        <f t="shared" si="33"/>
        <v>0</v>
      </c>
      <c r="KP16" s="106"/>
      <c r="KQ16" s="15">
        <v>9</v>
      </c>
      <c r="KR16" s="69">
        <v>883.6</v>
      </c>
      <c r="KS16" s="336"/>
      <c r="KT16" s="69"/>
      <c r="KU16" s="70"/>
      <c r="KV16" s="71"/>
      <c r="KW16" s="569">
        <f t="shared" si="34"/>
        <v>0</v>
      </c>
      <c r="KZ16" s="106"/>
      <c r="LA16" s="15">
        <v>9</v>
      </c>
      <c r="LB16" s="92">
        <v>893.6</v>
      </c>
      <c r="LC16" s="324"/>
      <c r="LD16" s="92"/>
      <c r="LE16" s="95"/>
      <c r="LF16" s="71"/>
      <c r="LG16" s="569">
        <f t="shared" si="35"/>
        <v>0</v>
      </c>
      <c r="LJ16" s="106"/>
      <c r="LK16" s="15">
        <v>9</v>
      </c>
      <c r="LL16" s="92">
        <v>916.25</v>
      </c>
      <c r="LM16" s="324"/>
      <c r="LN16" s="92"/>
      <c r="LO16" s="95"/>
      <c r="LP16" s="71"/>
      <c r="LQ16" s="569">
        <f t="shared" si="36"/>
        <v>0</v>
      </c>
      <c r="LT16" s="106"/>
      <c r="LU16" s="15">
        <v>9</v>
      </c>
      <c r="LV16" s="92"/>
      <c r="LW16" s="324"/>
      <c r="LX16" s="92"/>
      <c r="LY16" s="95"/>
      <c r="LZ16" s="71"/>
      <c r="MA16" s="569">
        <f t="shared" si="37"/>
        <v>0</v>
      </c>
      <c r="MB16" s="569"/>
      <c r="MD16" s="106"/>
      <c r="ME16" s="15">
        <v>9</v>
      </c>
      <c r="MF16" s="389"/>
      <c r="MG16" s="324"/>
      <c r="MH16" s="991"/>
      <c r="MI16" s="319"/>
      <c r="MJ16" s="71"/>
      <c r="MK16" s="71">
        <f t="shared" si="38"/>
        <v>0</v>
      </c>
      <c r="MN16" s="106"/>
      <c r="MO16" s="15">
        <v>9</v>
      </c>
      <c r="MP16" s="92"/>
      <c r="MQ16" s="324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24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24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24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24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24"/>
      <c r="OP16" s="92"/>
      <c r="OQ16" s="95"/>
      <c r="OR16" s="71"/>
      <c r="OS16" s="71">
        <f t="shared" si="44"/>
        <v>0</v>
      </c>
      <c r="OV16" s="106"/>
      <c r="OW16" s="15">
        <v>9</v>
      </c>
      <c r="OX16" s="279"/>
      <c r="OY16" s="328"/>
      <c r="OZ16" s="279"/>
      <c r="PA16" s="319"/>
      <c r="PB16" s="266"/>
      <c r="PC16" s="266">
        <f t="shared" si="45"/>
        <v>0</v>
      </c>
      <c r="PF16" s="94"/>
      <c r="PG16" s="15">
        <v>9</v>
      </c>
      <c r="PH16" s="92"/>
      <c r="PI16" s="324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24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324"/>
      <c r="QL16" s="92"/>
      <c r="QM16" s="95"/>
      <c r="QN16" s="71"/>
      <c r="QQ16" s="106"/>
      <c r="QR16" s="15">
        <v>9</v>
      </c>
      <c r="QS16" s="92"/>
      <c r="QT16" s="324"/>
      <c r="QU16" s="92"/>
      <c r="QV16" s="95"/>
      <c r="QW16" s="71"/>
      <c r="QZ16" s="106"/>
      <c r="RA16" s="15">
        <v>9</v>
      </c>
      <c r="RB16" s="92"/>
      <c r="RC16" s="324"/>
      <c r="RD16" s="92"/>
      <c r="RE16" s="95"/>
      <c r="RF16" s="71"/>
      <c r="RI16" s="106"/>
      <c r="RJ16" s="15">
        <v>9</v>
      </c>
      <c r="RK16" s="92"/>
      <c r="RL16" s="324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88"/>
      <c r="TF16" s="179"/>
      <c r="TG16" s="381"/>
      <c r="TH16" s="380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TYSON FRESH MEAT</v>
      </c>
      <c r="C17" s="75" t="str">
        <f t="shared" ref="C17:I17" si="55">EL5</f>
        <v xml:space="preserve">I B P </v>
      </c>
      <c r="D17" s="102" t="str">
        <f t="shared" si="55"/>
        <v>PED. 81951208</v>
      </c>
      <c r="E17" s="135">
        <f t="shared" si="55"/>
        <v>44693</v>
      </c>
      <c r="F17" s="86">
        <f t="shared" si="55"/>
        <v>18333.689999999999</v>
      </c>
      <c r="G17" s="73">
        <f t="shared" si="55"/>
        <v>20</v>
      </c>
      <c r="H17" s="48">
        <f t="shared" si="55"/>
        <v>18354.080000000002</v>
      </c>
      <c r="I17" s="105">
        <f t="shared" si="55"/>
        <v>-20.390000000003056</v>
      </c>
      <c r="K17" s="242"/>
      <c r="L17" s="106"/>
      <c r="M17" s="15">
        <v>10</v>
      </c>
      <c r="N17" s="69">
        <v>893.6</v>
      </c>
      <c r="O17" s="336">
        <v>44684</v>
      </c>
      <c r="P17" s="69">
        <v>893.6</v>
      </c>
      <c r="Q17" s="70" t="s">
        <v>376</v>
      </c>
      <c r="R17" s="71">
        <v>47</v>
      </c>
      <c r="S17" s="569">
        <f t="shared" si="7"/>
        <v>41999.200000000004</v>
      </c>
      <c r="T17" s="242"/>
      <c r="V17" s="106"/>
      <c r="W17" s="15">
        <v>10</v>
      </c>
      <c r="X17" s="69">
        <v>874.5</v>
      </c>
      <c r="Y17" s="336">
        <v>44684</v>
      </c>
      <c r="Z17" s="69">
        <v>874.5</v>
      </c>
      <c r="AA17" s="70" t="s">
        <v>365</v>
      </c>
      <c r="AB17" s="71">
        <v>47</v>
      </c>
      <c r="AC17" s="569">
        <f t="shared" si="8"/>
        <v>41101.5</v>
      </c>
      <c r="AF17" s="106"/>
      <c r="AG17" s="15">
        <v>10</v>
      </c>
      <c r="AH17" s="92">
        <v>913.53</v>
      </c>
      <c r="AI17" s="324">
        <v>44685</v>
      </c>
      <c r="AJ17" s="92">
        <v>913.53</v>
      </c>
      <c r="AK17" s="95" t="s">
        <v>384</v>
      </c>
      <c r="AL17" s="71">
        <v>47</v>
      </c>
      <c r="AM17" s="569">
        <f t="shared" si="9"/>
        <v>42935.909999999996</v>
      </c>
      <c r="AP17" s="106"/>
      <c r="AQ17" s="15">
        <v>10</v>
      </c>
      <c r="AR17" s="92">
        <v>921.69</v>
      </c>
      <c r="AS17" s="324">
        <v>44686</v>
      </c>
      <c r="AT17" s="92">
        <v>921.69</v>
      </c>
      <c r="AU17" s="95" t="s">
        <v>392</v>
      </c>
      <c r="AV17" s="71">
        <v>47</v>
      </c>
      <c r="AW17" s="569">
        <f t="shared" si="10"/>
        <v>43319.43</v>
      </c>
      <c r="AZ17" s="106"/>
      <c r="BA17" s="15">
        <v>10</v>
      </c>
      <c r="BB17" s="69">
        <v>904</v>
      </c>
      <c r="BC17" s="324">
        <v>44688</v>
      </c>
      <c r="BD17" s="69">
        <v>904</v>
      </c>
      <c r="BE17" s="95" t="s">
        <v>415</v>
      </c>
      <c r="BF17" s="71">
        <v>49</v>
      </c>
      <c r="BG17" s="569">
        <f t="shared" si="11"/>
        <v>44296</v>
      </c>
      <c r="BJ17" s="106"/>
      <c r="BK17" s="15">
        <v>10</v>
      </c>
      <c r="BL17" s="279">
        <v>909.4</v>
      </c>
      <c r="BM17" s="245">
        <v>44688</v>
      </c>
      <c r="BN17" s="279">
        <v>909.4</v>
      </c>
      <c r="BO17" s="319" t="s">
        <v>406</v>
      </c>
      <c r="BP17" s="813">
        <v>49</v>
      </c>
      <c r="BQ17" s="737">
        <f t="shared" si="12"/>
        <v>44560.6</v>
      </c>
      <c r="BT17" s="106"/>
      <c r="BU17" s="263">
        <v>10</v>
      </c>
      <c r="BV17" s="264">
        <v>875.4</v>
      </c>
      <c r="BW17" s="378">
        <v>44688</v>
      </c>
      <c r="BX17" s="279">
        <v>875.4</v>
      </c>
      <c r="BY17" s="379" t="s">
        <v>420</v>
      </c>
      <c r="BZ17" s="380">
        <v>49</v>
      </c>
      <c r="CA17" s="569">
        <f t="shared" si="13"/>
        <v>42894.6</v>
      </c>
      <c r="CD17" s="762"/>
      <c r="CE17" s="15">
        <v>10</v>
      </c>
      <c r="CF17" s="279">
        <v>875.9</v>
      </c>
      <c r="CG17" s="994">
        <v>44690</v>
      </c>
      <c r="CH17" s="279">
        <v>875.9</v>
      </c>
      <c r="CI17" s="814" t="s">
        <v>431</v>
      </c>
      <c r="CJ17" s="692">
        <v>49</v>
      </c>
      <c r="CK17" s="569">
        <f t="shared" si="14"/>
        <v>42919.1</v>
      </c>
      <c r="CN17" s="94"/>
      <c r="CO17" s="15">
        <v>10</v>
      </c>
      <c r="CP17" s="92">
        <v>936.66</v>
      </c>
      <c r="CQ17" s="378">
        <v>44690</v>
      </c>
      <c r="CR17" s="92">
        <v>936.66</v>
      </c>
      <c r="CS17" s="381" t="s">
        <v>427</v>
      </c>
      <c r="CT17" s="380">
        <v>49</v>
      </c>
      <c r="CU17" s="575">
        <f t="shared" si="48"/>
        <v>45896.34</v>
      </c>
      <c r="CX17" s="106"/>
      <c r="CY17" s="15">
        <v>10</v>
      </c>
      <c r="CZ17" s="92">
        <v>883.6</v>
      </c>
      <c r="DA17" s="324">
        <v>44692</v>
      </c>
      <c r="DB17" s="92">
        <v>883.6</v>
      </c>
      <c r="DC17" s="95" t="s">
        <v>454</v>
      </c>
      <c r="DD17" s="71">
        <v>49</v>
      </c>
      <c r="DE17" s="569">
        <f t="shared" si="15"/>
        <v>43296.4</v>
      </c>
      <c r="DH17" s="106"/>
      <c r="DI17" s="15">
        <v>10</v>
      </c>
      <c r="DJ17" s="264">
        <v>889</v>
      </c>
      <c r="DK17" s="378">
        <v>44691</v>
      </c>
      <c r="DL17" s="92">
        <v>889</v>
      </c>
      <c r="DM17" s="381" t="s">
        <v>445</v>
      </c>
      <c r="DN17" s="380">
        <v>49</v>
      </c>
      <c r="DO17" s="575">
        <f t="shared" si="16"/>
        <v>43561</v>
      </c>
      <c r="DR17" s="106"/>
      <c r="DS17" s="15">
        <v>10</v>
      </c>
      <c r="DT17" s="69">
        <v>922.6</v>
      </c>
      <c r="DU17" s="378">
        <v>44691</v>
      </c>
      <c r="DV17" s="69">
        <v>922.6</v>
      </c>
      <c r="DW17" s="381" t="s">
        <v>437</v>
      </c>
      <c r="DX17" s="380">
        <v>59</v>
      </c>
      <c r="DY17" s="569">
        <f t="shared" si="17"/>
        <v>54433.4</v>
      </c>
      <c r="EB17" s="106"/>
      <c r="EC17" s="15">
        <v>10</v>
      </c>
      <c r="ED17" s="69">
        <v>936.66</v>
      </c>
      <c r="EE17" s="336">
        <v>44693</v>
      </c>
      <c r="EF17" s="69">
        <v>936.66</v>
      </c>
      <c r="EG17" s="70" t="s">
        <v>465</v>
      </c>
      <c r="EH17" s="71">
        <v>49</v>
      </c>
      <c r="EI17" s="569">
        <f t="shared" si="18"/>
        <v>45896.34</v>
      </c>
      <c r="EL17" s="106"/>
      <c r="EM17" s="15">
        <v>10</v>
      </c>
      <c r="EN17" s="279">
        <v>899.47</v>
      </c>
      <c r="EO17" s="328">
        <v>44693</v>
      </c>
      <c r="EP17" s="279">
        <v>899.47</v>
      </c>
      <c r="EQ17" s="265" t="s">
        <v>470</v>
      </c>
      <c r="ER17" s="266">
        <v>49</v>
      </c>
      <c r="ES17" s="569">
        <f t="shared" si="19"/>
        <v>44074.03</v>
      </c>
      <c r="EV17" s="106"/>
      <c r="EW17" s="15">
        <v>10</v>
      </c>
      <c r="EX17" s="264">
        <v>973.4</v>
      </c>
      <c r="EY17" s="495">
        <v>44694</v>
      </c>
      <c r="EZ17" s="264">
        <v>973.4</v>
      </c>
      <c r="FA17" s="265" t="s">
        <v>490</v>
      </c>
      <c r="FB17" s="266">
        <v>49</v>
      </c>
      <c r="FC17" s="322">
        <f t="shared" si="20"/>
        <v>47696.6</v>
      </c>
      <c r="FF17" s="106"/>
      <c r="FG17" s="15">
        <v>10</v>
      </c>
      <c r="FH17" s="279">
        <v>951</v>
      </c>
      <c r="FI17" s="328">
        <v>44694</v>
      </c>
      <c r="FJ17" s="279">
        <v>951</v>
      </c>
      <c r="FK17" s="265" t="s">
        <v>486</v>
      </c>
      <c r="FL17" s="266">
        <v>49</v>
      </c>
      <c r="FM17" s="569">
        <f t="shared" si="21"/>
        <v>46599</v>
      </c>
      <c r="FP17" s="106"/>
      <c r="FQ17" s="15">
        <v>10</v>
      </c>
      <c r="FR17" s="92">
        <v>886.3</v>
      </c>
      <c r="FS17" s="324">
        <v>44695</v>
      </c>
      <c r="FT17" s="92">
        <v>886.3</v>
      </c>
      <c r="FU17" s="70" t="s">
        <v>500</v>
      </c>
      <c r="FV17" s="71">
        <v>49</v>
      </c>
      <c r="FW17" s="569">
        <f t="shared" si="22"/>
        <v>43428.7</v>
      </c>
      <c r="FZ17" s="106"/>
      <c r="GA17" s="15">
        <v>10</v>
      </c>
      <c r="GB17" s="69">
        <v>933.5</v>
      </c>
      <c r="GC17" s="495">
        <v>44698</v>
      </c>
      <c r="GD17" s="69">
        <v>933.5</v>
      </c>
      <c r="GE17" s="265" t="s">
        <v>518</v>
      </c>
      <c r="GF17" s="266">
        <v>49</v>
      </c>
      <c r="GG17" s="322">
        <f t="shared" si="23"/>
        <v>45741.5</v>
      </c>
      <c r="GJ17" s="106"/>
      <c r="GK17" s="15">
        <v>10</v>
      </c>
      <c r="GL17" s="473">
        <v>905.4</v>
      </c>
      <c r="GM17" s="324">
        <v>44699</v>
      </c>
      <c r="GN17" s="473">
        <v>905.4</v>
      </c>
      <c r="GO17" s="95" t="s">
        <v>521</v>
      </c>
      <c r="GP17" s="71">
        <v>43</v>
      </c>
      <c r="GQ17" s="569">
        <f t="shared" si="24"/>
        <v>38932.199999999997</v>
      </c>
      <c r="GT17" s="106"/>
      <c r="GU17" s="15">
        <v>10</v>
      </c>
      <c r="GV17" s="279">
        <v>902.6</v>
      </c>
      <c r="GW17" s="328">
        <v>44700</v>
      </c>
      <c r="GX17" s="279">
        <v>902.6</v>
      </c>
      <c r="GY17" s="319" t="s">
        <v>532</v>
      </c>
      <c r="GZ17" s="266">
        <v>43</v>
      </c>
      <c r="HA17" s="569">
        <f t="shared" si="25"/>
        <v>38811.800000000003</v>
      </c>
      <c r="HD17" s="106"/>
      <c r="HE17" s="15">
        <v>10</v>
      </c>
      <c r="HF17" s="279">
        <v>944.37</v>
      </c>
      <c r="HG17" s="328">
        <v>44700</v>
      </c>
      <c r="HH17" s="279">
        <v>944.37</v>
      </c>
      <c r="HI17" s="319" t="s">
        <v>536</v>
      </c>
      <c r="HJ17" s="266">
        <v>43</v>
      </c>
      <c r="HK17" s="569">
        <f t="shared" si="26"/>
        <v>40607.910000000003</v>
      </c>
      <c r="HN17" s="106"/>
      <c r="HO17" s="15">
        <v>10</v>
      </c>
      <c r="HP17" s="279">
        <v>933.49</v>
      </c>
      <c r="HQ17" s="328">
        <v>44700</v>
      </c>
      <c r="HR17" s="279">
        <v>933.49</v>
      </c>
      <c r="HS17" s="383" t="s">
        <v>495</v>
      </c>
      <c r="HT17" s="266">
        <v>43</v>
      </c>
      <c r="HU17" s="569">
        <f t="shared" si="27"/>
        <v>40140.07</v>
      </c>
      <c r="HX17" s="94"/>
      <c r="HY17" s="15">
        <v>10</v>
      </c>
      <c r="HZ17" s="69">
        <v>864.5</v>
      </c>
      <c r="IA17" s="336">
        <v>44702</v>
      </c>
      <c r="IB17" s="69">
        <v>864.5</v>
      </c>
      <c r="IC17" s="70" t="s">
        <v>550</v>
      </c>
      <c r="ID17" s="71">
        <v>45</v>
      </c>
      <c r="IE17" s="569">
        <f t="shared" si="5"/>
        <v>38902.5</v>
      </c>
      <c r="IH17" s="94"/>
      <c r="II17" s="15">
        <v>10</v>
      </c>
      <c r="IJ17" s="69">
        <v>919.88</v>
      </c>
      <c r="IK17" s="336">
        <v>44701</v>
      </c>
      <c r="IL17" s="69">
        <v>919.88</v>
      </c>
      <c r="IM17" s="70" t="s">
        <v>534</v>
      </c>
      <c r="IN17" s="71">
        <v>43</v>
      </c>
      <c r="IO17" s="569">
        <f t="shared" si="28"/>
        <v>39554.839999999997</v>
      </c>
      <c r="IR17" s="106"/>
      <c r="IS17" s="15">
        <v>10</v>
      </c>
      <c r="IT17" s="279">
        <v>919</v>
      </c>
      <c r="IU17" s="245"/>
      <c r="IV17" s="279"/>
      <c r="IW17" s="501"/>
      <c r="IX17" s="266"/>
      <c r="IY17" s="322">
        <f t="shared" si="29"/>
        <v>0</v>
      </c>
      <c r="IZ17" s="92"/>
      <c r="JA17" s="69"/>
      <c r="JB17" s="106"/>
      <c r="JC17" s="15">
        <v>10</v>
      </c>
      <c r="JD17" s="92">
        <v>899.9</v>
      </c>
      <c r="JE17" s="336"/>
      <c r="JF17" s="279"/>
      <c r="JG17" s="265"/>
      <c r="JH17" s="71"/>
      <c r="JI17" s="569">
        <f t="shared" si="30"/>
        <v>0</v>
      </c>
      <c r="JJ17" s="69"/>
      <c r="JL17" s="106"/>
      <c r="JM17" s="15">
        <v>10</v>
      </c>
      <c r="JN17" s="92">
        <v>919.9</v>
      </c>
      <c r="JO17" s="324"/>
      <c r="JP17" s="92"/>
      <c r="JQ17" s="70"/>
      <c r="JR17" s="71"/>
      <c r="JS17" s="569">
        <f t="shared" si="31"/>
        <v>0</v>
      </c>
      <c r="JV17" s="106"/>
      <c r="JW17" s="15">
        <v>10</v>
      </c>
      <c r="JX17" s="69">
        <v>918.97</v>
      </c>
      <c r="JY17" s="336"/>
      <c r="JZ17" s="69"/>
      <c r="KA17" s="70"/>
      <c r="KB17" s="71"/>
      <c r="KC17" s="569">
        <f t="shared" si="32"/>
        <v>0</v>
      </c>
      <c r="KE17" s="242"/>
      <c r="KF17" s="947"/>
      <c r="KG17" s="15">
        <v>10</v>
      </c>
      <c r="KH17" s="69">
        <v>971.59</v>
      </c>
      <c r="KI17" s="336"/>
      <c r="KJ17" s="69"/>
      <c r="KK17" s="70"/>
      <c r="KL17" s="71"/>
      <c r="KM17" s="569">
        <f t="shared" si="33"/>
        <v>0</v>
      </c>
      <c r="KP17" s="106"/>
      <c r="KQ17" s="15">
        <v>10</v>
      </c>
      <c r="KR17" s="69">
        <v>918.1</v>
      </c>
      <c r="KS17" s="336"/>
      <c r="KT17" s="69"/>
      <c r="KU17" s="70"/>
      <c r="KV17" s="71"/>
      <c r="KW17" s="569">
        <f t="shared" si="34"/>
        <v>0</v>
      </c>
      <c r="KZ17" s="106"/>
      <c r="LA17" s="15">
        <v>10</v>
      </c>
      <c r="LB17" s="92">
        <v>892.7</v>
      </c>
      <c r="LC17" s="324"/>
      <c r="LD17" s="92"/>
      <c r="LE17" s="95"/>
      <c r="LF17" s="71"/>
      <c r="LG17" s="569">
        <f t="shared" si="35"/>
        <v>0</v>
      </c>
      <c r="LJ17" s="106"/>
      <c r="LK17" s="15">
        <v>10</v>
      </c>
      <c r="LL17" s="92">
        <v>927.59</v>
      </c>
      <c r="LM17" s="324"/>
      <c r="LN17" s="92"/>
      <c r="LO17" s="95"/>
      <c r="LP17" s="71"/>
      <c r="LQ17" s="569">
        <f t="shared" si="36"/>
        <v>0</v>
      </c>
      <c r="LT17" s="106"/>
      <c r="LU17" s="15">
        <v>10</v>
      </c>
      <c r="LV17" s="69"/>
      <c r="LW17" s="324"/>
      <c r="LX17" s="69"/>
      <c r="LY17" s="95"/>
      <c r="LZ17" s="71"/>
      <c r="MA17" s="569">
        <f t="shared" si="37"/>
        <v>0</v>
      </c>
      <c r="MB17" s="569"/>
      <c r="MD17" s="106"/>
      <c r="ME17" s="15">
        <v>10</v>
      </c>
      <c r="MF17" s="389"/>
      <c r="MG17" s="324"/>
      <c r="MH17" s="991"/>
      <c r="MI17" s="319"/>
      <c r="MJ17" s="71"/>
      <c r="MK17" s="71">
        <f t="shared" si="38"/>
        <v>0</v>
      </c>
      <c r="MN17" s="106"/>
      <c r="MO17" s="15">
        <v>10</v>
      </c>
      <c r="MP17" s="69"/>
      <c r="MQ17" s="324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24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24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24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24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24"/>
      <c r="OP17" s="69"/>
      <c r="OQ17" s="95"/>
      <c r="OR17" s="71"/>
      <c r="OS17" s="71">
        <f t="shared" si="44"/>
        <v>0</v>
      </c>
      <c r="OV17" s="106"/>
      <c r="OW17" s="15">
        <v>10</v>
      </c>
      <c r="OX17" s="264"/>
      <c r="OY17" s="328"/>
      <c r="OZ17" s="264"/>
      <c r="PA17" s="319"/>
      <c r="PB17" s="266"/>
      <c r="PC17" s="266">
        <f t="shared" si="45"/>
        <v>0</v>
      </c>
      <c r="PF17" s="94"/>
      <c r="PG17" s="15">
        <v>10</v>
      </c>
      <c r="PH17" s="92"/>
      <c r="PI17" s="324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24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324"/>
      <c r="QL17" s="92"/>
      <c r="QM17" s="95"/>
      <c r="QN17" s="71"/>
      <c r="QQ17" s="106"/>
      <c r="QR17" s="15">
        <v>10</v>
      </c>
      <c r="QS17" s="69"/>
      <c r="QT17" s="324"/>
      <c r="QU17" s="69"/>
      <c r="QV17" s="95"/>
      <c r="QW17" s="71"/>
      <c r="QZ17" s="106"/>
      <c r="RA17" s="15">
        <v>10</v>
      </c>
      <c r="RB17" s="69"/>
      <c r="RC17" s="324"/>
      <c r="RD17" s="69"/>
      <c r="RE17" s="95"/>
      <c r="RF17" s="71"/>
      <c r="RI17" s="106"/>
      <c r="RJ17" s="15">
        <v>10</v>
      </c>
      <c r="RK17" s="69"/>
      <c r="RL17" s="324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88"/>
      <c r="TF17" s="179"/>
      <c r="TG17" s="381"/>
      <c r="TH17" s="380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TYSON FRESH MEATS</v>
      </c>
      <c r="C18" s="75" t="str">
        <f t="shared" si="56"/>
        <v xml:space="preserve">I B P </v>
      </c>
      <c r="D18" s="102" t="str">
        <f t="shared" si="56"/>
        <v>PED. 819500332</v>
      </c>
      <c r="E18" s="135">
        <f t="shared" si="56"/>
        <v>44693</v>
      </c>
      <c r="F18" s="86">
        <f t="shared" si="56"/>
        <v>18562.439999999999</v>
      </c>
      <c r="G18" s="73">
        <f t="shared" si="56"/>
        <v>20</v>
      </c>
      <c r="H18" s="48">
        <f t="shared" si="56"/>
        <v>18680.169999999998</v>
      </c>
      <c r="I18" s="105">
        <f t="shared" si="56"/>
        <v>-117.72999999999956</v>
      </c>
      <c r="K18" s="242"/>
      <c r="L18" s="106"/>
      <c r="M18" s="15">
        <v>11</v>
      </c>
      <c r="N18" s="69">
        <v>896.3</v>
      </c>
      <c r="O18" s="336">
        <v>44685</v>
      </c>
      <c r="P18" s="69">
        <v>896.3</v>
      </c>
      <c r="Q18" s="70" t="s">
        <v>380</v>
      </c>
      <c r="R18" s="71">
        <v>47</v>
      </c>
      <c r="S18" s="569">
        <f t="shared" si="7"/>
        <v>42126.1</v>
      </c>
      <c r="T18" s="242"/>
      <c r="V18" s="106"/>
      <c r="W18" s="15">
        <v>11</v>
      </c>
      <c r="X18" s="69">
        <v>905.4</v>
      </c>
      <c r="Y18" s="336">
        <v>44684</v>
      </c>
      <c r="Z18" s="69">
        <v>905.4</v>
      </c>
      <c r="AA18" s="70" t="s">
        <v>362</v>
      </c>
      <c r="AB18" s="71">
        <v>47</v>
      </c>
      <c r="AC18" s="569">
        <f t="shared" si="8"/>
        <v>42553.799999999996</v>
      </c>
      <c r="AF18" s="106"/>
      <c r="AG18" s="15">
        <v>11</v>
      </c>
      <c r="AH18" s="92">
        <v>903.55</v>
      </c>
      <c r="AI18" s="324">
        <v>44686</v>
      </c>
      <c r="AJ18" s="92">
        <v>903.55</v>
      </c>
      <c r="AK18" s="95" t="s">
        <v>390</v>
      </c>
      <c r="AL18" s="71">
        <v>47</v>
      </c>
      <c r="AM18" s="569">
        <f t="shared" si="9"/>
        <v>42466.85</v>
      </c>
      <c r="AP18" s="106"/>
      <c r="AQ18" s="15">
        <v>11</v>
      </c>
      <c r="AR18" s="279">
        <v>931.2</v>
      </c>
      <c r="AS18" s="324">
        <v>44686</v>
      </c>
      <c r="AT18" s="279">
        <v>931.2</v>
      </c>
      <c r="AU18" s="95" t="s">
        <v>392</v>
      </c>
      <c r="AV18" s="71">
        <v>47</v>
      </c>
      <c r="AW18" s="569">
        <f t="shared" si="10"/>
        <v>43766.400000000001</v>
      </c>
      <c r="AZ18" s="106"/>
      <c r="BA18" s="15">
        <v>11</v>
      </c>
      <c r="BB18" s="92">
        <v>919.4</v>
      </c>
      <c r="BC18" s="324">
        <v>44688</v>
      </c>
      <c r="BD18" s="69">
        <v>919.4</v>
      </c>
      <c r="BE18" s="95" t="s">
        <v>415</v>
      </c>
      <c r="BF18" s="71">
        <v>49</v>
      </c>
      <c r="BG18" s="569">
        <f t="shared" si="11"/>
        <v>45050.6</v>
      </c>
      <c r="BJ18" s="106"/>
      <c r="BK18" s="15">
        <v>11</v>
      </c>
      <c r="BL18" s="279">
        <v>830.5</v>
      </c>
      <c r="BM18" s="245">
        <v>44688</v>
      </c>
      <c r="BN18" s="279">
        <v>830.5</v>
      </c>
      <c r="BO18" s="319" t="s">
        <v>406</v>
      </c>
      <c r="BP18" s="813">
        <v>49</v>
      </c>
      <c r="BQ18" s="737">
        <f t="shared" si="12"/>
        <v>40694.5</v>
      </c>
      <c r="BT18" s="106"/>
      <c r="BU18" s="263">
        <v>11</v>
      </c>
      <c r="BV18" s="279">
        <v>875.4</v>
      </c>
      <c r="BW18" s="378">
        <v>44688</v>
      </c>
      <c r="BX18" s="279">
        <v>875.4</v>
      </c>
      <c r="BY18" s="379" t="s">
        <v>418</v>
      </c>
      <c r="BZ18" s="380">
        <v>49</v>
      </c>
      <c r="CA18" s="569">
        <f t="shared" si="13"/>
        <v>42894.6</v>
      </c>
      <c r="CD18" s="762"/>
      <c r="CE18" s="15">
        <v>11</v>
      </c>
      <c r="CF18" s="264">
        <v>887.2</v>
      </c>
      <c r="CG18" s="994">
        <v>44690</v>
      </c>
      <c r="CH18" s="279">
        <v>887.2</v>
      </c>
      <c r="CI18" s="814" t="s">
        <v>431</v>
      </c>
      <c r="CJ18" s="692">
        <v>49</v>
      </c>
      <c r="CK18" s="569">
        <f t="shared" si="14"/>
        <v>43472.800000000003</v>
      </c>
      <c r="CN18" s="94"/>
      <c r="CO18" s="15">
        <v>11</v>
      </c>
      <c r="CP18" s="69">
        <v>879.06</v>
      </c>
      <c r="CQ18" s="378">
        <v>44690</v>
      </c>
      <c r="CR18" s="69">
        <v>879.06</v>
      </c>
      <c r="CS18" s="381" t="s">
        <v>423</v>
      </c>
      <c r="CT18" s="380">
        <v>49</v>
      </c>
      <c r="CU18" s="575">
        <f t="shared" si="48"/>
        <v>43073.939999999995</v>
      </c>
      <c r="CX18" s="106"/>
      <c r="CY18" s="15">
        <v>11</v>
      </c>
      <c r="CZ18" s="92">
        <v>910.8</v>
      </c>
      <c r="DA18" s="324">
        <v>44692</v>
      </c>
      <c r="DB18" s="92">
        <v>910.8</v>
      </c>
      <c r="DC18" s="95" t="s">
        <v>454</v>
      </c>
      <c r="DD18" s="71">
        <v>49</v>
      </c>
      <c r="DE18" s="569">
        <f t="shared" si="15"/>
        <v>44629.2</v>
      </c>
      <c r="DH18" s="106"/>
      <c r="DI18" s="15">
        <v>11</v>
      </c>
      <c r="DJ18" s="279">
        <v>890.9</v>
      </c>
      <c r="DK18" s="378">
        <v>44691</v>
      </c>
      <c r="DL18" s="92">
        <v>890.9</v>
      </c>
      <c r="DM18" s="381" t="s">
        <v>445</v>
      </c>
      <c r="DN18" s="380">
        <v>49</v>
      </c>
      <c r="DO18" s="575">
        <f t="shared" si="16"/>
        <v>43654.1</v>
      </c>
      <c r="DR18" s="106"/>
      <c r="DS18" s="15">
        <v>11</v>
      </c>
      <c r="DT18" s="92">
        <v>868.2</v>
      </c>
      <c r="DU18" s="378">
        <v>44691</v>
      </c>
      <c r="DV18" s="92">
        <v>868.2</v>
      </c>
      <c r="DW18" s="381" t="s">
        <v>436</v>
      </c>
      <c r="DX18" s="380">
        <v>59</v>
      </c>
      <c r="DY18" s="569">
        <f t="shared" si="17"/>
        <v>51223.8</v>
      </c>
      <c r="EB18" s="106"/>
      <c r="EC18" s="15">
        <v>11</v>
      </c>
      <c r="ED18" s="69">
        <v>919.43</v>
      </c>
      <c r="EE18" s="336">
        <v>44694</v>
      </c>
      <c r="EF18" s="69">
        <v>919.43</v>
      </c>
      <c r="EG18" s="70" t="s">
        <v>477</v>
      </c>
      <c r="EH18" s="71">
        <v>49</v>
      </c>
      <c r="EI18" s="569">
        <f t="shared" si="18"/>
        <v>45052.07</v>
      </c>
      <c r="EL18" s="106"/>
      <c r="EM18" s="15">
        <v>11</v>
      </c>
      <c r="EN18" s="279">
        <v>942.11</v>
      </c>
      <c r="EO18" s="328">
        <v>44694</v>
      </c>
      <c r="EP18" s="279">
        <v>942.11</v>
      </c>
      <c r="EQ18" s="265" t="s">
        <v>483</v>
      </c>
      <c r="ER18" s="266">
        <v>49</v>
      </c>
      <c r="ES18" s="569">
        <f t="shared" si="19"/>
        <v>46163.39</v>
      </c>
      <c r="EV18" s="106"/>
      <c r="EW18" s="15">
        <v>11</v>
      </c>
      <c r="EX18" s="264">
        <v>941.65</v>
      </c>
      <c r="EY18" s="495">
        <v>44694</v>
      </c>
      <c r="EZ18" s="264">
        <v>941.65</v>
      </c>
      <c r="FA18" s="265" t="s">
        <v>484</v>
      </c>
      <c r="FB18" s="266">
        <v>49</v>
      </c>
      <c r="FC18" s="322">
        <f t="shared" si="20"/>
        <v>46140.85</v>
      </c>
      <c r="FF18" s="106"/>
      <c r="FG18" s="15">
        <v>11</v>
      </c>
      <c r="FH18" s="279">
        <v>951</v>
      </c>
      <c r="FI18" s="328">
        <v>44694</v>
      </c>
      <c r="FJ18" s="279">
        <v>951</v>
      </c>
      <c r="FK18" s="265" t="s">
        <v>486</v>
      </c>
      <c r="FL18" s="266">
        <v>49</v>
      </c>
      <c r="FM18" s="569">
        <f t="shared" si="21"/>
        <v>46599</v>
      </c>
      <c r="FP18" s="106"/>
      <c r="FQ18" s="15">
        <v>11</v>
      </c>
      <c r="FR18" s="92">
        <v>888.1</v>
      </c>
      <c r="FS18" s="324">
        <v>44695</v>
      </c>
      <c r="FT18" s="92">
        <v>888.1</v>
      </c>
      <c r="FU18" s="70" t="s">
        <v>504</v>
      </c>
      <c r="FV18" s="71">
        <v>49</v>
      </c>
      <c r="FW18" s="569">
        <f t="shared" si="22"/>
        <v>43516.9</v>
      </c>
      <c r="FX18" s="71"/>
      <c r="FZ18" s="106"/>
      <c r="GA18" s="15">
        <v>11</v>
      </c>
      <c r="GB18" s="69">
        <v>880</v>
      </c>
      <c r="GC18" s="495">
        <v>44698</v>
      </c>
      <c r="GD18" s="69">
        <v>880</v>
      </c>
      <c r="GE18" s="265" t="s">
        <v>518</v>
      </c>
      <c r="GF18" s="266">
        <v>49</v>
      </c>
      <c r="GG18" s="322">
        <f t="shared" si="23"/>
        <v>43120</v>
      </c>
      <c r="GH18" s="71"/>
      <c r="GJ18" s="106"/>
      <c r="GK18" s="15">
        <v>11</v>
      </c>
      <c r="GL18" s="473">
        <v>861.8</v>
      </c>
      <c r="GM18" s="324">
        <v>44699</v>
      </c>
      <c r="GN18" s="473">
        <v>861.8</v>
      </c>
      <c r="GO18" s="95" t="s">
        <v>521</v>
      </c>
      <c r="GP18" s="71">
        <v>43</v>
      </c>
      <c r="GQ18" s="569">
        <f t="shared" si="24"/>
        <v>37057.4</v>
      </c>
      <c r="GT18" s="106"/>
      <c r="GU18" s="15">
        <v>11</v>
      </c>
      <c r="GV18" s="279">
        <v>900.8</v>
      </c>
      <c r="GW18" s="328">
        <v>44700</v>
      </c>
      <c r="GX18" s="279">
        <v>900.8</v>
      </c>
      <c r="GY18" s="319" t="s">
        <v>529</v>
      </c>
      <c r="GZ18" s="266">
        <v>43</v>
      </c>
      <c r="HA18" s="569">
        <f t="shared" si="25"/>
        <v>38734.400000000001</v>
      </c>
      <c r="HD18" s="106"/>
      <c r="HE18" s="15">
        <v>11</v>
      </c>
      <c r="HF18" s="279">
        <v>930.77</v>
      </c>
      <c r="HG18" s="328">
        <v>44700</v>
      </c>
      <c r="HH18" s="279">
        <v>930.77</v>
      </c>
      <c r="HI18" s="319" t="s">
        <v>443</v>
      </c>
      <c r="HJ18" s="266">
        <v>43</v>
      </c>
      <c r="HK18" s="569">
        <f t="shared" si="26"/>
        <v>40023.11</v>
      </c>
      <c r="HN18" s="106"/>
      <c r="HO18" s="15">
        <v>11</v>
      </c>
      <c r="HP18" s="279">
        <v>948</v>
      </c>
      <c r="HQ18" s="328">
        <v>44700</v>
      </c>
      <c r="HR18" s="279">
        <v>948</v>
      </c>
      <c r="HS18" s="383" t="s">
        <v>540</v>
      </c>
      <c r="HT18" s="266">
        <v>43</v>
      </c>
      <c r="HU18" s="569">
        <f t="shared" si="27"/>
        <v>40764</v>
      </c>
      <c r="HX18" s="94"/>
      <c r="HY18" s="15">
        <v>11</v>
      </c>
      <c r="HZ18" s="69">
        <v>884.5</v>
      </c>
      <c r="IA18" s="336">
        <v>44702</v>
      </c>
      <c r="IB18" s="69">
        <v>884.5</v>
      </c>
      <c r="IC18" s="70" t="s">
        <v>551</v>
      </c>
      <c r="ID18" s="71">
        <v>45</v>
      </c>
      <c r="IE18" s="569">
        <f t="shared" si="5"/>
        <v>39802.5</v>
      </c>
      <c r="IH18" s="94"/>
      <c r="II18" s="15">
        <v>11</v>
      </c>
      <c r="IJ18" s="69">
        <v>932.58</v>
      </c>
      <c r="IK18" s="336">
        <v>44701</v>
      </c>
      <c r="IL18" s="69">
        <v>932.58</v>
      </c>
      <c r="IM18" s="70" t="s">
        <v>534</v>
      </c>
      <c r="IN18" s="71">
        <v>43</v>
      </c>
      <c r="IO18" s="569">
        <f t="shared" si="28"/>
        <v>40100.94</v>
      </c>
      <c r="IR18" s="106"/>
      <c r="IS18" s="15">
        <v>11</v>
      </c>
      <c r="IT18" s="279">
        <v>866.4</v>
      </c>
      <c r="IU18" s="245"/>
      <c r="IV18" s="279"/>
      <c r="IW18" s="501"/>
      <c r="IX18" s="266"/>
      <c r="IY18" s="322">
        <f t="shared" si="29"/>
        <v>0</v>
      </c>
      <c r="IZ18" s="92"/>
      <c r="JA18" s="69"/>
      <c r="JB18" s="106"/>
      <c r="JC18" s="15">
        <v>11</v>
      </c>
      <c r="JD18" s="92">
        <v>916.3</v>
      </c>
      <c r="JE18" s="336"/>
      <c r="JF18" s="279"/>
      <c r="JG18" s="265"/>
      <c r="JH18" s="71"/>
      <c r="JI18" s="569">
        <f t="shared" si="30"/>
        <v>0</v>
      </c>
      <c r="JJ18" s="105"/>
      <c r="JL18" s="106"/>
      <c r="JM18" s="15">
        <v>11</v>
      </c>
      <c r="JN18" s="92">
        <v>912</v>
      </c>
      <c r="JO18" s="324"/>
      <c r="JP18" s="92"/>
      <c r="JQ18" s="70"/>
      <c r="JR18" s="71"/>
      <c r="JS18" s="569">
        <f t="shared" si="31"/>
        <v>0</v>
      </c>
      <c r="JV18" s="106"/>
      <c r="JW18" s="15">
        <v>11</v>
      </c>
      <c r="JX18" s="69">
        <v>974.31</v>
      </c>
      <c r="JY18" s="336"/>
      <c r="JZ18" s="69"/>
      <c r="KA18" s="70"/>
      <c r="KB18" s="71"/>
      <c r="KC18" s="569">
        <f t="shared" si="32"/>
        <v>0</v>
      </c>
      <c r="KE18" s="242"/>
      <c r="KF18" s="947"/>
      <c r="KG18" s="15">
        <v>11</v>
      </c>
      <c r="KH18" s="69">
        <v>964.79</v>
      </c>
      <c r="KI18" s="336"/>
      <c r="KJ18" s="69"/>
      <c r="KK18" s="70"/>
      <c r="KL18" s="71"/>
      <c r="KM18" s="569">
        <f t="shared" si="33"/>
        <v>0</v>
      </c>
      <c r="KP18" s="106"/>
      <c r="KQ18" s="15">
        <v>11</v>
      </c>
      <c r="KR18" s="69">
        <v>930.8</v>
      </c>
      <c r="KS18" s="336"/>
      <c r="KT18" s="69"/>
      <c r="KU18" s="70"/>
      <c r="KV18" s="71"/>
      <c r="KW18" s="569">
        <f t="shared" si="34"/>
        <v>0</v>
      </c>
      <c r="KZ18" s="106"/>
      <c r="LA18" s="15">
        <v>11</v>
      </c>
      <c r="LB18" s="92">
        <v>898.1</v>
      </c>
      <c r="LC18" s="324"/>
      <c r="LD18" s="92"/>
      <c r="LE18" s="95"/>
      <c r="LF18" s="71"/>
      <c r="LG18" s="569">
        <f t="shared" si="35"/>
        <v>0</v>
      </c>
      <c r="LJ18" s="106"/>
      <c r="LK18" s="15">
        <v>11</v>
      </c>
      <c r="LL18" s="279">
        <v>914.44</v>
      </c>
      <c r="LM18" s="324"/>
      <c r="LN18" s="279"/>
      <c r="LO18" s="95"/>
      <c r="LP18" s="71"/>
      <c r="LQ18" s="569">
        <f t="shared" si="36"/>
        <v>0</v>
      </c>
      <c r="LT18" s="106"/>
      <c r="LU18" s="15">
        <v>11</v>
      </c>
      <c r="LV18" s="92"/>
      <c r="LW18" s="324"/>
      <c r="LX18" s="92"/>
      <c r="LY18" s="95"/>
      <c r="LZ18" s="71"/>
      <c r="MA18" s="569">
        <f t="shared" si="37"/>
        <v>0</v>
      </c>
      <c r="MB18" s="569"/>
      <c r="MD18" s="106"/>
      <c r="ME18" s="15">
        <v>11</v>
      </c>
      <c r="MF18" s="389"/>
      <c r="MG18" s="324"/>
      <c r="MH18" s="991"/>
      <c r="MI18" s="319"/>
      <c r="MJ18" s="71"/>
      <c r="MK18" s="71">
        <f t="shared" si="38"/>
        <v>0</v>
      </c>
      <c r="MN18" s="106"/>
      <c r="MO18" s="15">
        <v>11</v>
      </c>
      <c r="MP18" s="92"/>
      <c r="MQ18" s="324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24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24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24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24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24"/>
      <c r="OP18" s="92"/>
      <c r="OQ18" s="95"/>
      <c r="OR18" s="71"/>
      <c r="OS18" s="71">
        <f t="shared" si="44"/>
        <v>0</v>
      </c>
      <c r="OV18" s="106"/>
      <c r="OW18" s="15">
        <v>11</v>
      </c>
      <c r="OX18" s="279"/>
      <c r="OY18" s="328"/>
      <c r="OZ18" s="279"/>
      <c r="PA18" s="319"/>
      <c r="PB18" s="266"/>
      <c r="PC18" s="266">
        <f t="shared" si="45"/>
        <v>0</v>
      </c>
      <c r="PF18" s="94"/>
      <c r="PG18" s="15">
        <v>11</v>
      </c>
      <c r="PH18" s="92"/>
      <c r="PI18" s="324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24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324"/>
      <c r="QL18" s="92"/>
      <c r="QM18" s="95"/>
      <c r="QN18" s="71"/>
      <c r="QQ18" s="106"/>
      <c r="QR18" s="15">
        <v>11</v>
      </c>
      <c r="QS18" s="92"/>
      <c r="QT18" s="324"/>
      <c r="QU18" s="92"/>
      <c r="QV18" s="95"/>
      <c r="QW18" s="71"/>
      <c r="QZ18" s="106"/>
      <c r="RA18" s="15">
        <v>11</v>
      </c>
      <c r="RB18" s="92"/>
      <c r="RC18" s="324"/>
      <c r="RD18" s="92"/>
      <c r="RE18" s="95"/>
      <c r="RF18" s="71"/>
      <c r="RI18" s="106"/>
      <c r="RJ18" s="15">
        <v>11</v>
      </c>
      <c r="RK18" s="92"/>
      <c r="RL18" s="324"/>
      <c r="RM18" s="92"/>
      <c r="RN18" s="95"/>
      <c r="RO18" s="377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88"/>
      <c r="TF18" s="179"/>
      <c r="TG18" s="381"/>
      <c r="TH18" s="380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TREBOL FOODS</v>
      </c>
      <c r="C19" s="75" t="str">
        <f t="shared" si="57"/>
        <v xml:space="preserve">Indiana </v>
      </c>
      <c r="D19" s="102" t="str">
        <f t="shared" si="57"/>
        <v>PED. 81924160</v>
      </c>
      <c r="E19" s="135">
        <f t="shared" si="57"/>
        <v>44693</v>
      </c>
      <c r="F19" s="86">
        <f t="shared" si="57"/>
        <v>18557.990000000002</v>
      </c>
      <c r="G19" s="73">
        <f t="shared" si="57"/>
        <v>20</v>
      </c>
      <c r="H19" s="48">
        <f t="shared" si="57"/>
        <v>18497</v>
      </c>
      <c r="I19" s="105">
        <f t="shared" si="57"/>
        <v>60.990000000001601</v>
      </c>
      <c r="K19" s="242"/>
      <c r="L19" s="94"/>
      <c r="M19" s="15">
        <v>12</v>
      </c>
      <c r="N19" s="69">
        <v>939.8</v>
      </c>
      <c r="O19" s="336">
        <v>44685</v>
      </c>
      <c r="P19" s="69">
        <v>939.8</v>
      </c>
      <c r="Q19" s="70" t="s">
        <v>380</v>
      </c>
      <c r="R19" s="71">
        <v>47</v>
      </c>
      <c r="S19" s="569">
        <f t="shared" si="7"/>
        <v>44170.6</v>
      </c>
      <c r="T19" s="242"/>
      <c r="V19" s="94"/>
      <c r="W19" s="15">
        <v>12</v>
      </c>
      <c r="X19" s="69">
        <v>940.7</v>
      </c>
      <c r="Y19" s="336">
        <v>44684</v>
      </c>
      <c r="Z19" s="69">
        <v>940.7</v>
      </c>
      <c r="AA19" s="70" t="s">
        <v>365</v>
      </c>
      <c r="AB19" s="71">
        <v>47</v>
      </c>
      <c r="AC19" s="569">
        <f t="shared" si="8"/>
        <v>44212.9</v>
      </c>
      <c r="AF19" s="106"/>
      <c r="AG19" s="15">
        <v>12</v>
      </c>
      <c r="AH19" s="69">
        <v>902.64</v>
      </c>
      <c r="AI19" s="324">
        <v>44686</v>
      </c>
      <c r="AJ19" s="69">
        <v>902.64</v>
      </c>
      <c r="AK19" s="95" t="s">
        <v>390</v>
      </c>
      <c r="AL19" s="71">
        <v>47</v>
      </c>
      <c r="AM19" s="569">
        <f t="shared" si="9"/>
        <v>42424.08</v>
      </c>
      <c r="AP19" s="106"/>
      <c r="AQ19" s="15">
        <v>12</v>
      </c>
      <c r="AR19" s="279">
        <v>950.27</v>
      </c>
      <c r="AS19" s="324">
        <v>44686</v>
      </c>
      <c r="AT19" s="279">
        <v>950.27</v>
      </c>
      <c r="AU19" s="95" t="s">
        <v>392</v>
      </c>
      <c r="AV19" s="71">
        <v>47</v>
      </c>
      <c r="AW19" s="569">
        <f t="shared" si="10"/>
        <v>44662.69</v>
      </c>
      <c r="AZ19" s="106"/>
      <c r="BA19" s="15">
        <v>12</v>
      </c>
      <c r="BB19" s="92">
        <v>874.1</v>
      </c>
      <c r="BC19" s="324">
        <v>44688</v>
      </c>
      <c r="BD19" s="69">
        <v>874.1</v>
      </c>
      <c r="BE19" s="95" t="s">
        <v>415</v>
      </c>
      <c r="BF19" s="71">
        <v>49</v>
      </c>
      <c r="BG19" s="569">
        <f t="shared" si="11"/>
        <v>42830.9</v>
      </c>
      <c r="BJ19" s="106"/>
      <c r="BK19" s="15">
        <v>12</v>
      </c>
      <c r="BL19" s="279">
        <v>856.8</v>
      </c>
      <c r="BM19" s="245">
        <v>44688</v>
      </c>
      <c r="BN19" s="279">
        <v>856.8</v>
      </c>
      <c r="BO19" s="319" t="s">
        <v>409</v>
      </c>
      <c r="BP19" s="813">
        <v>49</v>
      </c>
      <c r="BQ19" s="737">
        <f t="shared" si="12"/>
        <v>41983.199999999997</v>
      </c>
      <c r="BT19" s="106"/>
      <c r="BU19" s="263">
        <v>12</v>
      </c>
      <c r="BV19" s="279">
        <v>929.9</v>
      </c>
      <c r="BW19" s="378">
        <v>44688</v>
      </c>
      <c r="BX19" s="279">
        <v>929.96</v>
      </c>
      <c r="BY19" s="379" t="s">
        <v>417</v>
      </c>
      <c r="BZ19" s="380">
        <v>49</v>
      </c>
      <c r="CA19" s="569">
        <f t="shared" si="13"/>
        <v>45568.04</v>
      </c>
      <c r="CD19" s="762"/>
      <c r="CE19" s="15">
        <v>12</v>
      </c>
      <c r="CF19" s="279">
        <v>911.7</v>
      </c>
      <c r="CG19" s="994">
        <v>44690</v>
      </c>
      <c r="CH19" s="279">
        <v>911.7</v>
      </c>
      <c r="CI19" s="814" t="s">
        <v>431</v>
      </c>
      <c r="CJ19" s="692">
        <v>49</v>
      </c>
      <c r="CK19" s="322">
        <f t="shared" si="14"/>
        <v>44673.3</v>
      </c>
      <c r="CN19" s="601"/>
      <c r="CO19" s="15">
        <v>12</v>
      </c>
      <c r="CP19" s="92">
        <v>909.9</v>
      </c>
      <c r="CQ19" s="378">
        <v>44690</v>
      </c>
      <c r="CR19" s="92">
        <v>909.9</v>
      </c>
      <c r="CS19" s="381" t="s">
        <v>423</v>
      </c>
      <c r="CT19" s="380">
        <v>49</v>
      </c>
      <c r="CU19" s="575">
        <f t="shared" si="48"/>
        <v>44585.1</v>
      </c>
      <c r="CX19" s="106"/>
      <c r="CY19" s="15">
        <v>12</v>
      </c>
      <c r="CZ19" s="92">
        <v>873.6</v>
      </c>
      <c r="DA19" s="324">
        <v>44692</v>
      </c>
      <c r="DB19" s="92">
        <v>873.6</v>
      </c>
      <c r="DC19" s="95" t="s">
        <v>454</v>
      </c>
      <c r="DD19" s="71">
        <v>49</v>
      </c>
      <c r="DE19" s="569">
        <f t="shared" si="15"/>
        <v>42806.400000000001</v>
      </c>
      <c r="DH19" s="106"/>
      <c r="DI19" s="15">
        <v>12</v>
      </c>
      <c r="DJ19" s="279">
        <v>925.3</v>
      </c>
      <c r="DK19" s="378">
        <v>44691</v>
      </c>
      <c r="DL19" s="92">
        <v>925.3</v>
      </c>
      <c r="DM19" s="381" t="s">
        <v>445</v>
      </c>
      <c r="DN19" s="380">
        <v>49</v>
      </c>
      <c r="DO19" s="575">
        <f t="shared" si="16"/>
        <v>45339.7</v>
      </c>
      <c r="DR19" s="106"/>
      <c r="DS19" s="15">
        <v>12</v>
      </c>
      <c r="DT19" s="92">
        <v>936.2</v>
      </c>
      <c r="DU19" s="378">
        <v>44691</v>
      </c>
      <c r="DV19" s="92">
        <v>936.2</v>
      </c>
      <c r="DW19" s="381" t="s">
        <v>436</v>
      </c>
      <c r="DX19" s="380">
        <v>59</v>
      </c>
      <c r="DY19" s="569">
        <f t="shared" si="17"/>
        <v>55235.8</v>
      </c>
      <c r="EB19" s="106"/>
      <c r="EC19" s="15">
        <v>12</v>
      </c>
      <c r="ED19" s="69">
        <v>850.03</v>
      </c>
      <c r="EE19" s="336">
        <v>44693</v>
      </c>
      <c r="EF19" s="69">
        <v>850.03</v>
      </c>
      <c r="EG19" s="70" t="s">
        <v>465</v>
      </c>
      <c r="EH19" s="71">
        <v>49</v>
      </c>
      <c r="EI19" s="569">
        <f t="shared" si="18"/>
        <v>41651.47</v>
      </c>
      <c r="EL19" s="106"/>
      <c r="EM19" s="15">
        <v>12</v>
      </c>
      <c r="EN19" s="279">
        <v>948.91</v>
      </c>
      <c r="EO19" s="328">
        <v>44694</v>
      </c>
      <c r="EP19" s="279">
        <v>948.91</v>
      </c>
      <c r="EQ19" s="265" t="s">
        <v>483</v>
      </c>
      <c r="ER19" s="266">
        <v>49</v>
      </c>
      <c r="ES19" s="569">
        <f t="shared" si="19"/>
        <v>46496.59</v>
      </c>
      <c r="EV19" s="106"/>
      <c r="EW19" s="15">
        <v>12</v>
      </c>
      <c r="EX19" s="264">
        <v>968.87</v>
      </c>
      <c r="EY19" s="495">
        <v>44695</v>
      </c>
      <c r="EZ19" s="264">
        <v>968.87</v>
      </c>
      <c r="FA19" s="265" t="s">
        <v>479</v>
      </c>
      <c r="FB19" s="266">
        <v>49</v>
      </c>
      <c r="FC19" s="322">
        <f>FB19*EZ19</f>
        <v>47474.63</v>
      </c>
      <c r="FF19" s="106"/>
      <c r="FG19" s="15">
        <v>12</v>
      </c>
      <c r="FH19" s="279">
        <v>906</v>
      </c>
      <c r="FI19" s="328">
        <v>44694</v>
      </c>
      <c r="FJ19" s="279">
        <v>906</v>
      </c>
      <c r="FK19" s="265" t="s">
        <v>486</v>
      </c>
      <c r="FL19" s="266">
        <v>49</v>
      </c>
      <c r="FM19" s="569">
        <f t="shared" si="21"/>
        <v>44394</v>
      </c>
      <c r="FP19" s="106"/>
      <c r="FQ19" s="15">
        <v>12</v>
      </c>
      <c r="FR19" s="92">
        <v>895.4</v>
      </c>
      <c r="FS19" s="324">
        <v>44695</v>
      </c>
      <c r="FT19" s="92">
        <v>895.4</v>
      </c>
      <c r="FU19" s="70" t="s">
        <v>500</v>
      </c>
      <c r="FV19" s="71">
        <v>49</v>
      </c>
      <c r="FW19" s="569">
        <f t="shared" si="22"/>
        <v>43874.6</v>
      </c>
      <c r="FX19" s="71"/>
      <c r="FZ19" s="106"/>
      <c r="GA19" s="15">
        <v>12</v>
      </c>
      <c r="GB19" s="69">
        <v>920.8</v>
      </c>
      <c r="GC19" s="495">
        <v>44698</v>
      </c>
      <c r="GD19" s="69">
        <v>920.8</v>
      </c>
      <c r="GE19" s="265" t="s">
        <v>518</v>
      </c>
      <c r="GF19" s="266">
        <v>49</v>
      </c>
      <c r="GG19" s="322">
        <f t="shared" si="23"/>
        <v>45119.199999999997</v>
      </c>
      <c r="GJ19" s="106"/>
      <c r="GK19" s="15">
        <v>12</v>
      </c>
      <c r="GL19" s="473">
        <v>875.4</v>
      </c>
      <c r="GM19" s="324">
        <v>44699</v>
      </c>
      <c r="GN19" s="473">
        <v>875.4</v>
      </c>
      <c r="GO19" s="95" t="s">
        <v>521</v>
      </c>
      <c r="GP19" s="71">
        <v>43</v>
      </c>
      <c r="GQ19" s="569">
        <f t="shared" si="24"/>
        <v>37642.199999999997</v>
      </c>
      <c r="GT19" s="106"/>
      <c r="GU19" s="15">
        <v>12</v>
      </c>
      <c r="GV19" s="279">
        <v>886.3</v>
      </c>
      <c r="GW19" s="328">
        <v>44700</v>
      </c>
      <c r="GX19" s="279">
        <v>886.3</v>
      </c>
      <c r="GY19" s="319" t="s">
        <v>532</v>
      </c>
      <c r="GZ19" s="266">
        <v>43</v>
      </c>
      <c r="HA19" s="569">
        <f t="shared" si="25"/>
        <v>38110.9</v>
      </c>
      <c r="HD19" s="106"/>
      <c r="HE19" s="15">
        <v>12</v>
      </c>
      <c r="HF19" s="279">
        <v>945.28</v>
      </c>
      <c r="HG19" s="328">
        <v>44700</v>
      </c>
      <c r="HH19" s="279">
        <v>945.28</v>
      </c>
      <c r="HI19" s="319" t="s">
        <v>528</v>
      </c>
      <c r="HJ19" s="266">
        <v>43</v>
      </c>
      <c r="HK19" s="569">
        <f t="shared" si="26"/>
        <v>40647.040000000001</v>
      </c>
      <c r="HN19" s="106"/>
      <c r="HO19" s="15">
        <v>12</v>
      </c>
      <c r="HP19" s="279">
        <v>949.82</v>
      </c>
      <c r="HQ19" s="328">
        <v>44700</v>
      </c>
      <c r="HR19" s="279">
        <v>949.82</v>
      </c>
      <c r="HS19" s="383" t="s">
        <v>495</v>
      </c>
      <c r="HT19" s="266">
        <v>43</v>
      </c>
      <c r="HU19" s="569">
        <f t="shared" si="27"/>
        <v>40842.26</v>
      </c>
      <c r="HX19" s="94"/>
      <c r="HY19" s="15">
        <v>12</v>
      </c>
      <c r="HZ19" s="69">
        <v>895.4</v>
      </c>
      <c r="IA19" s="336">
        <v>44702</v>
      </c>
      <c r="IB19" s="69">
        <v>895.4</v>
      </c>
      <c r="IC19" s="70" t="s">
        <v>553</v>
      </c>
      <c r="ID19" s="71">
        <v>45</v>
      </c>
      <c r="IE19" s="569">
        <f t="shared" si="5"/>
        <v>40293</v>
      </c>
      <c r="IH19" s="94"/>
      <c r="II19" s="15">
        <v>12</v>
      </c>
      <c r="IJ19" s="69">
        <v>954.35</v>
      </c>
      <c r="IK19" s="336">
        <v>44701</v>
      </c>
      <c r="IL19" s="69">
        <v>954.35</v>
      </c>
      <c r="IM19" s="70" t="s">
        <v>534</v>
      </c>
      <c r="IN19" s="71">
        <v>43</v>
      </c>
      <c r="IO19" s="569">
        <f t="shared" si="28"/>
        <v>41037.050000000003</v>
      </c>
      <c r="IR19" s="106"/>
      <c r="IS19" s="15">
        <v>12</v>
      </c>
      <c r="IT19" s="279">
        <v>893.6</v>
      </c>
      <c r="IU19" s="245"/>
      <c r="IV19" s="279"/>
      <c r="IW19" s="501"/>
      <c r="IX19" s="266"/>
      <c r="IY19" s="322">
        <f t="shared" si="29"/>
        <v>0</v>
      </c>
      <c r="IZ19" s="92"/>
      <c r="JA19" s="105"/>
      <c r="JB19" s="106"/>
      <c r="JC19" s="15">
        <v>12</v>
      </c>
      <c r="JD19" s="92">
        <v>892.7</v>
      </c>
      <c r="JE19" s="336"/>
      <c r="JF19" s="279"/>
      <c r="JG19" s="265"/>
      <c r="JH19" s="71"/>
      <c r="JI19" s="569">
        <f t="shared" si="30"/>
        <v>0</v>
      </c>
      <c r="JL19" s="106"/>
      <c r="JM19" s="15">
        <v>12</v>
      </c>
      <c r="JN19" s="92">
        <v>940.7</v>
      </c>
      <c r="JO19" s="324"/>
      <c r="JP19" s="92"/>
      <c r="JQ19" s="70"/>
      <c r="JR19" s="71"/>
      <c r="JS19" s="569">
        <f t="shared" si="31"/>
        <v>0</v>
      </c>
      <c r="JV19" s="94"/>
      <c r="JW19" s="15">
        <v>12</v>
      </c>
      <c r="JX19" s="69">
        <v>960.7</v>
      </c>
      <c r="JY19" s="336"/>
      <c r="JZ19" s="69"/>
      <c r="KA19" s="70"/>
      <c r="KB19" s="71"/>
      <c r="KC19" s="569">
        <f t="shared" si="32"/>
        <v>0</v>
      </c>
      <c r="KE19" s="242"/>
      <c r="KF19" s="457"/>
      <c r="KG19" s="15">
        <v>12</v>
      </c>
      <c r="KH19" s="69">
        <v>951.63</v>
      </c>
      <c r="KI19" s="336"/>
      <c r="KJ19" s="69"/>
      <c r="KK19" s="70"/>
      <c r="KL19" s="71"/>
      <c r="KM19" s="569">
        <f t="shared" si="33"/>
        <v>0</v>
      </c>
      <c r="KP19" s="94"/>
      <c r="KQ19" s="15">
        <v>12</v>
      </c>
      <c r="KR19" s="69">
        <v>873.2</v>
      </c>
      <c r="KS19" s="336"/>
      <c r="KT19" s="69"/>
      <c r="KU19" s="70"/>
      <c r="KV19" s="71"/>
      <c r="KW19" s="569">
        <f t="shared" si="34"/>
        <v>0</v>
      </c>
      <c r="KZ19" s="106"/>
      <c r="LA19" s="15">
        <v>12</v>
      </c>
      <c r="LB19" s="92">
        <v>882.7</v>
      </c>
      <c r="LC19" s="324"/>
      <c r="LD19" s="69"/>
      <c r="LE19" s="95"/>
      <c r="LF19" s="71"/>
      <c r="LG19" s="569">
        <f t="shared" si="35"/>
        <v>0</v>
      </c>
      <c r="LJ19" s="106"/>
      <c r="LK19" s="15">
        <v>12</v>
      </c>
      <c r="LL19" s="279">
        <v>908.09</v>
      </c>
      <c r="LM19" s="324"/>
      <c r="LN19" s="279"/>
      <c r="LO19" s="95"/>
      <c r="LP19" s="71"/>
      <c r="LQ19" s="569">
        <f t="shared" si="36"/>
        <v>0</v>
      </c>
      <c r="LT19" s="106"/>
      <c r="LU19" s="15">
        <v>12</v>
      </c>
      <c r="LV19" s="92"/>
      <c r="LW19" s="324"/>
      <c r="LX19" s="92"/>
      <c r="LY19" s="95"/>
      <c r="LZ19" s="71"/>
      <c r="MA19" s="569">
        <f t="shared" si="37"/>
        <v>0</v>
      </c>
      <c r="MB19" s="569"/>
      <c r="MD19" s="106"/>
      <c r="ME19" s="15">
        <v>12</v>
      </c>
      <c r="MF19" s="389"/>
      <c r="MG19" s="324"/>
      <c r="MH19" s="991"/>
      <c r="MI19" s="319"/>
      <c r="MJ19" s="71"/>
      <c r="MK19" s="71">
        <f t="shared" si="38"/>
        <v>0</v>
      </c>
      <c r="MN19" s="106"/>
      <c r="MO19" s="15">
        <v>12</v>
      </c>
      <c r="MP19" s="92"/>
      <c r="MQ19" s="324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24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24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24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24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24"/>
      <c r="OP19" s="92"/>
      <c r="OQ19" s="95"/>
      <c r="OR19" s="71"/>
      <c r="OS19" s="71">
        <f t="shared" si="44"/>
        <v>0</v>
      </c>
      <c r="OV19" s="106"/>
      <c r="OW19" s="15">
        <v>12</v>
      </c>
      <c r="OX19" s="279"/>
      <c r="OY19" s="328"/>
      <c r="OZ19" s="279"/>
      <c r="PA19" s="319"/>
      <c r="PB19" s="266"/>
      <c r="PC19" s="266">
        <f t="shared" si="45"/>
        <v>0</v>
      </c>
      <c r="PF19" s="94"/>
      <c r="PG19" s="15">
        <v>12</v>
      </c>
      <c r="PH19" s="92"/>
      <c r="PI19" s="324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24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324"/>
      <c r="QL19" s="92"/>
      <c r="QM19" s="95"/>
      <c r="QN19" s="71"/>
      <c r="QQ19" s="106"/>
      <c r="QR19" s="15">
        <v>12</v>
      </c>
      <c r="QS19" s="92"/>
      <c r="QT19" s="324"/>
      <c r="QU19" s="92"/>
      <c r="QV19" s="95"/>
      <c r="QW19" s="71"/>
      <c r="QZ19" s="106"/>
      <c r="RA19" s="15">
        <v>12</v>
      </c>
      <c r="RB19" s="92"/>
      <c r="RC19" s="324"/>
      <c r="RD19" s="92"/>
      <c r="RE19" s="95"/>
      <c r="RF19" s="71"/>
      <c r="RI19" s="106"/>
      <c r="RJ19" s="15">
        <v>12</v>
      </c>
      <c r="RK19" s="92"/>
      <c r="RL19" s="324"/>
      <c r="RM19" s="92"/>
      <c r="RN19" s="95"/>
      <c r="RO19" s="377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88"/>
      <c r="TF19" s="179"/>
      <c r="TG19" s="381"/>
      <c r="TH19" s="380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81950255</v>
      </c>
      <c r="E20" s="135">
        <f t="shared" si="58"/>
        <v>44693</v>
      </c>
      <c r="F20" s="86">
        <f t="shared" si="58"/>
        <v>18873.71</v>
      </c>
      <c r="G20" s="73">
        <f t="shared" si="58"/>
        <v>21</v>
      </c>
      <c r="H20" s="48">
        <f t="shared" si="58"/>
        <v>18963.61</v>
      </c>
      <c r="I20" s="105">
        <f t="shared" si="58"/>
        <v>-89.900000000001455</v>
      </c>
      <c r="K20" s="242"/>
      <c r="L20" s="94"/>
      <c r="M20" s="15">
        <v>13</v>
      </c>
      <c r="N20" s="69">
        <v>907.2</v>
      </c>
      <c r="O20" s="336">
        <v>44685</v>
      </c>
      <c r="P20" s="69">
        <v>907.2</v>
      </c>
      <c r="Q20" s="70" t="s">
        <v>380</v>
      </c>
      <c r="R20" s="71">
        <v>47</v>
      </c>
      <c r="S20" s="569">
        <f t="shared" si="7"/>
        <v>42638.400000000001</v>
      </c>
      <c r="T20" s="242"/>
      <c r="V20" s="94"/>
      <c r="W20" s="15">
        <v>13</v>
      </c>
      <c r="X20" s="69">
        <v>907.2</v>
      </c>
      <c r="Y20" s="336">
        <v>44684</v>
      </c>
      <c r="Z20" s="69">
        <v>907.2</v>
      </c>
      <c r="AA20" s="70" t="s">
        <v>365</v>
      </c>
      <c r="AB20" s="71">
        <v>47</v>
      </c>
      <c r="AC20" s="569">
        <f t="shared" si="8"/>
        <v>42638.400000000001</v>
      </c>
      <c r="AF20" s="106"/>
      <c r="AG20" s="15">
        <v>13</v>
      </c>
      <c r="AH20" s="92">
        <v>904</v>
      </c>
      <c r="AI20" s="324">
        <v>44685</v>
      </c>
      <c r="AJ20" s="92">
        <v>904</v>
      </c>
      <c r="AK20" s="95" t="s">
        <v>384</v>
      </c>
      <c r="AL20" s="71">
        <v>47</v>
      </c>
      <c r="AM20" s="569">
        <f t="shared" si="9"/>
        <v>42488</v>
      </c>
      <c r="AP20" s="106"/>
      <c r="AQ20" s="15">
        <v>13</v>
      </c>
      <c r="AR20" s="279">
        <v>935.3</v>
      </c>
      <c r="AS20" s="324">
        <v>44686</v>
      </c>
      <c r="AT20" s="279">
        <v>935.3</v>
      </c>
      <c r="AU20" s="95" t="s">
        <v>392</v>
      </c>
      <c r="AV20" s="71">
        <v>47</v>
      </c>
      <c r="AW20" s="569">
        <f t="shared" si="10"/>
        <v>43959.1</v>
      </c>
      <c r="AZ20" s="106"/>
      <c r="BA20" s="15">
        <v>13</v>
      </c>
      <c r="BB20" s="92">
        <v>910.4</v>
      </c>
      <c r="BC20" s="324">
        <v>44688</v>
      </c>
      <c r="BD20" s="92">
        <v>910.4</v>
      </c>
      <c r="BE20" s="95" t="s">
        <v>415</v>
      </c>
      <c r="BF20" s="71">
        <v>49</v>
      </c>
      <c r="BG20" s="569">
        <f t="shared" si="11"/>
        <v>44609.599999999999</v>
      </c>
      <c r="BJ20" s="106"/>
      <c r="BK20" s="15">
        <v>13</v>
      </c>
      <c r="BL20" s="264">
        <v>913.1</v>
      </c>
      <c r="BM20" s="245">
        <v>44688</v>
      </c>
      <c r="BN20" s="264">
        <v>913.1</v>
      </c>
      <c r="BO20" s="319" t="s">
        <v>409</v>
      </c>
      <c r="BP20" s="813">
        <v>49</v>
      </c>
      <c r="BQ20" s="737">
        <f t="shared" si="12"/>
        <v>44741.9</v>
      </c>
      <c r="BT20" s="106"/>
      <c r="BU20" s="263">
        <v>13</v>
      </c>
      <c r="BV20" s="279">
        <v>886.3</v>
      </c>
      <c r="BW20" s="378">
        <v>44688</v>
      </c>
      <c r="BX20" s="279">
        <v>886.3</v>
      </c>
      <c r="BY20" s="379" t="s">
        <v>417</v>
      </c>
      <c r="BZ20" s="380">
        <v>49</v>
      </c>
      <c r="CA20" s="569">
        <f t="shared" si="13"/>
        <v>43428.7</v>
      </c>
      <c r="CD20" s="762"/>
      <c r="CE20" s="15">
        <v>13</v>
      </c>
      <c r="CF20" s="279">
        <v>886.3</v>
      </c>
      <c r="CG20" s="994">
        <v>44690</v>
      </c>
      <c r="CH20" s="279">
        <v>886.3</v>
      </c>
      <c r="CI20" s="814" t="s">
        <v>431</v>
      </c>
      <c r="CJ20" s="692">
        <v>49</v>
      </c>
      <c r="CK20" s="322">
        <f t="shared" si="14"/>
        <v>43428.7</v>
      </c>
      <c r="CN20" s="601"/>
      <c r="CO20" s="15">
        <v>13</v>
      </c>
      <c r="CP20" s="279">
        <v>898.11</v>
      </c>
      <c r="CQ20" s="378">
        <v>44690</v>
      </c>
      <c r="CR20" s="279">
        <v>898.11</v>
      </c>
      <c r="CS20" s="381" t="s">
        <v>423</v>
      </c>
      <c r="CT20" s="380">
        <v>49</v>
      </c>
      <c r="CU20" s="575">
        <f t="shared" si="48"/>
        <v>44007.39</v>
      </c>
      <c r="CX20" s="106"/>
      <c r="CY20" s="15">
        <v>13</v>
      </c>
      <c r="CZ20" s="92">
        <v>880</v>
      </c>
      <c r="DA20" s="324">
        <v>44693</v>
      </c>
      <c r="DB20" s="92">
        <v>880</v>
      </c>
      <c r="DC20" s="95" t="s">
        <v>456</v>
      </c>
      <c r="DD20" s="71">
        <v>49</v>
      </c>
      <c r="DE20" s="569">
        <f t="shared" si="15"/>
        <v>43120</v>
      </c>
      <c r="DH20" s="106"/>
      <c r="DI20" s="15">
        <v>13</v>
      </c>
      <c r="DJ20" s="279">
        <v>869.1</v>
      </c>
      <c r="DK20" s="378">
        <v>44691</v>
      </c>
      <c r="DL20" s="92">
        <v>869.1</v>
      </c>
      <c r="DM20" s="381" t="s">
        <v>444</v>
      </c>
      <c r="DN20" s="380">
        <v>49</v>
      </c>
      <c r="DO20" s="575">
        <f t="shared" si="16"/>
        <v>42585.9</v>
      </c>
      <c r="DR20" s="106"/>
      <c r="DS20" s="15">
        <v>13</v>
      </c>
      <c r="DT20" s="92">
        <v>883.6</v>
      </c>
      <c r="DU20" s="378">
        <v>44691</v>
      </c>
      <c r="DV20" s="92">
        <v>883.6</v>
      </c>
      <c r="DW20" s="381" t="s">
        <v>436</v>
      </c>
      <c r="DX20" s="380">
        <v>59</v>
      </c>
      <c r="DY20" s="569">
        <f t="shared" si="17"/>
        <v>52132.4</v>
      </c>
      <c r="EB20" s="106"/>
      <c r="EC20" s="15">
        <v>13</v>
      </c>
      <c r="ED20" s="69">
        <v>895.39</v>
      </c>
      <c r="EE20" s="336">
        <v>44693</v>
      </c>
      <c r="EF20" s="92">
        <v>895.39</v>
      </c>
      <c r="EG20" s="70" t="s">
        <v>465</v>
      </c>
      <c r="EH20" s="71">
        <v>49</v>
      </c>
      <c r="EI20" s="569">
        <f t="shared" si="18"/>
        <v>43874.11</v>
      </c>
      <c r="EL20" s="106"/>
      <c r="EM20" s="15">
        <v>13</v>
      </c>
      <c r="EN20" s="279">
        <v>899.02</v>
      </c>
      <c r="EO20" s="328">
        <v>44693</v>
      </c>
      <c r="EP20" s="279">
        <v>899.02</v>
      </c>
      <c r="EQ20" s="265" t="s">
        <v>470</v>
      </c>
      <c r="ER20" s="266">
        <v>49</v>
      </c>
      <c r="ES20" s="569">
        <f t="shared" si="19"/>
        <v>44051.979999999996</v>
      </c>
      <c r="EV20" s="106"/>
      <c r="EW20" s="15">
        <v>13</v>
      </c>
      <c r="EX20" s="264">
        <v>897.2</v>
      </c>
      <c r="EY20" s="495">
        <v>44694</v>
      </c>
      <c r="EZ20" s="264">
        <v>897.2</v>
      </c>
      <c r="FA20" s="265" t="s">
        <v>490</v>
      </c>
      <c r="FB20" s="266">
        <v>49</v>
      </c>
      <c r="FC20" s="322">
        <f>FB20*EZ20</f>
        <v>43962.8</v>
      </c>
      <c r="FF20" s="106"/>
      <c r="FG20" s="15">
        <v>13</v>
      </c>
      <c r="FH20" s="279">
        <v>944</v>
      </c>
      <c r="FI20" s="328">
        <v>44694</v>
      </c>
      <c r="FJ20" s="279">
        <v>944</v>
      </c>
      <c r="FK20" s="265" t="s">
        <v>486</v>
      </c>
      <c r="FL20" s="266">
        <v>49</v>
      </c>
      <c r="FM20" s="569">
        <f t="shared" si="21"/>
        <v>46256</v>
      </c>
      <c r="FP20" s="106"/>
      <c r="FQ20" s="15">
        <v>13</v>
      </c>
      <c r="FR20" s="92">
        <v>877.2</v>
      </c>
      <c r="FS20" s="324">
        <v>44695</v>
      </c>
      <c r="FT20" s="92">
        <v>877.2</v>
      </c>
      <c r="FU20" s="70" t="s">
        <v>500</v>
      </c>
      <c r="FV20" s="71">
        <v>49</v>
      </c>
      <c r="FW20" s="569">
        <f t="shared" si="22"/>
        <v>42982.8</v>
      </c>
      <c r="FX20" s="71"/>
      <c r="FZ20" s="106"/>
      <c r="GA20" s="15">
        <v>13</v>
      </c>
      <c r="GB20" s="69">
        <v>868.2</v>
      </c>
      <c r="GC20" s="495">
        <v>44698</v>
      </c>
      <c r="GD20" s="69">
        <v>868.2</v>
      </c>
      <c r="GE20" s="265" t="s">
        <v>518</v>
      </c>
      <c r="GF20" s="266">
        <v>49</v>
      </c>
      <c r="GG20" s="322">
        <f t="shared" si="23"/>
        <v>42541.8</v>
      </c>
      <c r="GJ20" s="106"/>
      <c r="GK20" s="15">
        <v>13</v>
      </c>
      <c r="GL20" s="473">
        <v>879.1</v>
      </c>
      <c r="GM20" s="324">
        <v>44699</v>
      </c>
      <c r="GN20" s="473">
        <v>879.1</v>
      </c>
      <c r="GO20" s="95" t="s">
        <v>526</v>
      </c>
      <c r="GP20" s="71">
        <v>43</v>
      </c>
      <c r="GQ20" s="569">
        <f t="shared" si="24"/>
        <v>37801.300000000003</v>
      </c>
      <c r="GT20" s="106"/>
      <c r="GU20" s="15">
        <v>13</v>
      </c>
      <c r="GV20" s="279">
        <v>891.8</v>
      </c>
      <c r="GW20" s="328">
        <v>44700</v>
      </c>
      <c r="GX20" s="279">
        <v>891.8</v>
      </c>
      <c r="GY20" s="319" t="s">
        <v>529</v>
      </c>
      <c r="GZ20" s="266">
        <v>43</v>
      </c>
      <c r="HA20" s="569">
        <f t="shared" si="25"/>
        <v>38347.4</v>
      </c>
      <c r="HD20" s="106"/>
      <c r="HE20" s="15">
        <v>13</v>
      </c>
      <c r="HF20" s="279">
        <v>940.75</v>
      </c>
      <c r="HG20" s="328">
        <v>44700</v>
      </c>
      <c r="HH20" s="279">
        <v>940.75</v>
      </c>
      <c r="HI20" s="319" t="s">
        <v>536</v>
      </c>
      <c r="HJ20" s="266">
        <v>43</v>
      </c>
      <c r="HK20" s="322">
        <f t="shared" si="26"/>
        <v>40452.25</v>
      </c>
      <c r="HN20" s="106"/>
      <c r="HO20" s="15">
        <v>13</v>
      </c>
      <c r="HP20" s="279">
        <v>940.75</v>
      </c>
      <c r="HQ20" s="328">
        <v>44700</v>
      </c>
      <c r="HR20" s="279">
        <v>940.75</v>
      </c>
      <c r="HS20" s="383" t="s">
        <v>495</v>
      </c>
      <c r="HT20" s="266">
        <v>43</v>
      </c>
      <c r="HU20" s="569">
        <f t="shared" si="27"/>
        <v>40452.25</v>
      </c>
      <c r="HX20" s="94"/>
      <c r="HY20" s="15">
        <v>13</v>
      </c>
      <c r="HZ20" s="69">
        <v>878.2</v>
      </c>
      <c r="IA20" s="336">
        <v>44702</v>
      </c>
      <c r="IB20" s="69">
        <v>878.2</v>
      </c>
      <c r="IC20" s="70" t="s">
        <v>551</v>
      </c>
      <c r="ID20" s="71">
        <v>45</v>
      </c>
      <c r="IE20" s="569">
        <f t="shared" si="5"/>
        <v>39519</v>
      </c>
      <c r="IH20" s="94"/>
      <c r="II20" s="15">
        <v>13</v>
      </c>
      <c r="IJ20" s="69">
        <v>966.15</v>
      </c>
      <c r="IK20" s="336">
        <v>44702</v>
      </c>
      <c r="IL20" s="69">
        <v>966.15</v>
      </c>
      <c r="IM20" s="70" t="s">
        <v>539</v>
      </c>
      <c r="IN20" s="71">
        <v>45</v>
      </c>
      <c r="IO20" s="569">
        <f t="shared" si="28"/>
        <v>43476.75</v>
      </c>
      <c r="IR20" s="106"/>
      <c r="IS20" s="15">
        <v>13</v>
      </c>
      <c r="IT20" s="279">
        <v>875.4</v>
      </c>
      <c r="IU20" s="245"/>
      <c r="IV20" s="279"/>
      <c r="IW20" s="501"/>
      <c r="IX20" s="266"/>
      <c r="IY20" s="322">
        <f t="shared" si="29"/>
        <v>0</v>
      </c>
      <c r="IZ20" s="92"/>
      <c r="JB20" s="106"/>
      <c r="JC20" s="15">
        <v>13</v>
      </c>
      <c r="JD20" s="92">
        <v>921.7</v>
      </c>
      <c r="JE20" s="336"/>
      <c r="JF20" s="279"/>
      <c r="JG20" s="265"/>
      <c r="JH20" s="71"/>
      <c r="JI20" s="569">
        <f t="shared" si="30"/>
        <v>0</v>
      </c>
      <c r="JL20" s="106"/>
      <c r="JM20" s="15">
        <v>13</v>
      </c>
      <c r="JN20" s="92">
        <v>894.5</v>
      </c>
      <c r="JO20" s="324"/>
      <c r="JP20" s="92"/>
      <c r="JQ20" s="70"/>
      <c r="JR20" s="71"/>
      <c r="JS20" s="569">
        <f t="shared" si="31"/>
        <v>0</v>
      </c>
      <c r="JV20" s="94"/>
      <c r="JW20" s="15">
        <v>13</v>
      </c>
      <c r="JX20" s="69">
        <v>938.48</v>
      </c>
      <c r="JY20" s="336"/>
      <c r="JZ20" s="69"/>
      <c r="KA20" s="70"/>
      <c r="KB20" s="71"/>
      <c r="KC20" s="569">
        <f t="shared" si="32"/>
        <v>0</v>
      </c>
      <c r="KE20" s="242"/>
      <c r="KF20" s="457"/>
      <c r="KG20" s="15">
        <v>13</v>
      </c>
      <c r="KH20" s="69">
        <v>948.91</v>
      </c>
      <c r="KI20" s="336"/>
      <c r="KJ20" s="69"/>
      <c r="KK20" s="70"/>
      <c r="KL20" s="71"/>
      <c r="KM20" s="569">
        <f t="shared" si="33"/>
        <v>0</v>
      </c>
      <c r="KP20" s="94"/>
      <c r="KQ20" s="15">
        <v>13</v>
      </c>
      <c r="KR20" s="69">
        <v>887.2</v>
      </c>
      <c r="KS20" s="336"/>
      <c r="KT20" s="69"/>
      <c r="KU20" s="70"/>
      <c r="KV20" s="71"/>
      <c r="KW20" s="569">
        <f t="shared" si="34"/>
        <v>0</v>
      </c>
      <c r="KZ20" s="106"/>
      <c r="LA20" s="15">
        <v>13</v>
      </c>
      <c r="LB20" s="69">
        <v>897.2</v>
      </c>
      <c r="LC20" s="324"/>
      <c r="LD20" s="92"/>
      <c r="LE20" s="95"/>
      <c r="LF20" s="71"/>
      <c r="LG20" s="569">
        <f t="shared" si="35"/>
        <v>0</v>
      </c>
      <c r="LJ20" s="106"/>
      <c r="LK20" s="15">
        <v>13</v>
      </c>
      <c r="LL20" s="279">
        <v>941.2</v>
      </c>
      <c r="LM20" s="324"/>
      <c r="LN20" s="279"/>
      <c r="LO20" s="95"/>
      <c r="LP20" s="71"/>
      <c r="LQ20" s="569">
        <f t="shared" si="36"/>
        <v>0</v>
      </c>
      <c r="LT20" s="106"/>
      <c r="LU20" s="15">
        <v>13</v>
      </c>
      <c r="LV20" s="92"/>
      <c r="LW20" s="324"/>
      <c r="LX20" s="92"/>
      <c r="LY20" s="95"/>
      <c r="LZ20" s="71"/>
      <c r="MA20" s="569">
        <f t="shared" si="37"/>
        <v>0</v>
      </c>
      <c r="MB20" s="569"/>
      <c r="MD20" s="106"/>
      <c r="ME20" s="15">
        <v>13</v>
      </c>
      <c r="MF20" s="389"/>
      <c r="MG20" s="324"/>
      <c r="MH20" s="991"/>
      <c r="MI20" s="319"/>
      <c r="MJ20" s="71"/>
      <c r="MK20" s="71">
        <f t="shared" si="38"/>
        <v>0</v>
      </c>
      <c r="MN20" s="106"/>
      <c r="MO20" s="15">
        <v>13</v>
      </c>
      <c r="MP20" s="92"/>
      <c r="MQ20" s="324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24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24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24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24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24"/>
      <c r="OP20" s="92"/>
      <c r="OQ20" s="95"/>
      <c r="OR20" s="71"/>
      <c r="OS20" s="71">
        <f t="shared" si="44"/>
        <v>0</v>
      </c>
      <c r="OV20" s="106"/>
      <c r="OW20" s="15">
        <v>13</v>
      </c>
      <c r="OX20" s="279"/>
      <c r="OY20" s="328"/>
      <c r="OZ20" s="279"/>
      <c r="PA20" s="319"/>
      <c r="PB20" s="266"/>
      <c r="PC20" s="266">
        <f t="shared" si="45"/>
        <v>0</v>
      </c>
      <c r="PF20" s="94"/>
      <c r="PG20" s="15">
        <v>13</v>
      </c>
      <c r="PH20" s="92"/>
      <c r="PI20" s="324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24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324"/>
      <c r="QL20" s="92"/>
      <c r="QM20" s="95"/>
      <c r="QN20" s="71"/>
      <c r="QQ20" s="106"/>
      <c r="QR20" s="15">
        <v>13</v>
      </c>
      <c r="QS20" s="92"/>
      <c r="QT20" s="324"/>
      <c r="QU20" s="92"/>
      <c r="QV20" s="95"/>
      <c r="QW20" s="71"/>
      <c r="QZ20" s="106"/>
      <c r="RA20" s="15">
        <v>13</v>
      </c>
      <c r="RB20" s="92"/>
      <c r="RC20" s="324"/>
      <c r="RD20" s="92"/>
      <c r="RE20" s="95"/>
      <c r="RF20" s="71"/>
      <c r="RI20" s="106"/>
      <c r="RJ20" s="15">
        <v>13</v>
      </c>
      <c r="RK20" s="92"/>
      <c r="RL20" s="324"/>
      <c r="RM20" s="92"/>
      <c r="RN20" s="95"/>
      <c r="RO20" s="377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88"/>
      <c r="TF20" s="179"/>
      <c r="TG20" s="381"/>
      <c r="TH20" s="380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SEABOARD FOODS</v>
      </c>
      <c r="C21" s="75" t="str">
        <f t="shared" si="59"/>
        <v>Seaboard</v>
      </c>
      <c r="D21" s="392" t="str">
        <f>GA5</f>
        <v>PED. 81999518</v>
      </c>
      <c r="E21" s="135">
        <f t="shared" si="59"/>
        <v>44695</v>
      </c>
      <c r="F21" s="86">
        <f t="shared" si="59"/>
        <v>18914.509999999998</v>
      </c>
      <c r="G21" s="73">
        <f t="shared" si="59"/>
        <v>21</v>
      </c>
      <c r="H21" s="48">
        <f t="shared" si="59"/>
        <v>19007.3</v>
      </c>
      <c r="I21" s="105">
        <f t="shared" si="59"/>
        <v>-92.790000000000873</v>
      </c>
      <c r="K21" s="242"/>
      <c r="L21" s="94"/>
      <c r="M21" s="15">
        <v>14</v>
      </c>
      <c r="N21" s="69">
        <v>940.7</v>
      </c>
      <c r="O21" s="336">
        <v>44685</v>
      </c>
      <c r="P21" s="69">
        <v>940.7</v>
      </c>
      <c r="Q21" s="70" t="s">
        <v>380</v>
      </c>
      <c r="R21" s="71">
        <v>47</v>
      </c>
      <c r="S21" s="569">
        <f t="shared" si="7"/>
        <v>44212.9</v>
      </c>
      <c r="T21" s="242"/>
      <c r="V21" s="94"/>
      <c r="W21" s="15">
        <v>14</v>
      </c>
      <c r="X21" s="69">
        <v>878.2</v>
      </c>
      <c r="Y21" s="336">
        <v>44684</v>
      </c>
      <c r="Z21" s="69">
        <v>878.2</v>
      </c>
      <c r="AA21" s="70" t="s">
        <v>365</v>
      </c>
      <c r="AB21" s="71">
        <v>47</v>
      </c>
      <c r="AC21" s="569">
        <f t="shared" si="8"/>
        <v>41275.4</v>
      </c>
      <c r="AF21" s="106"/>
      <c r="AG21" s="15">
        <v>14</v>
      </c>
      <c r="AH21" s="92">
        <v>926.23</v>
      </c>
      <c r="AI21" s="324">
        <v>44686</v>
      </c>
      <c r="AJ21" s="92">
        <v>926.23</v>
      </c>
      <c r="AK21" s="95" t="s">
        <v>390</v>
      </c>
      <c r="AL21" s="71">
        <v>47</v>
      </c>
      <c r="AM21" s="569">
        <f t="shared" si="9"/>
        <v>43532.81</v>
      </c>
      <c r="AP21" s="106"/>
      <c r="AQ21" s="15">
        <v>14</v>
      </c>
      <c r="AR21" s="279">
        <v>968.41</v>
      </c>
      <c r="AS21" s="324">
        <v>44686</v>
      </c>
      <c r="AT21" s="279">
        <v>968.41</v>
      </c>
      <c r="AU21" s="95" t="s">
        <v>392</v>
      </c>
      <c r="AV21" s="71">
        <v>47</v>
      </c>
      <c r="AW21" s="569">
        <f t="shared" si="10"/>
        <v>45515.27</v>
      </c>
      <c r="AZ21" s="106"/>
      <c r="BA21" s="15">
        <v>14</v>
      </c>
      <c r="BB21" s="92">
        <v>886.8</v>
      </c>
      <c r="BC21" s="324">
        <v>44687</v>
      </c>
      <c r="BD21" s="92">
        <v>886.8</v>
      </c>
      <c r="BE21" s="95" t="s">
        <v>402</v>
      </c>
      <c r="BF21" s="71">
        <v>49</v>
      </c>
      <c r="BG21" s="569">
        <f t="shared" si="11"/>
        <v>43453.2</v>
      </c>
      <c r="BJ21" s="106"/>
      <c r="BK21" s="15">
        <v>14</v>
      </c>
      <c r="BL21" s="279">
        <v>913.1</v>
      </c>
      <c r="BM21" s="245">
        <v>44688</v>
      </c>
      <c r="BN21" s="279">
        <v>913.1</v>
      </c>
      <c r="BO21" s="319" t="s">
        <v>409</v>
      </c>
      <c r="BP21" s="813">
        <v>49</v>
      </c>
      <c r="BQ21" s="737">
        <f t="shared" si="12"/>
        <v>44741.9</v>
      </c>
      <c r="BT21" s="106"/>
      <c r="BU21" s="263">
        <v>14</v>
      </c>
      <c r="BV21" s="279">
        <v>870.7</v>
      </c>
      <c r="BW21" s="378">
        <v>44688</v>
      </c>
      <c r="BX21" s="279">
        <v>870.7</v>
      </c>
      <c r="BY21" s="379" t="s">
        <v>417</v>
      </c>
      <c r="BZ21" s="380">
        <v>49</v>
      </c>
      <c r="CA21" s="569">
        <f t="shared" si="13"/>
        <v>42664.3</v>
      </c>
      <c r="CD21" s="762"/>
      <c r="CE21" s="15">
        <v>14</v>
      </c>
      <c r="CF21" s="279">
        <v>875.4</v>
      </c>
      <c r="CG21" s="994">
        <v>44690</v>
      </c>
      <c r="CH21" s="279">
        <v>875.4</v>
      </c>
      <c r="CI21" s="814" t="s">
        <v>431</v>
      </c>
      <c r="CJ21" s="692">
        <v>49</v>
      </c>
      <c r="CK21" s="322">
        <f t="shared" si="14"/>
        <v>42894.6</v>
      </c>
      <c r="CN21" s="601"/>
      <c r="CO21" s="15">
        <v>14</v>
      </c>
      <c r="CP21" s="279">
        <v>931.22</v>
      </c>
      <c r="CQ21" s="378">
        <v>44688</v>
      </c>
      <c r="CR21" s="279">
        <v>931.22</v>
      </c>
      <c r="CS21" s="381" t="s">
        <v>422</v>
      </c>
      <c r="CT21" s="380">
        <v>49</v>
      </c>
      <c r="CU21" s="575">
        <f t="shared" si="48"/>
        <v>45629.78</v>
      </c>
      <c r="CX21" s="106"/>
      <c r="CY21" s="15">
        <v>14</v>
      </c>
      <c r="CZ21" s="92">
        <v>901.7</v>
      </c>
      <c r="DA21" s="324">
        <v>44692</v>
      </c>
      <c r="DB21" s="92">
        <v>901.7</v>
      </c>
      <c r="DC21" s="95" t="s">
        <v>454</v>
      </c>
      <c r="DD21" s="71">
        <v>49</v>
      </c>
      <c r="DE21" s="569">
        <f t="shared" si="15"/>
        <v>44183.3</v>
      </c>
      <c r="DH21" s="106"/>
      <c r="DI21" s="15">
        <v>14</v>
      </c>
      <c r="DJ21" s="279">
        <v>900.8</v>
      </c>
      <c r="DK21" s="378">
        <v>44691</v>
      </c>
      <c r="DL21" s="92">
        <v>900.8</v>
      </c>
      <c r="DM21" s="381" t="s">
        <v>444</v>
      </c>
      <c r="DN21" s="380">
        <v>49</v>
      </c>
      <c r="DO21" s="575">
        <f t="shared" si="16"/>
        <v>44139.199999999997</v>
      </c>
      <c r="DR21" s="106"/>
      <c r="DS21" s="15">
        <v>14</v>
      </c>
      <c r="DT21" s="92">
        <v>896.3</v>
      </c>
      <c r="DU21" s="378">
        <v>44691</v>
      </c>
      <c r="DV21" s="92">
        <v>896.3</v>
      </c>
      <c r="DW21" s="381" t="s">
        <v>436</v>
      </c>
      <c r="DX21" s="380">
        <v>59</v>
      </c>
      <c r="DY21" s="569">
        <f t="shared" si="17"/>
        <v>52881.7</v>
      </c>
      <c r="EB21" s="106"/>
      <c r="EC21" s="15">
        <v>14</v>
      </c>
      <c r="ED21" s="69">
        <v>955.26</v>
      </c>
      <c r="EE21" s="336">
        <v>44693</v>
      </c>
      <c r="EF21" s="92">
        <v>955.26</v>
      </c>
      <c r="EG21" s="70" t="s">
        <v>465</v>
      </c>
      <c r="EH21" s="71">
        <v>49</v>
      </c>
      <c r="EI21" s="569">
        <f t="shared" si="18"/>
        <v>46807.74</v>
      </c>
      <c r="EL21" s="106"/>
      <c r="EM21" s="15">
        <v>14</v>
      </c>
      <c r="EN21" s="279">
        <v>943.47</v>
      </c>
      <c r="EO21" s="328">
        <v>44693</v>
      </c>
      <c r="EP21" s="279">
        <v>943.47</v>
      </c>
      <c r="EQ21" s="265" t="s">
        <v>470</v>
      </c>
      <c r="ER21" s="266">
        <v>49</v>
      </c>
      <c r="ES21" s="569">
        <f t="shared" si="19"/>
        <v>46230.03</v>
      </c>
      <c r="EV21" s="106"/>
      <c r="EW21" s="15">
        <v>14</v>
      </c>
      <c r="EX21" s="264">
        <v>921.24</v>
      </c>
      <c r="EY21" s="495">
        <v>44694</v>
      </c>
      <c r="EZ21" s="264">
        <v>921.24</v>
      </c>
      <c r="FA21" s="265" t="s">
        <v>490</v>
      </c>
      <c r="FB21" s="266">
        <v>49</v>
      </c>
      <c r="FC21" s="322">
        <f t="shared" si="20"/>
        <v>45140.76</v>
      </c>
      <c r="FF21" s="106"/>
      <c r="FG21" s="15">
        <v>14</v>
      </c>
      <c r="FH21" s="279">
        <v>950</v>
      </c>
      <c r="FI21" s="328">
        <v>44694</v>
      </c>
      <c r="FJ21" s="279">
        <v>950</v>
      </c>
      <c r="FK21" s="265" t="s">
        <v>486</v>
      </c>
      <c r="FL21" s="266">
        <v>49</v>
      </c>
      <c r="FM21" s="569">
        <f t="shared" si="21"/>
        <v>46550</v>
      </c>
      <c r="FP21" s="106"/>
      <c r="FQ21" s="15">
        <v>14</v>
      </c>
      <c r="FR21" s="92">
        <v>905.4</v>
      </c>
      <c r="FS21" s="324">
        <v>44695</v>
      </c>
      <c r="FT21" s="92">
        <v>905.4</v>
      </c>
      <c r="FU21" s="70" t="s">
        <v>503</v>
      </c>
      <c r="FV21" s="71">
        <v>49</v>
      </c>
      <c r="FW21" s="569">
        <f t="shared" si="22"/>
        <v>44364.6</v>
      </c>
      <c r="FX21" s="71"/>
      <c r="FZ21" s="106"/>
      <c r="GA21" s="15">
        <v>14</v>
      </c>
      <c r="GB21" s="69">
        <v>862.7</v>
      </c>
      <c r="GC21" s="495">
        <v>44697</v>
      </c>
      <c r="GD21" s="69">
        <v>862.7</v>
      </c>
      <c r="GE21" s="265" t="s">
        <v>517</v>
      </c>
      <c r="GF21" s="266">
        <v>49</v>
      </c>
      <c r="GG21" s="322">
        <f t="shared" si="23"/>
        <v>42272.3</v>
      </c>
      <c r="GJ21" s="106"/>
      <c r="GK21" s="15">
        <v>14</v>
      </c>
      <c r="GL21" s="473">
        <v>892.7</v>
      </c>
      <c r="GM21" s="324">
        <v>44699</v>
      </c>
      <c r="GN21" s="473">
        <v>892.7</v>
      </c>
      <c r="GO21" s="95" t="s">
        <v>526</v>
      </c>
      <c r="GP21" s="71">
        <v>43</v>
      </c>
      <c r="GQ21" s="569">
        <f t="shared" si="24"/>
        <v>38386.1</v>
      </c>
      <c r="GT21" s="106"/>
      <c r="GU21" s="15">
        <v>14</v>
      </c>
      <c r="GV21" s="279">
        <v>898.1</v>
      </c>
      <c r="GW21" s="328">
        <v>44700</v>
      </c>
      <c r="GX21" s="279">
        <v>898.1</v>
      </c>
      <c r="GY21" s="319" t="s">
        <v>529</v>
      </c>
      <c r="GZ21" s="266">
        <v>43</v>
      </c>
      <c r="HA21" s="569">
        <f t="shared" si="25"/>
        <v>38618.300000000003</v>
      </c>
      <c r="HD21" s="106"/>
      <c r="HE21" s="15">
        <v>14</v>
      </c>
      <c r="HF21" s="279">
        <v>925.32</v>
      </c>
      <c r="HG21" s="328">
        <v>44700</v>
      </c>
      <c r="HH21" s="279">
        <v>925.32</v>
      </c>
      <c r="HI21" s="319" t="s">
        <v>531</v>
      </c>
      <c r="HJ21" s="266">
        <v>43</v>
      </c>
      <c r="HK21" s="322">
        <f t="shared" si="26"/>
        <v>39788.76</v>
      </c>
      <c r="HN21" s="106"/>
      <c r="HO21" s="15">
        <v>14</v>
      </c>
      <c r="HP21" s="279">
        <v>940.75</v>
      </c>
      <c r="HQ21" s="328">
        <v>44700</v>
      </c>
      <c r="HR21" s="279">
        <v>940.75</v>
      </c>
      <c r="HS21" s="383" t="s">
        <v>540</v>
      </c>
      <c r="HT21" s="266">
        <v>43</v>
      </c>
      <c r="HU21" s="569">
        <f t="shared" si="27"/>
        <v>40452.25</v>
      </c>
      <c r="HX21" s="94"/>
      <c r="HY21" s="15">
        <v>14</v>
      </c>
      <c r="HZ21" s="69">
        <v>881.8</v>
      </c>
      <c r="IA21" s="336">
        <v>44702</v>
      </c>
      <c r="IB21" s="69">
        <v>881.8</v>
      </c>
      <c r="IC21" s="70" t="s">
        <v>549</v>
      </c>
      <c r="ID21" s="71">
        <v>45</v>
      </c>
      <c r="IE21" s="569">
        <f t="shared" si="5"/>
        <v>39681</v>
      </c>
      <c r="IH21" s="94"/>
      <c r="II21" s="15">
        <v>14</v>
      </c>
      <c r="IJ21" s="69">
        <v>928.04</v>
      </c>
      <c r="IK21" s="336">
        <v>44701</v>
      </c>
      <c r="IL21" s="69">
        <v>928.04</v>
      </c>
      <c r="IM21" s="70" t="s">
        <v>534</v>
      </c>
      <c r="IN21" s="71">
        <v>43</v>
      </c>
      <c r="IO21" s="569">
        <f t="shared" si="28"/>
        <v>39905.72</v>
      </c>
      <c r="IR21" s="106"/>
      <c r="IS21" s="15">
        <v>14</v>
      </c>
      <c r="IT21" s="279">
        <v>880</v>
      </c>
      <c r="IU21" s="245"/>
      <c r="IV21" s="279"/>
      <c r="IW21" s="501"/>
      <c r="IX21" s="266"/>
      <c r="IY21" s="322">
        <f t="shared" si="29"/>
        <v>0</v>
      </c>
      <c r="IZ21" s="92"/>
      <c r="JB21" s="106"/>
      <c r="JC21" s="15">
        <v>14</v>
      </c>
      <c r="JD21" s="92">
        <v>912.6</v>
      </c>
      <c r="JE21" s="336"/>
      <c r="JF21" s="279"/>
      <c r="JG21" s="265"/>
      <c r="JH21" s="71"/>
      <c r="JI21" s="569">
        <f t="shared" si="30"/>
        <v>0</v>
      </c>
      <c r="JL21" s="106"/>
      <c r="JM21" s="15">
        <v>14</v>
      </c>
      <c r="JN21" s="92">
        <v>935.3</v>
      </c>
      <c r="JO21" s="324"/>
      <c r="JP21" s="92"/>
      <c r="JQ21" s="70"/>
      <c r="JR21" s="71"/>
      <c r="JS21" s="569">
        <f t="shared" si="31"/>
        <v>0</v>
      </c>
      <c r="JV21" s="94"/>
      <c r="JW21" s="15">
        <v>14</v>
      </c>
      <c r="JX21" s="69">
        <v>921.24</v>
      </c>
      <c r="JY21" s="336"/>
      <c r="JZ21" s="69"/>
      <c r="KA21" s="70"/>
      <c r="KB21" s="71"/>
      <c r="KC21" s="569">
        <f t="shared" si="32"/>
        <v>0</v>
      </c>
      <c r="KE21" s="242"/>
      <c r="KF21" s="457"/>
      <c r="KG21" s="15">
        <v>14</v>
      </c>
      <c r="KH21" s="69">
        <v>955.71</v>
      </c>
      <c r="KI21" s="336"/>
      <c r="KJ21" s="69"/>
      <c r="KK21" s="70"/>
      <c r="KL21" s="71"/>
      <c r="KM21" s="569">
        <f t="shared" si="33"/>
        <v>0</v>
      </c>
      <c r="KP21" s="94"/>
      <c r="KQ21" s="15">
        <v>14</v>
      </c>
      <c r="KR21" s="69">
        <v>877.2</v>
      </c>
      <c r="KS21" s="336"/>
      <c r="KT21" s="69"/>
      <c r="KU21" s="70"/>
      <c r="KV21" s="71"/>
      <c r="KW21" s="569">
        <f t="shared" si="34"/>
        <v>0</v>
      </c>
      <c r="KZ21" s="106"/>
      <c r="LA21" s="15">
        <v>14</v>
      </c>
      <c r="LB21" s="92">
        <v>875.4</v>
      </c>
      <c r="LC21" s="324"/>
      <c r="LD21" s="92"/>
      <c r="LE21" s="95"/>
      <c r="LF21" s="71"/>
      <c r="LG21" s="569">
        <f t="shared" si="35"/>
        <v>0</v>
      </c>
      <c r="LJ21" s="106"/>
      <c r="LK21" s="15">
        <v>14</v>
      </c>
      <c r="LL21" s="279">
        <v>958.89</v>
      </c>
      <c r="LM21" s="324"/>
      <c r="LN21" s="279"/>
      <c r="LO21" s="95"/>
      <c r="LP21" s="71"/>
      <c r="LQ21" s="569">
        <f t="shared" si="36"/>
        <v>0</v>
      </c>
      <c r="LT21" s="106"/>
      <c r="LU21" s="15">
        <v>14</v>
      </c>
      <c r="LV21" s="92"/>
      <c r="LW21" s="324"/>
      <c r="LX21" s="92"/>
      <c r="LY21" s="95"/>
      <c r="LZ21" s="71"/>
      <c r="MA21" s="569">
        <f t="shared" si="37"/>
        <v>0</v>
      </c>
      <c r="MB21" s="569"/>
      <c r="MD21" s="106"/>
      <c r="ME21" s="15">
        <v>14</v>
      </c>
      <c r="MF21" s="389"/>
      <c r="MG21" s="324"/>
      <c r="MH21" s="991"/>
      <c r="MI21" s="319"/>
      <c r="MJ21" s="71"/>
      <c r="MK21" s="71">
        <f t="shared" si="38"/>
        <v>0</v>
      </c>
      <c r="MN21" s="106"/>
      <c r="MO21" s="15">
        <v>14</v>
      </c>
      <c r="MP21" s="92"/>
      <c r="MQ21" s="324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24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24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24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24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24"/>
      <c r="OP21" s="92"/>
      <c r="OQ21" s="95"/>
      <c r="OR21" s="71"/>
      <c r="OS21" s="71">
        <f t="shared" si="44"/>
        <v>0</v>
      </c>
      <c r="OV21" s="106"/>
      <c r="OW21" s="15">
        <v>14</v>
      </c>
      <c r="OX21" s="279"/>
      <c r="OY21" s="328"/>
      <c r="OZ21" s="279"/>
      <c r="PA21" s="319"/>
      <c r="PB21" s="266"/>
      <c r="PC21" s="266">
        <f t="shared" si="45"/>
        <v>0</v>
      </c>
      <c r="PF21" s="94"/>
      <c r="PG21" s="15">
        <v>14</v>
      </c>
      <c r="PH21" s="92"/>
      <c r="PI21" s="324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24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324"/>
      <c r="QL21" s="92"/>
      <c r="QM21" s="95"/>
      <c r="QN21" s="71"/>
      <c r="QQ21" s="106"/>
      <c r="QR21" s="15">
        <v>14</v>
      </c>
      <c r="QS21" s="92"/>
      <c r="QT21" s="324"/>
      <c r="QU21" s="92"/>
      <c r="QV21" s="95"/>
      <c r="QW21" s="71"/>
      <c r="QZ21" s="106"/>
      <c r="RA21" s="15">
        <v>14</v>
      </c>
      <c r="RB21" s="92"/>
      <c r="RC21" s="324"/>
      <c r="RD21" s="92"/>
      <c r="RE21" s="95"/>
      <c r="RF21" s="71"/>
      <c r="RI21" s="106"/>
      <c r="RJ21" s="15">
        <v>14</v>
      </c>
      <c r="RK21" s="92"/>
      <c r="RL21" s="324"/>
      <c r="RM21" s="92"/>
      <c r="RN21" s="95"/>
      <c r="RO21" s="377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88"/>
      <c r="TF21" s="179"/>
      <c r="TG21" s="381"/>
      <c r="TH21" s="380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82131864</v>
      </c>
      <c r="E22" s="135">
        <f t="shared" si="60"/>
        <v>44698</v>
      </c>
      <c r="F22" s="86">
        <f t="shared" si="60"/>
        <v>18796.12</v>
      </c>
      <c r="G22" s="73">
        <f t="shared" si="60"/>
        <v>21</v>
      </c>
      <c r="H22" s="48">
        <f t="shared" si="60"/>
        <v>18884.900000000001</v>
      </c>
      <c r="I22" s="105">
        <f>GP5</f>
        <v>-88.780000000002474</v>
      </c>
      <c r="K22" s="242"/>
      <c r="L22" s="94"/>
      <c r="M22" s="15">
        <v>15</v>
      </c>
      <c r="N22" s="69">
        <v>869.1</v>
      </c>
      <c r="O22" s="336">
        <v>44685</v>
      </c>
      <c r="P22" s="69">
        <v>869.1</v>
      </c>
      <c r="Q22" s="70" t="s">
        <v>380</v>
      </c>
      <c r="R22" s="71">
        <v>47</v>
      </c>
      <c r="S22" s="569">
        <f t="shared" si="7"/>
        <v>40847.700000000004</v>
      </c>
      <c r="T22" s="242"/>
      <c r="V22" s="94"/>
      <c r="W22" s="15">
        <v>15</v>
      </c>
      <c r="X22" s="69">
        <v>924.4</v>
      </c>
      <c r="Y22" s="336">
        <v>44684</v>
      </c>
      <c r="Z22" s="69">
        <v>924.4</v>
      </c>
      <c r="AA22" s="70" t="s">
        <v>365</v>
      </c>
      <c r="AB22" s="71">
        <v>47</v>
      </c>
      <c r="AC22" s="569">
        <f t="shared" si="8"/>
        <v>43446.799999999996</v>
      </c>
      <c r="AF22" s="106"/>
      <c r="AG22" s="15">
        <v>15</v>
      </c>
      <c r="AH22" s="92">
        <v>969.32</v>
      </c>
      <c r="AI22" s="324">
        <v>44686</v>
      </c>
      <c r="AJ22" s="92">
        <v>969.32</v>
      </c>
      <c r="AK22" s="95" t="s">
        <v>390</v>
      </c>
      <c r="AL22" s="71">
        <v>47</v>
      </c>
      <c r="AM22" s="569">
        <f t="shared" si="9"/>
        <v>45558.04</v>
      </c>
      <c r="AP22" s="106"/>
      <c r="AQ22" s="15">
        <v>15</v>
      </c>
      <c r="AR22" s="279">
        <v>966.15</v>
      </c>
      <c r="AS22" s="324">
        <v>44686</v>
      </c>
      <c r="AT22" s="279">
        <v>966.15</v>
      </c>
      <c r="AU22" s="95" t="s">
        <v>392</v>
      </c>
      <c r="AV22" s="71">
        <v>47</v>
      </c>
      <c r="AW22" s="569">
        <f t="shared" si="10"/>
        <v>45409.049999999996</v>
      </c>
      <c r="AZ22" s="106"/>
      <c r="BA22" s="15">
        <v>15</v>
      </c>
      <c r="BB22" s="92">
        <v>848.7</v>
      </c>
      <c r="BC22" s="324">
        <v>44687</v>
      </c>
      <c r="BD22" s="92">
        <v>848.7</v>
      </c>
      <c r="BE22" s="95" t="s">
        <v>402</v>
      </c>
      <c r="BF22" s="71">
        <v>49</v>
      </c>
      <c r="BG22" s="569">
        <f t="shared" si="11"/>
        <v>41586.300000000003</v>
      </c>
      <c r="BJ22" s="106"/>
      <c r="BK22" s="15">
        <v>15</v>
      </c>
      <c r="BL22" s="279">
        <v>901.3</v>
      </c>
      <c r="BM22" s="245">
        <v>44688</v>
      </c>
      <c r="BN22" s="279">
        <v>901.3</v>
      </c>
      <c r="BO22" s="319" t="s">
        <v>409</v>
      </c>
      <c r="BP22" s="813">
        <v>49</v>
      </c>
      <c r="BQ22" s="737">
        <f t="shared" si="12"/>
        <v>44163.7</v>
      </c>
      <c r="BT22" s="106"/>
      <c r="BU22" s="263">
        <v>15</v>
      </c>
      <c r="BV22" s="279">
        <v>869.1</v>
      </c>
      <c r="BW22" s="378">
        <v>44688</v>
      </c>
      <c r="BX22" s="279">
        <v>869.1</v>
      </c>
      <c r="BY22" s="379" t="s">
        <v>417</v>
      </c>
      <c r="BZ22" s="380">
        <v>49</v>
      </c>
      <c r="CA22" s="569">
        <f t="shared" si="13"/>
        <v>42585.9</v>
      </c>
      <c r="CD22" s="762"/>
      <c r="CE22" s="15">
        <v>15</v>
      </c>
      <c r="CF22" s="279">
        <v>876.8</v>
      </c>
      <c r="CG22" s="994">
        <v>44690</v>
      </c>
      <c r="CH22" s="279">
        <v>876.8</v>
      </c>
      <c r="CI22" s="814" t="s">
        <v>431</v>
      </c>
      <c r="CJ22" s="692">
        <v>49</v>
      </c>
      <c r="CK22" s="322">
        <f t="shared" si="14"/>
        <v>42963.199999999997</v>
      </c>
      <c r="CN22" s="601"/>
      <c r="CO22" s="15">
        <v>15</v>
      </c>
      <c r="CP22" s="264">
        <v>871.8</v>
      </c>
      <c r="CQ22" s="378">
        <v>44688</v>
      </c>
      <c r="CR22" s="264">
        <v>871.8</v>
      </c>
      <c r="CS22" s="381" t="s">
        <v>422</v>
      </c>
      <c r="CT22" s="380">
        <v>49</v>
      </c>
      <c r="CU22" s="575">
        <f t="shared" si="48"/>
        <v>42718.2</v>
      </c>
      <c r="CX22" s="106"/>
      <c r="CY22" s="15">
        <v>15</v>
      </c>
      <c r="CZ22" s="92">
        <v>938.9</v>
      </c>
      <c r="DA22" s="324">
        <v>44693</v>
      </c>
      <c r="DB22" s="92">
        <v>938.9</v>
      </c>
      <c r="DC22" s="95" t="s">
        <v>456</v>
      </c>
      <c r="DD22" s="71">
        <v>49</v>
      </c>
      <c r="DE22" s="569">
        <f t="shared" si="15"/>
        <v>46006.1</v>
      </c>
      <c r="DH22" s="106"/>
      <c r="DI22" s="15">
        <v>15</v>
      </c>
      <c r="DJ22" s="279">
        <v>920.8</v>
      </c>
      <c r="DK22" s="378">
        <v>44691</v>
      </c>
      <c r="DL22" s="92">
        <v>920.8</v>
      </c>
      <c r="DM22" s="381" t="s">
        <v>441</v>
      </c>
      <c r="DN22" s="380">
        <v>49</v>
      </c>
      <c r="DO22" s="575">
        <f t="shared" si="16"/>
        <v>45119.199999999997</v>
      </c>
      <c r="DR22" s="106"/>
      <c r="DS22" s="15">
        <v>15</v>
      </c>
      <c r="DT22" s="92">
        <v>877.2</v>
      </c>
      <c r="DU22" s="378">
        <v>44691</v>
      </c>
      <c r="DV22" s="92">
        <v>877.2</v>
      </c>
      <c r="DW22" s="381" t="s">
        <v>436</v>
      </c>
      <c r="DX22" s="380">
        <v>59</v>
      </c>
      <c r="DY22" s="569">
        <f t="shared" si="17"/>
        <v>51754.8</v>
      </c>
      <c r="EB22" s="106"/>
      <c r="EC22" s="15">
        <v>15</v>
      </c>
      <c r="ED22" s="69">
        <v>884.5</v>
      </c>
      <c r="EE22" s="336">
        <v>44694</v>
      </c>
      <c r="EF22" s="69">
        <v>884.5</v>
      </c>
      <c r="EG22" s="70" t="s">
        <v>477</v>
      </c>
      <c r="EH22" s="71">
        <v>49</v>
      </c>
      <c r="EI22" s="569">
        <f t="shared" si="18"/>
        <v>43340.5</v>
      </c>
      <c r="EL22" s="106"/>
      <c r="EM22" s="15">
        <v>15</v>
      </c>
      <c r="EN22" s="279">
        <v>896.75</v>
      </c>
      <c r="EO22" s="328">
        <v>44693</v>
      </c>
      <c r="EP22" s="279">
        <v>896.75</v>
      </c>
      <c r="EQ22" s="265" t="s">
        <v>470</v>
      </c>
      <c r="ER22" s="266">
        <v>49</v>
      </c>
      <c r="ES22" s="569">
        <f t="shared" si="19"/>
        <v>43940.75</v>
      </c>
      <c r="EV22" s="106"/>
      <c r="EW22" s="15">
        <v>15</v>
      </c>
      <c r="EX22" s="264">
        <v>925.32</v>
      </c>
      <c r="EY22" s="495">
        <v>44694</v>
      </c>
      <c r="EZ22" s="264">
        <v>925.32</v>
      </c>
      <c r="FA22" s="265" t="s">
        <v>490</v>
      </c>
      <c r="FB22" s="266">
        <v>49</v>
      </c>
      <c r="FC22" s="322">
        <f t="shared" si="20"/>
        <v>45340.68</v>
      </c>
      <c r="FF22" s="106"/>
      <c r="FG22" s="15">
        <v>15</v>
      </c>
      <c r="FH22" s="279">
        <v>945</v>
      </c>
      <c r="FI22" s="328">
        <v>44694</v>
      </c>
      <c r="FJ22" s="279">
        <v>945</v>
      </c>
      <c r="FK22" s="265" t="s">
        <v>486</v>
      </c>
      <c r="FL22" s="266">
        <v>49</v>
      </c>
      <c r="FM22" s="569">
        <f t="shared" si="21"/>
        <v>46305</v>
      </c>
      <c r="FP22" s="106"/>
      <c r="FQ22" s="15">
        <v>15</v>
      </c>
      <c r="FR22" s="92">
        <v>920.8</v>
      </c>
      <c r="FS22" s="324">
        <v>44695</v>
      </c>
      <c r="FT22" s="92">
        <v>920.8</v>
      </c>
      <c r="FU22" s="70" t="s">
        <v>479</v>
      </c>
      <c r="FV22" s="71">
        <v>49</v>
      </c>
      <c r="FW22" s="569">
        <f t="shared" si="22"/>
        <v>45119.199999999997</v>
      </c>
      <c r="FX22" s="71"/>
      <c r="FZ22" s="106"/>
      <c r="GA22" s="15">
        <v>15</v>
      </c>
      <c r="GB22" s="69">
        <v>911.7</v>
      </c>
      <c r="GC22" s="495">
        <v>44697</v>
      </c>
      <c r="GD22" s="69">
        <v>911.7</v>
      </c>
      <c r="GE22" s="265" t="s">
        <v>517</v>
      </c>
      <c r="GF22" s="266">
        <v>49</v>
      </c>
      <c r="GG22" s="322">
        <f t="shared" si="23"/>
        <v>44673.3</v>
      </c>
      <c r="GJ22" s="106"/>
      <c r="GK22" s="15">
        <v>15</v>
      </c>
      <c r="GL22" s="473">
        <v>869.1</v>
      </c>
      <c r="GM22" s="324">
        <v>44699</v>
      </c>
      <c r="GN22" s="473">
        <v>869.1</v>
      </c>
      <c r="GO22" s="95" t="s">
        <v>526</v>
      </c>
      <c r="GP22" s="71">
        <v>43</v>
      </c>
      <c r="GQ22" s="569">
        <f t="shared" si="24"/>
        <v>37371.300000000003</v>
      </c>
      <c r="GT22" s="106"/>
      <c r="GU22" s="15">
        <v>15</v>
      </c>
      <c r="GV22" s="279">
        <v>907.2</v>
      </c>
      <c r="GW22" s="328">
        <v>44700</v>
      </c>
      <c r="GX22" s="279">
        <v>907.2</v>
      </c>
      <c r="GY22" s="319" t="s">
        <v>529</v>
      </c>
      <c r="GZ22" s="266">
        <v>43</v>
      </c>
      <c r="HA22" s="569">
        <f t="shared" si="25"/>
        <v>39009.599999999999</v>
      </c>
      <c r="HD22" s="106"/>
      <c r="HE22" s="15">
        <v>15</v>
      </c>
      <c r="HF22" s="279">
        <v>930.77</v>
      </c>
      <c r="HG22" s="328">
        <v>44700</v>
      </c>
      <c r="HH22" s="279">
        <v>930.77</v>
      </c>
      <c r="HI22" s="319" t="s">
        <v>535</v>
      </c>
      <c r="HJ22" s="266">
        <v>43</v>
      </c>
      <c r="HK22" s="322">
        <f t="shared" si="26"/>
        <v>40023.11</v>
      </c>
      <c r="HN22" s="106"/>
      <c r="HO22" s="15">
        <v>15</v>
      </c>
      <c r="HP22" s="279">
        <v>950.72</v>
      </c>
      <c r="HQ22" s="328">
        <v>44700</v>
      </c>
      <c r="HR22" s="279">
        <v>950.72</v>
      </c>
      <c r="HS22" s="383" t="s">
        <v>540</v>
      </c>
      <c r="HT22" s="266">
        <v>43</v>
      </c>
      <c r="HU22" s="569">
        <f t="shared" si="27"/>
        <v>40880.959999999999</v>
      </c>
      <c r="HX22" s="94"/>
      <c r="HY22" s="15">
        <v>15</v>
      </c>
      <c r="HZ22" s="69">
        <v>889</v>
      </c>
      <c r="IA22" s="336">
        <v>44702</v>
      </c>
      <c r="IB22" s="69">
        <v>889</v>
      </c>
      <c r="IC22" s="70" t="s">
        <v>549</v>
      </c>
      <c r="ID22" s="71">
        <v>45</v>
      </c>
      <c r="IE22" s="569">
        <f t="shared" si="5"/>
        <v>40005</v>
      </c>
      <c r="IH22" s="94"/>
      <c r="II22" s="15">
        <v>15</v>
      </c>
      <c r="IJ22" s="69">
        <v>945.28</v>
      </c>
      <c r="IK22" s="336">
        <v>44702</v>
      </c>
      <c r="IL22" s="69">
        <v>945.28</v>
      </c>
      <c r="IM22" s="70" t="s">
        <v>539</v>
      </c>
      <c r="IN22" s="71">
        <v>45</v>
      </c>
      <c r="IO22" s="569">
        <f t="shared" si="28"/>
        <v>42537.599999999999</v>
      </c>
      <c r="IR22" s="106"/>
      <c r="IS22" s="15">
        <v>15</v>
      </c>
      <c r="IT22" s="279">
        <v>926.2</v>
      </c>
      <c r="IU22" s="245"/>
      <c r="IV22" s="279"/>
      <c r="IW22" s="501"/>
      <c r="IX22" s="266"/>
      <c r="IY22" s="322">
        <f t="shared" si="29"/>
        <v>0</v>
      </c>
      <c r="IZ22" s="92"/>
      <c r="JB22" s="106"/>
      <c r="JC22" s="15">
        <v>15</v>
      </c>
      <c r="JD22" s="92">
        <v>895.4</v>
      </c>
      <c r="JE22" s="336"/>
      <c r="JF22" s="279"/>
      <c r="JG22" s="265"/>
      <c r="JH22" s="71"/>
      <c r="JI22" s="569">
        <f t="shared" si="30"/>
        <v>0</v>
      </c>
      <c r="JL22" s="106"/>
      <c r="JM22" s="15">
        <v>15</v>
      </c>
      <c r="JN22" s="92">
        <v>898.1</v>
      </c>
      <c r="JO22" s="324"/>
      <c r="JP22" s="92"/>
      <c r="JQ22" s="70"/>
      <c r="JR22" s="71"/>
      <c r="JS22" s="569">
        <f t="shared" si="31"/>
        <v>0</v>
      </c>
      <c r="JV22" s="94"/>
      <c r="JW22" s="15">
        <v>15</v>
      </c>
      <c r="JX22" s="69">
        <v>916.25</v>
      </c>
      <c r="JY22" s="336"/>
      <c r="JZ22" s="69"/>
      <c r="KA22" s="70"/>
      <c r="KB22" s="71"/>
      <c r="KC22" s="569">
        <f t="shared" si="32"/>
        <v>0</v>
      </c>
      <c r="KE22" s="242"/>
      <c r="KF22" s="457"/>
      <c r="KG22" s="15">
        <v>15</v>
      </c>
      <c r="KH22" s="69">
        <v>954.81</v>
      </c>
      <c r="KI22" s="336"/>
      <c r="KJ22" s="69"/>
      <c r="KK22" s="70"/>
      <c r="KL22" s="71"/>
      <c r="KM22" s="569">
        <f t="shared" si="33"/>
        <v>0</v>
      </c>
      <c r="KP22" s="94"/>
      <c r="KQ22" s="15">
        <v>15</v>
      </c>
      <c r="KR22" s="69">
        <v>866.4</v>
      </c>
      <c r="KS22" s="336"/>
      <c r="KT22" s="69"/>
      <c r="KU22" s="70"/>
      <c r="KV22" s="71"/>
      <c r="KW22" s="569">
        <f t="shared" si="34"/>
        <v>0</v>
      </c>
      <c r="KZ22" s="106"/>
      <c r="LA22" s="15">
        <v>15</v>
      </c>
      <c r="LB22" s="92">
        <v>884.5</v>
      </c>
      <c r="LC22" s="324"/>
      <c r="LD22" s="92"/>
      <c r="LE22" s="95"/>
      <c r="LF22" s="71"/>
      <c r="LG22" s="569">
        <f t="shared" si="35"/>
        <v>0</v>
      </c>
      <c r="LJ22" s="106"/>
      <c r="LK22" s="15">
        <v>15</v>
      </c>
      <c r="LL22" s="279">
        <v>923.51</v>
      </c>
      <c r="LM22" s="324"/>
      <c r="LN22" s="279"/>
      <c r="LO22" s="95"/>
      <c r="LP22" s="71"/>
      <c r="LQ22" s="569">
        <f t="shared" si="36"/>
        <v>0</v>
      </c>
      <c r="LT22" s="106"/>
      <c r="LU22" s="15">
        <v>15</v>
      </c>
      <c r="LV22" s="92"/>
      <c r="LW22" s="324"/>
      <c r="LX22" s="92"/>
      <c r="LY22" s="95"/>
      <c r="LZ22" s="71"/>
      <c r="MA22" s="569">
        <f t="shared" si="37"/>
        <v>0</v>
      </c>
      <c r="MB22" s="569"/>
      <c r="MD22" s="106"/>
      <c r="ME22" s="15">
        <v>15</v>
      </c>
      <c r="MF22" s="389"/>
      <c r="MG22" s="324"/>
      <c r="MH22" s="991"/>
      <c r="MI22" s="319"/>
      <c r="MJ22" s="71"/>
      <c r="MK22" s="71">
        <f t="shared" si="38"/>
        <v>0</v>
      </c>
      <c r="MN22" s="106"/>
      <c r="MO22" s="15">
        <v>15</v>
      </c>
      <c r="MP22" s="92"/>
      <c r="MQ22" s="324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24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24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24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24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24"/>
      <c r="OP22" s="92"/>
      <c r="OQ22" s="95"/>
      <c r="OR22" s="71"/>
      <c r="OS22" s="71">
        <f t="shared" si="44"/>
        <v>0</v>
      </c>
      <c r="OV22" s="106"/>
      <c r="OW22" s="15">
        <v>15</v>
      </c>
      <c r="OX22" s="279"/>
      <c r="OY22" s="328"/>
      <c r="OZ22" s="279"/>
      <c r="PA22" s="319"/>
      <c r="PB22" s="266"/>
      <c r="PC22" s="266">
        <f t="shared" si="45"/>
        <v>0</v>
      </c>
      <c r="PF22" s="94"/>
      <c r="PG22" s="15">
        <v>15</v>
      </c>
      <c r="PH22" s="92"/>
      <c r="PI22" s="324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24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324"/>
      <c r="QL22" s="92"/>
      <c r="QM22" s="95"/>
      <c r="QN22" s="71"/>
      <c r="QQ22" s="106"/>
      <c r="QR22" s="15">
        <v>15</v>
      </c>
      <c r="QS22" s="92"/>
      <c r="QT22" s="324"/>
      <c r="QU22" s="92"/>
      <c r="QV22" s="95"/>
      <c r="QW22" s="71"/>
      <c r="QZ22" s="106"/>
      <c r="RA22" s="15">
        <v>15</v>
      </c>
      <c r="RB22" s="92"/>
      <c r="RC22" s="324"/>
      <c r="RD22" s="92"/>
      <c r="RE22" s="95"/>
      <c r="RF22" s="71"/>
      <c r="RI22" s="106"/>
      <c r="RJ22" s="15">
        <v>15</v>
      </c>
      <c r="RK22" s="92"/>
      <c r="RL22" s="324"/>
      <c r="RM22" s="92"/>
      <c r="RN22" s="95"/>
      <c r="RO22" s="377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88"/>
      <c r="TF22" s="179"/>
      <c r="TG22" s="381"/>
      <c r="TH22" s="380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 82143475</v>
      </c>
      <c r="E23" s="135">
        <f t="shared" si="61"/>
        <v>44698</v>
      </c>
      <c r="F23" s="86">
        <f t="shared" si="61"/>
        <v>18690.79</v>
      </c>
      <c r="G23" s="73">
        <f t="shared" si="61"/>
        <v>21</v>
      </c>
      <c r="H23" s="48">
        <f t="shared" si="61"/>
        <v>18776.900000000001</v>
      </c>
      <c r="I23" s="105">
        <f>F23-H23</f>
        <v>-86.110000000000582</v>
      </c>
      <c r="K23" s="242"/>
      <c r="L23" s="94"/>
      <c r="M23" s="15">
        <v>16</v>
      </c>
      <c r="N23" s="69">
        <v>898.1</v>
      </c>
      <c r="O23" s="336">
        <v>44685</v>
      </c>
      <c r="P23" s="69">
        <v>898.1</v>
      </c>
      <c r="Q23" s="70" t="s">
        <v>380</v>
      </c>
      <c r="R23" s="71">
        <v>47</v>
      </c>
      <c r="S23" s="569">
        <f t="shared" si="7"/>
        <v>42210.700000000004</v>
      </c>
      <c r="T23" s="242"/>
      <c r="V23" s="94"/>
      <c r="W23" s="15">
        <v>16</v>
      </c>
      <c r="X23" s="69">
        <v>940.7</v>
      </c>
      <c r="Y23" s="336">
        <v>44684</v>
      </c>
      <c r="Z23" s="69">
        <v>940.7</v>
      </c>
      <c r="AA23" s="70" t="s">
        <v>365</v>
      </c>
      <c r="AB23" s="71">
        <v>47</v>
      </c>
      <c r="AC23" s="569">
        <f t="shared" si="8"/>
        <v>44212.9</v>
      </c>
      <c r="AF23" s="106"/>
      <c r="AG23" s="15">
        <v>16</v>
      </c>
      <c r="AH23" s="92">
        <v>951.18</v>
      </c>
      <c r="AI23" s="324">
        <v>44686</v>
      </c>
      <c r="AJ23" s="92">
        <v>951.18</v>
      </c>
      <c r="AK23" s="95" t="s">
        <v>390</v>
      </c>
      <c r="AL23" s="71">
        <v>47</v>
      </c>
      <c r="AM23" s="569">
        <f t="shared" si="9"/>
        <v>44705.46</v>
      </c>
      <c r="AP23" s="106"/>
      <c r="AQ23" s="15">
        <v>16</v>
      </c>
      <c r="AR23" s="279">
        <v>973.4</v>
      </c>
      <c r="AS23" s="324">
        <v>44686</v>
      </c>
      <c r="AT23" s="279">
        <v>973.4</v>
      </c>
      <c r="AU23" s="95" t="s">
        <v>392</v>
      </c>
      <c r="AV23" s="71">
        <v>47</v>
      </c>
      <c r="AW23" s="569">
        <f t="shared" si="10"/>
        <v>45749.799999999996</v>
      </c>
      <c r="AZ23" s="106"/>
      <c r="BA23" s="15">
        <v>16</v>
      </c>
      <c r="BB23" s="92">
        <v>905</v>
      </c>
      <c r="BC23" s="324">
        <v>44687</v>
      </c>
      <c r="BD23" s="92">
        <v>905</v>
      </c>
      <c r="BE23" s="95" t="s">
        <v>402</v>
      </c>
      <c r="BF23" s="71">
        <v>49</v>
      </c>
      <c r="BG23" s="569">
        <f t="shared" si="11"/>
        <v>44345</v>
      </c>
      <c r="BJ23" s="106"/>
      <c r="BK23" s="15">
        <v>16</v>
      </c>
      <c r="BL23" s="279">
        <v>898.6</v>
      </c>
      <c r="BM23" s="245">
        <v>44688</v>
      </c>
      <c r="BN23" s="279">
        <v>898.6</v>
      </c>
      <c r="BO23" s="319" t="s">
        <v>409</v>
      </c>
      <c r="BP23" s="813">
        <v>49</v>
      </c>
      <c r="BQ23" s="737">
        <f t="shared" si="12"/>
        <v>44031.4</v>
      </c>
      <c r="BT23" s="106"/>
      <c r="BU23" s="263">
        <v>16</v>
      </c>
      <c r="BV23" s="279">
        <v>878.2</v>
      </c>
      <c r="BW23" s="378">
        <v>44688</v>
      </c>
      <c r="BX23" s="279">
        <v>878.2</v>
      </c>
      <c r="BY23" s="379" t="s">
        <v>413</v>
      </c>
      <c r="BZ23" s="380">
        <v>49</v>
      </c>
      <c r="CA23" s="569">
        <f t="shared" si="13"/>
        <v>43031.8</v>
      </c>
      <c r="CD23" s="762"/>
      <c r="CE23" s="15">
        <v>16</v>
      </c>
      <c r="CF23" s="279">
        <v>905.8</v>
      </c>
      <c r="CG23" s="994">
        <v>44690</v>
      </c>
      <c r="CH23" s="279">
        <v>905.8</v>
      </c>
      <c r="CI23" s="814" t="s">
        <v>427</v>
      </c>
      <c r="CJ23" s="692">
        <v>49</v>
      </c>
      <c r="CK23" s="322">
        <f t="shared" si="14"/>
        <v>44384.2</v>
      </c>
      <c r="CN23" s="601"/>
      <c r="CO23" s="15">
        <v>16</v>
      </c>
      <c r="CP23" s="279">
        <v>953.9</v>
      </c>
      <c r="CQ23" s="378">
        <v>44688</v>
      </c>
      <c r="CR23" s="279">
        <v>953.9</v>
      </c>
      <c r="CS23" s="381" t="s">
        <v>422</v>
      </c>
      <c r="CT23" s="380">
        <v>49</v>
      </c>
      <c r="CU23" s="575">
        <f t="shared" si="48"/>
        <v>46741.1</v>
      </c>
      <c r="CX23" s="106"/>
      <c r="CY23" s="15">
        <v>16</v>
      </c>
      <c r="CZ23" s="92">
        <v>915.3</v>
      </c>
      <c r="DA23" s="324">
        <v>44692</v>
      </c>
      <c r="DB23" s="92">
        <v>915.3</v>
      </c>
      <c r="DC23" s="95" t="s">
        <v>454</v>
      </c>
      <c r="DD23" s="71">
        <v>49</v>
      </c>
      <c r="DE23" s="569">
        <f t="shared" si="15"/>
        <v>44849.7</v>
      </c>
      <c r="DH23" s="106"/>
      <c r="DI23" s="15">
        <v>16</v>
      </c>
      <c r="DJ23" s="279">
        <v>905.4</v>
      </c>
      <c r="DK23" s="378">
        <v>44691</v>
      </c>
      <c r="DL23" s="92">
        <v>905.4</v>
      </c>
      <c r="DM23" s="381" t="s">
        <v>441</v>
      </c>
      <c r="DN23" s="380">
        <v>49</v>
      </c>
      <c r="DO23" s="575">
        <f t="shared" si="16"/>
        <v>44364.6</v>
      </c>
      <c r="DR23" s="106"/>
      <c r="DS23" s="15">
        <v>16</v>
      </c>
      <c r="DT23" s="92">
        <v>875.4</v>
      </c>
      <c r="DU23" s="378">
        <v>44691</v>
      </c>
      <c r="DV23" s="92">
        <v>875.4</v>
      </c>
      <c r="DW23" s="381" t="s">
        <v>436</v>
      </c>
      <c r="DX23" s="380">
        <v>59</v>
      </c>
      <c r="DY23" s="569">
        <f t="shared" si="17"/>
        <v>51648.6</v>
      </c>
      <c r="EB23" s="106"/>
      <c r="EC23" s="15">
        <v>16</v>
      </c>
      <c r="ED23" s="69">
        <v>892.21</v>
      </c>
      <c r="EE23" s="336">
        <v>44693</v>
      </c>
      <c r="EF23" s="92">
        <v>892.21</v>
      </c>
      <c r="EG23" s="70" t="s">
        <v>465</v>
      </c>
      <c r="EH23" s="71">
        <v>49</v>
      </c>
      <c r="EI23" s="569">
        <f t="shared" si="18"/>
        <v>43718.29</v>
      </c>
      <c r="EL23" s="106"/>
      <c r="EM23" s="15">
        <v>16</v>
      </c>
      <c r="EN23" s="279">
        <v>921.24</v>
      </c>
      <c r="EO23" s="328">
        <v>44694</v>
      </c>
      <c r="EP23" s="279">
        <v>921.24</v>
      </c>
      <c r="EQ23" s="265" t="s">
        <v>483</v>
      </c>
      <c r="ER23" s="266">
        <v>49</v>
      </c>
      <c r="ES23" s="569">
        <f t="shared" si="19"/>
        <v>45140.76</v>
      </c>
      <c r="EV23" s="106"/>
      <c r="EW23" s="15">
        <v>16</v>
      </c>
      <c r="EX23" s="264">
        <v>934.4</v>
      </c>
      <c r="EY23" s="495">
        <v>44694</v>
      </c>
      <c r="EZ23" s="264">
        <v>934.4</v>
      </c>
      <c r="FA23" s="265" t="s">
        <v>484</v>
      </c>
      <c r="FB23" s="266">
        <v>49</v>
      </c>
      <c r="FC23" s="322">
        <f t="shared" si="20"/>
        <v>45785.599999999999</v>
      </c>
      <c r="FF23" s="106"/>
      <c r="FG23" s="15">
        <v>16</v>
      </c>
      <c r="FH23" s="279">
        <v>917</v>
      </c>
      <c r="FI23" s="328">
        <v>44694</v>
      </c>
      <c r="FJ23" s="279">
        <v>917</v>
      </c>
      <c r="FK23" s="265" t="s">
        <v>484</v>
      </c>
      <c r="FL23" s="266">
        <v>49</v>
      </c>
      <c r="FM23" s="569">
        <f t="shared" si="21"/>
        <v>44933</v>
      </c>
      <c r="FP23" s="106"/>
      <c r="FQ23" s="15">
        <v>16</v>
      </c>
      <c r="FR23" s="92">
        <v>888.1</v>
      </c>
      <c r="FS23" s="324">
        <v>44695</v>
      </c>
      <c r="FT23" s="92">
        <v>888.1</v>
      </c>
      <c r="FU23" s="70" t="s">
        <v>500</v>
      </c>
      <c r="FV23" s="71">
        <v>49</v>
      </c>
      <c r="FW23" s="569">
        <f t="shared" si="22"/>
        <v>43516.9</v>
      </c>
      <c r="FX23" s="71"/>
      <c r="FZ23" s="106"/>
      <c r="GA23" s="15">
        <v>16</v>
      </c>
      <c r="GB23" s="69">
        <v>920.8</v>
      </c>
      <c r="GC23" s="495">
        <v>44697</v>
      </c>
      <c r="GD23" s="69">
        <v>920.8</v>
      </c>
      <c r="GE23" s="265" t="s">
        <v>517</v>
      </c>
      <c r="GF23" s="266">
        <v>49</v>
      </c>
      <c r="GG23" s="322">
        <f t="shared" si="23"/>
        <v>45119.199999999997</v>
      </c>
      <c r="GJ23" s="106"/>
      <c r="GK23" s="15">
        <v>16</v>
      </c>
      <c r="GL23" s="473">
        <v>918.1</v>
      </c>
      <c r="GM23" s="324">
        <v>44699</v>
      </c>
      <c r="GN23" s="473">
        <v>918.1</v>
      </c>
      <c r="GO23" s="95" t="s">
        <v>502</v>
      </c>
      <c r="GP23" s="71">
        <v>43</v>
      </c>
      <c r="GQ23" s="569">
        <f t="shared" si="24"/>
        <v>39478.300000000003</v>
      </c>
      <c r="GT23" s="106"/>
      <c r="GU23" s="15">
        <v>16</v>
      </c>
      <c r="GV23" s="279">
        <v>870.9</v>
      </c>
      <c r="GW23" s="328">
        <v>44700</v>
      </c>
      <c r="GX23" s="279">
        <v>870.9</v>
      </c>
      <c r="GY23" s="319" t="s">
        <v>532</v>
      </c>
      <c r="GZ23" s="266">
        <v>43</v>
      </c>
      <c r="HA23" s="569">
        <f t="shared" si="25"/>
        <v>37448.699999999997</v>
      </c>
      <c r="HD23" s="106"/>
      <c r="HE23" s="15">
        <v>16</v>
      </c>
      <c r="HF23" s="279">
        <v>932.58</v>
      </c>
      <c r="HG23" s="328">
        <v>44700</v>
      </c>
      <c r="HH23" s="279">
        <v>932.58</v>
      </c>
      <c r="HI23" s="319" t="s">
        <v>536</v>
      </c>
      <c r="HJ23" s="266">
        <v>43</v>
      </c>
      <c r="HK23" s="322">
        <f t="shared" si="26"/>
        <v>40100.94</v>
      </c>
      <c r="HN23" s="106"/>
      <c r="HO23" s="15">
        <v>16</v>
      </c>
      <c r="HP23" s="279">
        <v>948.91</v>
      </c>
      <c r="HQ23" s="328">
        <v>44700</v>
      </c>
      <c r="HR23" s="279">
        <v>948.91</v>
      </c>
      <c r="HS23" s="383" t="s">
        <v>538</v>
      </c>
      <c r="HT23" s="266">
        <v>43</v>
      </c>
      <c r="HU23" s="569">
        <f t="shared" si="27"/>
        <v>40803.129999999997</v>
      </c>
      <c r="HX23" s="94"/>
      <c r="HY23" s="15">
        <v>16</v>
      </c>
      <c r="HZ23" s="69">
        <v>919.9</v>
      </c>
      <c r="IA23" s="336">
        <v>44702</v>
      </c>
      <c r="IB23" s="69">
        <v>919.9</v>
      </c>
      <c r="IC23" s="70" t="s">
        <v>550</v>
      </c>
      <c r="ID23" s="71">
        <v>45</v>
      </c>
      <c r="IE23" s="569">
        <f t="shared" si="5"/>
        <v>41395.5</v>
      </c>
      <c r="IH23" s="94"/>
      <c r="II23" s="15">
        <v>16</v>
      </c>
      <c r="IJ23" s="69">
        <v>965.4</v>
      </c>
      <c r="IK23" s="336">
        <v>44702</v>
      </c>
      <c r="IL23" s="69">
        <v>965.4</v>
      </c>
      <c r="IM23" s="70" t="s">
        <v>548</v>
      </c>
      <c r="IN23" s="71">
        <v>45</v>
      </c>
      <c r="IO23" s="569">
        <f t="shared" si="28"/>
        <v>43443</v>
      </c>
      <c r="IR23" s="106"/>
      <c r="IS23" s="15">
        <v>16</v>
      </c>
      <c r="IT23" s="279">
        <v>920.8</v>
      </c>
      <c r="IU23" s="245"/>
      <c r="IV23" s="279"/>
      <c r="IW23" s="501"/>
      <c r="IX23" s="266"/>
      <c r="IY23" s="322">
        <f t="shared" si="29"/>
        <v>0</v>
      </c>
      <c r="IZ23" s="105"/>
      <c r="JA23" s="69"/>
      <c r="JB23" s="106"/>
      <c r="JC23" s="15">
        <v>16</v>
      </c>
      <c r="JD23" s="92">
        <v>861.8</v>
      </c>
      <c r="JE23" s="336"/>
      <c r="JF23" s="279"/>
      <c r="JG23" s="265"/>
      <c r="JH23" s="71"/>
      <c r="JI23" s="569">
        <f t="shared" si="30"/>
        <v>0</v>
      </c>
      <c r="JL23" s="106"/>
      <c r="JM23" s="15">
        <v>16</v>
      </c>
      <c r="JN23" s="92">
        <v>904.5</v>
      </c>
      <c r="JO23" s="324"/>
      <c r="JP23" s="92"/>
      <c r="JQ23" s="70"/>
      <c r="JR23" s="71"/>
      <c r="JS23" s="569">
        <f t="shared" si="31"/>
        <v>0</v>
      </c>
      <c r="JV23" s="94"/>
      <c r="JW23" s="15">
        <v>16</v>
      </c>
      <c r="JX23" s="69">
        <v>931.22</v>
      </c>
      <c r="JY23" s="336"/>
      <c r="JZ23" s="69"/>
      <c r="KA23" s="70"/>
      <c r="KB23" s="71"/>
      <c r="KC23" s="569">
        <f t="shared" si="32"/>
        <v>0</v>
      </c>
      <c r="KE23" s="242"/>
      <c r="KF23" s="457"/>
      <c r="KG23" s="15">
        <v>16</v>
      </c>
      <c r="KH23" s="69">
        <v>908.99</v>
      </c>
      <c r="KI23" s="336"/>
      <c r="KJ23" s="69"/>
      <c r="KK23" s="70"/>
      <c r="KL23" s="71"/>
      <c r="KM23" s="569">
        <f t="shared" si="33"/>
        <v>0</v>
      </c>
      <c r="KP23" s="94"/>
      <c r="KQ23" s="15">
        <v>16</v>
      </c>
      <c r="KR23" s="69">
        <v>893.6</v>
      </c>
      <c r="KS23" s="336"/>
      <c r="KT23" s="69"/>
      <c r="KU23" s="70"/>
      <c r="KV23" s="71"/>
      <c r="KW23" s="569">
        <f t="shared" si="34"/>
        <v>0</v>
      </c>
      <c r="KZ23" s="106"/>
      <c r="LA23" s="15">
        <v>16</v>
      </c>
      <c r="LB23" s="92">
        <v>893.6</v>
      </c>
      <c r="LC23" s="324"/>
      <c r="LD23" s="92"/>
      <c r="LE23" s="95"/>
      <c r="LF23" s="71"/>
      <c r="LG23" s="569">
        <f t="shared" si="35"/>
        <v>0</v>
      </c>
      <c r="LJ23" s="106"/>
      <c r="LK23" s="15">
        <v>16</v>
      </c>
      <c r="LL23" s="279">
        <v>860.01</v>
      </c>
      <c r="LM23" s="324"/>
      <c r="LN23" s="279"/>
      <c r="LO23" s="95"/>
      <c r="LP23" s="71"/>
      <c r="LQ23" s="569">
        <f t="shared" si="36"/>
        <v>0</v>
      </c>
      <c r="LT23" s="106"/>
      <c r="LU23" s="15">
        <v>16</v>
      </c>
      <c r="LV23" s="92"/>
      <c r="LW23" s="324"/>
      <c r="LX23" s="92"/>
      <c r="LY23" s="95"/>
      <c r="LZ23" s="71"/>
      <c r="MA23" s="569">
        <f t="shared" si="37"/>
        <v>0</v>
      </c>
      <c r="MB23" s="569"/>
      <c r="MD23" s="106"/>
      <c r="ME23" s="15">
        <v>16</v>
      </c>
      <c r="MF23" s="389"/>
      <c r="MG23" s="324"/>
      <c r="MH23" s="991"/>
      <c r="MI23" s="319"/>
      <c r="MJ23" s="71"/>
      <c r="MK23" s="71">
        <f t="shared" si="38"/>
        <v>0</v>
      </c>
      <c r="MN23" s="106"/>
      <c r="MO23" s="15">
        <v>16</v>
      </c>
      <c r="MP23" s="92"/>
      <c r="MQ23" s="324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24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24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24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24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24"/>
      <c r="OP23" s="92"/>
      <c r="OQ23" s="95"/>
      <c r="OR23" s="71"/>
      <c r="OS23" s="71">
        <f t="shared" si="44"/>
        <v>0</v>
      </c>
      <c r="OV23" s="106"/>
      <c r="OW23" s="15">
        <v>16</v>
      </c>
      <c r="OX23" s="279"/>
      <c r="OY23" s="328"/>
      <c r="OZ23" s="279"/>
      <c r="PA23" s="319"/>
      <c r="PB23" s="266"/>
      <c r="PC23" s="266">
        <f t="shared" si="45"/>
        <v>0</v>
      </c>
      <c r="PF23" s="94"/>
      <c r="PG23" s="15">
        <v>16</v>
      </c>
      <c r="PH23" s="92"/>
      <c r="PI23" s="324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24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324"/>
      <c r="QL23" s="92"/>
      <c r="QM23" s="95"/>
      <c r="QN23" s="71"/>
      <c r="QQ23" s="106"/>
      <c r="QR23" s="15">
        <v>16</v>
      </c>
      <c r="QS23" s="92"/>
      <c r="QT23" s="324"/>
      <c r="QU23" s="92"/>
      <c r="QV23" s="95"/>
      <c r="QW23" s="71"/>
      <c r="QZ23" s="106"/>
      <c r="RA23" s="15">
        <v>16</v>
      </c>
      <c r="RB23" s="92"/>
      <c r="RC23" s="324"/>
      <c r="RD23" s="92"/>
      <c r="RE23" s="95"/>
      <c r="RF23" s="71"/>
      <c r="RI23" s="106"/>
      <c r="RJ23" s="15">
        <v>16</v>
      </c>
      <c r="RK23" s="92"/>
      <c r="RL23" s="324"/>
      <c r="RM23" s="92"/>
      <c r="RN23" s="95"/>
      <c r="RO23" s="377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88"/>
      <c r="TF23" s="179"/>
      <c r="TG23" s="381"/>
      <c r="TH23" s="380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TYSON FRESH MEATS</v>
      </c>
      <c r="C24" s="75" t="str">
        <f t="shared" si="62"/>
        <v xml:space="preserve">I B P </v>
      </c>
      <c r="D24" s="102" t="str">
        <f t="shared" si="62"/>
        <v>PED. 82197014</v>
      </c>
      <c r="E24" s="135">
        <f t="shared" si="62"/>
        <v>44699</v>
      </c>
      <c r="F24" s="86">
        <f t="shared" si="62"/>
        <v>18660.62</v>
      </c>
      <c r="G24" s="73">
        <f t="shared" si="62"/>
        <v>20</v>
      </c>
      <c r="H24" s="48">
        <f t="shared" si="62"/>
        <v>18707.05</v>
      </c>
      <c r="I24" s="105">
        <f t="shared" si="62"/>
        <v>-46.430000000000291</v>
      </c>
      <c r="K24" s="242"/>
      <c r="L24" s="94"/>
      <c r="M24" s="15">
        <v>17</v>
      </c>
      <c r="N24" s="69">
        <v>922.6</v>
      </c>
      <c r="O24" s="336">
        <v>44685</v>
      </c>
      <c r="P24" s="69">
        <v>922.6</v>
      </c>
      <c r="Q24" s="70" t="s">
        <v>380</v>
      </c>
      <c r="R24" s="71">
        <v>47</v>
      </c>
      <c r="S24" s="569">
        <f t="shared" si="7"/>
        <v>43362.200000000004</v>
      </c>
      <c r="T24" s="242"/>
      <c r="V24" s="94"/>
      <c r="W24" s="15">
        <v>17</v>
      </c>
      <c r="X24" s="69">
        <v>870.9</v>
      </c>
      <c r="Y24" s="336">
        <v>44684</v>
      </c>
      <c r="Z24" s="69">
        <v>870.9</v>
      </c>
      <c r="AA24" s="70" t="s">
        <v>365</v>
      </c>
      <c r="AB24" s="71">
        <v>47</v>
      </c>
      <c r="AC24" s="569">
        <f t="shared" si="8"/>
        <v>40932.299999999996</v>
      </c>
      <c r="AF24" s="106"/>
      <c r="AG24" s="15">
        <v>17</v>
      </c>
      <c r="AH24" s="92">
        <v>959.8</v>
      </c>
      <c r="AI24" s="324">
        <v>44685</v>
      </c>
      <c r="AJ24" s="92">
        <v>959.8</v>
      </c>
      <c r="AK24" s="95" t="s">
        <v>384</v>
      </c>
      <c r="AL24" s="71">
        <v>47</v>
      </c>
      <c r="AM24" s="569">
        <f t="shared" si="9"/>
        <v>45110.6</v>
      </c>
      <c r="AP24" s="106"/>
      <c r="AQ24" s="15">
        <v>17</v>
      </c>
      <c r="AR24" s="279">
        <v>893.57</v>
      </c>
      <c r="AS24" s="324">
        <v>44686</v>
      </c>
      <c r="AT24" s="279">
        <v>893.57</v>
      </c>
      <c r="AU24" s="95" t="s">
        <v>392</v>
      </c>
      <c r="AV24" s="71">
        <v>47</v>
      </c>
      <c r="AW24" s="569">
        <f t="shared" si="10"/>
        <v>41997.79</v>
      </c>
      <c r="AZ24" s="106"/>
      <c r="BA24" s="15">
        <v>17</v>
      </c>
      <c r="BB24" s="92">
        <v>911.3</v>
      </c>
      <c r="BC24" s="324">
        <v>44687</v>
      </c>
      <c r="BD24" s="92">
        <v>911.3</v>
      </c>
      <c r="BE24" s="95" t="s">
        <v>397</v>
      </c>
      <c r="BF24" s="71">
        <v>47</v>
      </c>
      <c r="BG24" s="569">
        <f t="shared" si="11"/>
        <v>42831.1</v>
      </c>
      <c r="BJ24" s="106"/>
      <c r="BK24" s="15">
        <v>17</v>
      </c>
      <c r="BL24" s="279">
        <v>919.4</v>
      </c>
      <c r="BM24" s="245">
        <v>44688</v>
      </c>
      <c r="BN24" s="279">
        <v>919.4</v>
      </c>
      <c r="BO24" s="319" t="s">
        <v>409</v>
      </c>
      <c r="BP24" s="813">
        <v>49</v>
      </c>
      <c r="BQ24" s="737">
        <f t="shared" si="12"/>
        <v>45050.6</v>
      </c>
      <c r="BT24" s="106"/>
      <c r="BU24" s="263">
        <v>17</v>
      </c>
      <c r="BV24" s="279">
        <v>899</v>
      </c>
      <c r="BW24" s="378">
        <v>44688</v>
      </c>
      <c r="BX24" s="279">
        <v>899</v>
      </c>
      <c r="BY24" s="379" t="s">
        <v>416</v>
      </c>
      <c r="BZ24" s="380">
        <v>49</v>
      </c>
      <c r="CA24" s="569">
        <f t="shared" si="13"/>
        <v>44051</v>
      </c>
      <c r="CD24" s="762"/>
      <c r="CE24" s="15">
        <v>17</v>
      </c>
      <c r="CF24" s="279">
        <v>894.5</v>
      </c>
      <c r="CG24" s="994">
        <v>44690</v>
      </c>
      <c r="CH24" s="279">
        <v>894.5</v>
      </c>
      <c r="CI24" s="814" t="s">
        <v>427</v>
      </c>
      <c r="CJ24" s="692">
        <v>49</v>
      </c>
      <c r="CK24" s="322">
        <f t="shared" si="14"/>
        <v>43830.5</v>
      </c>
      <c r="CN24" s="601"/>
      <c r="CO24" s="15">
        <v>17</v>
      </c>
      <c r="CP24" s="279">
        <v>930.31</v>
      </c>
      <c r="CQ24" s="378">
        <v>44688</v>
      </c>
      <c r="CR24" s="279">
        <v>930.31</v>
      </c>
      <c r="CS24" s="381" t="s">
        <v>422</v>
      </c>
      <c r="CT24" s="380">
        <v>49</v>
      </c>
      <c r="CU24" s="575">
        <f t="shared" si="48"/>
        <v>45585.189999999995</v>
      </c>
      <c r="CX24" s="106"/>
      <c r="CY24" s="15">
        <v>17</v>
      </c>
      <c r="CZ24" s="92">
        <v>909</v>
      </c>
      <c r="DA24" s="324">
        <v>44692</v>
      </c>
      <c r="DB24" s="92">
        <v>909</v>
      </c>
      <c r="DC24" s="95" t="s">
        <v>454</v>
      </c>
      <c r="DD24" s="71">
        <v>49</v>
      </c>
      <c r="DE24" s="569">
        <f t="shared" si="15"/>
        <v>44541</v>
      </c>
      <c r="DH24" s="106"/>
      <c r="DI24" s="15">
        <v>17</v>
      </c>
      <c r="DJ24" s="279">
        <v>939.8</v>
      </c>
      <c r="DK24" s="378">
        <v>44691</v>
      </c>
      <c r="DL24" s="92">
        <v>939.8</v>
      </c>
      <c r="DM24" s="381" t="s">
        <v>445</v>
      </c>
      <c r="DN24" s="380">
        <v>49</v>
      </c>
      <c r="DO24" s="575">
        <f t="shared" si="16"/>
        <v>46050.2</v>
      </c>
      <c r="DR24" s="106"/>
      <c r="DS24" s="15">
        <v>17</v>
      </c>
      <c r="DT24" s="92">
        <v>870</v>
      </c>
      <c r="DU24" s="378">
        <v>44691</v>
      </c>
      <c r="DV24" s="92">
        <v>870</v>
      </c>
      <c r="DW24" s="381" t="s">
        <v>436</v>
      </c>
      <c r="DX24" s="380">
        <v>59</v>
      </c>
      <c r="DY24" s="569">
        <f t="shared" si="17"/>
        <v>51330</v>
      </c>
      <c r="EB24" s="106"/>
      <c r="EC24" s="15">
        <v>17</v>
      </c>
      <c r="ED24" s="69">
        <v>885.86</v>
      </c>
      <c r="EE24" s="336">
        <v>44694</v>
      </c>
      <c r="EF24" s="92">
        <v>885.86</v>
      </c>
      <c r="EG24" s="70" t="s">
        <v>477</v>
      </c>
      <c r="EH24" s="71">
        <v>49</v>
      </c>
      <c r="EI24" s="569">
        <f t="shared" si="18"/>
        <v>43407.14</v>
      </c>
      <c r="EL24" s="106"/>
      <c r="EM24" s="15">
        <v>17</v>
      </c>
      <c r="EN24" s="279">
        <v>896.29</v>
      </c>
      <c r="EO24" s="328">
        <v>44694</v>
      </c>
      <c r="EP24" s="279">
        <v>896.29</v>
      </c>
      <c r="EQ24" s="265" t="s">
        <v>483</v>
      </c>
      <c r="ER24" s="266">
        <v>49</v>
      </c>
      <c r="ES24" s="569">
        <f t="shared" si="19"/>
        <v>43918.21</v>
      </c>
      <c r="EV24" s="106"/>
      <c r="EW24" s="15">
        <v>17</v>
      </c>
      <c r="EX24" s="264">
        <v>919.88</v>
      </c>
      <c r="EY24" s="495">
        <v>44695</v>
      </c>
      <c r="EZ24" s="264">
        <v>919.88</v>
      </c>
      <c r="FA24" s="265" t="s">
        <v>479</v>
      </c>
      <c r="FB24" s="266">
        <v>49</v>
      </c>
      <c r="FC24" s="322">
        <f t="shared" si="20"/>
        <v>45074.12</v>
      </c>
      <c r="FF24" s="106"/>
      <c r="FG24" s="15">
        <v>17</v>
      </c>
      <c r="FH24" s="279">
        <v>907</v>
      </c>
      <c r="FI24" s="328">
        <v>44694</v>
      </c>
      <c r="FJ24" s="279">
        <v>907</v>
      </c>
      <c r="FK24" s="265" t="s">
        <v>486</v>
      </c>
      <c r="FL24" s="266">
        <v>49</v>
      </c>
      <c r="FM24" s="569">
        <f t="shared" si="21"/>
        <v>44443</v>
      </c>
      <c r="FP24" s="106"/>
      <c r="FQ24" s="15">
        <v>17</v>
      </c>
      <c r="FR24" s="92">
        <v>875.4</v>
      </c>
      <c r="FS24" s="324">
        <v>44695</v>
      </c>
      <c r="FT24" s="92">
        <v>875.4</v>
      </c>
      <c r="FU24" s="70" t="s">
        <v>500</v>
      </c>
      <c r="FV24" s="71">
        <v>49</v>
      </c>
      <c r="FW24" s="569">
        <f t="shared" si="22"/>
        <v>42894.6</v>
      </c>
      <c r="FX24" s="71"/>
      <c r="FZ24" s="106"/>
      <c r="GA24" s="15">
        <v>17</v>
      </c>
      <c r="GB24" s="69">
        <v>904.5</v>
      </c>
      <c r="GC24" s="495">
        <v>44697</v>
      </c>
      <c r="GD24" s="69">
        <v>904.5</v>
      </c>
      <c r="GE24" s="265" t="s">
        <v>517</v>
      </c>
      <c r="GF24" s="266">
        <v>49</v>
      </c>
      <c r="GG24" s="322">
        <f t="shared" si="23"/>
        <v>44320.5</v>
      </c>
      <c r="GJ24" s="106"/>
      <c r="GK24" s="15">
        <v>17</v>
      </c>
      <c r="GL24" s="473">
        <v>919</v>
      </c>
      <c r="GM24" s="324">
        <v>44699</v>
      </c>
      <c r="GN24" s="473">
        <v>919</v>
      </c>
      <c r="GO24" s="95" t="s">
        <v>521</v>
      </c>
      <c r="GP24" s="71">
        <v>43</v>
      </c>
      <c r="GQ24" s="569">
        <f t="shared" si="24"/>
        <v>39517</v>
      </c>
      <c r="GT24" s="106"/>
      <c r="GU24" s="15">
        <v>17</v>
      </c>
      <c r="GV24" s="279">
        <v>918.1</v>
      </c>
      <c r="GW24" s="328">
        <v>44699</v>
      </c>
      <c r="GX24" s="279">
        <v>918.1</v>
      </c>
      <c r="GY24" s="319" t="s">
        <v>526</v>
      </c>
      <c r="GZ24" s="266">
        <v>43</v>
      </c>
      <c r="HA24" s="569">
        <f t="shared" si="25"/>
        <v>39478.300000000003</v>
      </c>
      <c r="HD24" s="106"/>
      <c r="HE24" s="15">
        <v>17</v>
      </c>
      <c r="HF24" s="279">
        <v>941.65</v>
      </c>
      <c r="HG24" s="328">
        <v>44700</v>
      </c>
      <c r="HH24" s="279">
        <v>941.65</v>
      </c>
      <c r="HI24" s="319" t="s">
        <v>528</v>
      </c>
      <c r="HJ24" s="266">
        <v>43</v>
      </c>
      <c r="HK24" s="322">
        <f t="shared" si="26"/>
        <v>40490.949999999997</v>
      </c>
      <c r="HN24" s="106"/>
      <c r="HO24" s="15">
        <v>17</v>
      </c>
      <c r="HP24" s="279">
        <v>940.75</v>
      </c>
      <c r="HQ24" s="328">
        <v>44700</v>
      </c>
      <c r="HR24" s="279">
        <v>940.75</v>
      </c>
      <c r="HS24" s="383" t="s">
        <v>538</v>
      </c>
      <c r="HT24" s="266">
        <v>43</v>
      </c>
      <c r="HU24" s="569">
        <f t="shared" si="27"/>
        <v>40452.25</v>
      </c>
      <c r="HX24" s="106"/>
      <c r="HY24" s="15">
        <v>17</v>
      </c>
      <c r="HZ24" s="69">
        <v>908.1</v>
      </c>
      <c r="IA24" s="336">
        <v>44702</v>
      </c>
      <c r="IB24" s="69">
        <v>908.1</v>
      </c>
      <c r="IC24" s="70" t="s">
        <v>549</v>
      </c>
      <c r="ID24" s="71">
        <v>45</v>
      </c>
      <c r="IE24" s="569">
        <f t="shared" si="5"/>
        <v>40864.5</v>
      </c>
      <c r="IH24" s="106"/>
      <c r="II24" s="15">
        <v>17</v>
      </c>
      <c r="IJ24" s="69">
        <v>968.87</v>
      </c>
      <c r="IK24" s="336">
        <v>44701</v>
      </c>
      <c r="IL24" s="69">
        <v>968.87</v>
      </c>
      <c r="IM24" s="70" t="s">
        <v>534</v>
      </c>
      <c r="IN24" s="71">
        <v>43</v>
      </c>
      <c r="IO24" s="569">
        <f t="shared" si="28"/>
        <v>41661.410000000003</v>
      </c>
      <c r="IR24" s="106"/>
      <c r="IS24" s="15">
        <v>17</v>
      </c>
      <c r="IT24" s="279">
        <v>880.9</v>
      </c>
      <c r="IU24" s="245"/>
      <c r="IV24" s="279"/>
      <c r="IW24" s="501"/>
      <c r="IX24" s="266"/>
      <c r="IY24" s="322">
        <f t="shared" si="29"/>
        <v>0</v>
      </c>
      <c r="JA24" s="69"/>
      <c r="JB24" s="106"/>
      <c r="JC24" s="15">
        <v>17</v>
      </c>
      <c r="JD24" s="92">
        <v>911.7</v>
      </c>
      <c r="JE24" s="336"/>
      <c r="JF24" s="279"/>
      <c r="JG24" s="265"/>
      <c r="JH24" s="71"/>
      <c r="JI24" s="322">
        <f t="shared" si="30"/>
        <v>0</v>
      </c>
      <c r="JL24" s="106"/>
      <c r="JM24" s="15">
        <v>17</v>
      </c>
      <c r="JN24" s="92">
        <v>916.3</v>
      </c>
      <c r="JO24" s="324"/>
      <c r="JP24" s="92"/>
      <c r="JQ24" s="70"/>
      <c r="JR24" s="71"/>
      <c r="JS24" s="569">
        <f t="shared" si="31"/>
        <v>0</v>
      </c>
      <c r="JV24" s="94"/>
      <c r="JW24" s="15">
        <v>17</v>
      </c>
      <c r="JX24" s="69">
        <v>962.52</v>
      </c>
      <c r="JY24" s="336"/>
      <c r="JZ24" s="69"/>
      <c r="KA24" s="70"/>
      <c r="KB24" s="71"/>
      <c r="KC24" s="569">
        <f t="shared" si="32"/>
        <v>0</v>
      </c>
      <c r="KE24" s="242"/>
      <c r="KF24" s="457"/>
      <c r="KG24" s="15">
        <v>17</v>
      </c>
      <c r="KH24" s="69">
        <v>937.12</v>
      </c>
      <c r="KI24" s="336"/>
      <c r="KJ24" s="69"/>
      <c r="KK24" s="70"/>
      <c r="KL24" s="71"/>
      <c r="KM24" s="569">
        <f t="shared" si="33"/>
        <v>0</v>
      </c>
      <c r="KP24" s="94"/>
      <c r="KQ24" s="15">
        <v>17</v>
      </c>
      <c r="KR24" s="69">
        <v>880.9</v>
      </c>
      <c r="KS24" s="336"/>
      <c r="KT24" s="69"/>
      <c r="KU24" s="70"/>
      <c r="KV24" s="71"/>
      <c r="KW24" s="569">
        <f t="shared" si="34"/>
        <v>0</v>
      </c>
      <c r="KZ24" s="106"/>
      <c r="LA24" s="15">
        <v>17</v>
      </c>
      <c r="LB24" s="92">
        <v>892.7</v>
      </c>
      <c r="LC24" s="324"/>
      <c r="LD24" s="92"/>
      <c r="LE24" s="95"/>
      <c r="LF24" s="71"/>
      <c r="LG24" s="569">
        <f t="shared" si="35"/>
        <v>0</v>
      </c>
      <c r="LJ24" s="106"/>
      <c r="LK24" s="15">
        <v>17</v>
      </c>
      <c r="LL24" s="279">
        <v>865.9</v>
      </c>
      <c r="LM24" s="324"/>
      <c r="LN24" s="279"/>
      <c r="LO24" s="95"/>
      <c r="LP24" s="71"/>
      <c r="LQ24" s="569">
        <f t="shared" si="36"/>
        <v>0</v>
      </c>
      <c r="LT24" s="106"/>
      <c r="LU24" s="15">
        <v>17</v>
      </c>
      <c r="LV24" s="92"/>
      <c r="LW24" s="324"/>
      <c r="LX24" s="92"/>
      <c r="LY24" s="95"/>
      <c r="LZ24" s="71"/>
      <c r="MA24" s="569">
        <f t="shared" si="37"/>
        <v>0</v>
      </c>
      <c r="MB24" s="569"/>
      <c r="MD24" s="106"/>
      <c r="ME24" s="15">
        <v>17</v>
      </c>
      <c r="MF24" s="389"/>
      <c r="MG24" s="324"/>
      <c r="MH24" s="991"/>
      <c r="MI24" s="319"/>
      <c r="MJ24" s="71"/>
      <c r="MK24" s="71">
        <f t="shared" si="38"/>
        <v>0</v>
      </c>
      <c r="MN24" s="106"/>
      <c r="MO24" s="15">
        <v>17</v>
      </c>
      <c r="MP24" s="92"/>
      <c r="MQ24" s="324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24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24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24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24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24"/>
      <c r="OP24" s="92"/>
      <c r="OQ24" s="95"/>
      <c r="OR24" s="71"/>
      <c r="OS24" s="71">
        <f t="shared" si="44"/>
        <v>0</v>
      </c>
      <c r="OV24" s="106"/>
      <c r="OW24" s="15">
        <v>17</v>
      </c>
      <c r="OX24" s="279"/>
      <c r="OY24" s="328"/>
      <c r="OZ24" s="279"/>
      <c r="PA24" s="319"/>
      <c r="PB24" s="266"/>
      <c r="PC24" s="266">
        <f t="shared" si="45"/>
        <v>0</v>
      </c>
      <c r="PF24" s="94"/>
      <c r="PG24" s="15">
        <v>17</v>
      </c>
      <c r="PH24" s="92"/>
      <c r="PI24" s="324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24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324"/>
      <c r="QL24" s="92"/>
      <c r="QM24" s="95"/>
      <c r="QN24" s="71"/>
      <c r="QQ24" s="106"/>
      <c r="QR24" s="15">
        <v>17</v>
      </c>
      <c r="QS24" s="92"/>
      <c r="QT24" s="324"/>
      <c r="QU24" s="92"/>
      <c r="QV24" s="95"/>
      <c r="QW24" s="71"/>
      <c r="QZ24" s="106"/>
      <c r="RA24" s="15">
        <v>17</v>
      </c>
      <c r="RB24" s="92"/>
      <c r="RC24" s="324"/>
      <c r="RD24" s="92"/>
      <c r="RE24" s="95"/>
      <c r="RF24" s="71"/>
      <c r="RI24" s="106"/>
      <c r="RJ24" s="15">
        <v>17</v>
      </c>
      <c r="RK24" s="92"/>
      <c r="RL24" s="324"/>
      <c r="RM24" s="92"/>
      <c r="RN24" s="95"/>
      <c r="RO24" s="377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88"/>
      <c r="TF24" s="179"/>
      <c r="TG24" s="381"/>
      <c r="TH24" s="380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TYSON FRESH MEATS</v>
      </c>
      <c r="C25" s="71" t="str">
        <f t="shared" si="63"/>
        <v xml:space="preserve">I B P </v>
      </c>
      <c r="D25" s="102" t="str">
        <f t="shared" si="63"/>
        <v>PED. 82250071</v>
      </c>
      <c r="E25" s="135">
        <f t="shared" si="63"/>
        <v>44700</v>
      </c>
      <c r="F25" s="86">
        <f t="shared" si="63"/>
        <v>18800.28</v>
      </c>
      <c r="G25" s="73">
        <f t="shared" si="63"/>
        <v>20</v>
      </c>
      <c r="H25" s="48">
        <f t="shared" si="63"/>
        <v>18873.580000000002</v>
      </c>
      <c r="I25" s="105">
        <f t="shared" si="63"/>
        <v>-73.30000000000291</v>
      </c>
      <c r="K25" s="242"/>
      <c r="L25" s="94"/>
      <c r="M25" s="15">
        <v>18</v>
      </c>
      <c r="N25" s="69">
        <v>939.8</v>
      </c>
      <c r="O25" s="336">
        <v>44685</v>
      </c>
      <c r="P25" s="69">
        <v>939.8</v>
      </c>
      <c r="Q25" s="70" t="s">
        <v>380</v>
      </c>
      <c r="R25" s="71">
        <v>47</v>
      </c>
      <c r="S25" s="569">
        <f t="shared" si="7"/>
        <v>44170.6</v>
      </c>
      <c r="T25" s="242"/>
      <c r="V25" s="94"/>
      <c r="W25" s="15">
        <v>18</v>
      </c>
      <c r="X25" s="69">
        <v>884.5</v>
      </c>
      <c r="Y25" s="336">
        <v>44684</v>
      </c>
      <c r="Z25" s="69">
        <v>884.5</v>
      </c>
      <c r="AA25" s="70" t="s">
        <v>365</v>
      </c>
      <c r="AB25" s="71">
        <v>47</v>
      </c>
      <c r="AC25" s="569">
        <f t="shared" si="8"/>
        <v>41571.5</v>
      </c>
      <c r="AF25" s="94"/>
      <c r="AG25" s="15">
        <v>18</v>
      </c>
      <c r="AH25" s="92">
        <v>948</v>
      </c>
      <c r="AI25" s="324">
        <v>44685</v>
      </c>
      <c r="AJ25" s="92">
        <v>948</v>
      </c>
      <c r="AK25" s="95" t="s">
        <v>382</v>
      </c>
      <c r="AL25" s="71">
        <v>47</v>
      </c>
      <c r="AM25" s="569">
        <f t="shared" si="9"/>
        <v>44556</v>
      </c>
      <c r="AP25" s="94"/>
      <c r="AQ25" s="15">
        <v>18</v>
      </c>
      <c r="AR25" s="279">
        <v>892.66</v>
      </c>
      <c r="AS25" s="324">
        <v>44686</v>
      </c>
      <c r="AT25" s="279">
        <v>892.66</v>
      </c>
      <c r="AU25" s="95" t="s">
        <v>392</v>
      </c>
      <c r="AV25" s="71">
        <v>47</v>
      </c>
      <c r="AW25" s="569">
        <f t="shared" si="10"/>
        <v>41955.02</v>
      </c>
      <c r="AZ25" s="94"/>
      <c r="BA25" s="15">
        <v>18</v>
      </c>
      <c r="BB25" s="92">
        <v>883.1</v>
      </c>
      <c r="BC25" s="324">
        <v>44687</v>
      </c>
      <c r="BD25" s="92">
        <v>883.1</v>
      </c>
      <c r="BE25" s="95" t="s">
        <v>402</v>
      </c>
      <c r="BF25" s="71">
        <v>49</v>
      </c>
      <c r="BG25" s="569">
        <f t="shared" si="11"/>
        <v>43271.9</v>
      </c>
      <c r="BJ25" s="106"/>
      <c r="BK25" s="15">
        <v>18</v>
      </c>
      <c r="BL25" s="279">
        <v>868.6</v>
      </c>
      <c r="BM25" s="245">
        <v>44688</v>
      </c>
      <c r="BN25" s="279">
        <v>868.6</v>
      </c>
      <c r="BO25" s="319" t="s">
        <v>409</v>
      </c>
      <c r="BP25" s="813">
        <v>49</v>
      </c>
      <c r="BQ25" s="737">
        <f t="shared" si="12"/>
        <v>42561.4</v>
      </c>
      <c r="BT25" s="106"/>
      <c r="BU25" s="263">
        <v>18</v>
      </c>
      <c r="BV25" s="279">
        <v>863.6</v>
      </c>
      <c r="BW25" s="378">
        <v>44688</v>
      </c>
      <c r="BX25" s="279">
        <v>863.6</v>
      </c>
      <c r="BY25" s="379" t="s">
        <v>413</v>
      </c>
      <c r="BZ25" s="380">
        <v>49</v>
      </c>
      <c r="CA25" s="569">
        <f t="shared" si="13"/>
        <v>42316.4</v>
      </c>
      <c r="CD25" s="762"/>
      <c r="CE25" s="15">
        <v>18</v>
      </c>
      <c r="CF25" s="279">
        <v>864.1</v>
      </c>
      <c r="CG25" s="994">
        <v>44690</v>
      </c>
      <c r="CH25" s="279">
        <v>864.1</v>
      </c>
      <c r="CI25" s="814" t="s">
        <v>431</v>
      </c>
      <c r="CJ25" s="692">
        <v>49</v>
      </c>
      <c r="CK25" s="569">
        <f t="shared" si="14"/>
        <v>42340.9</v>
      </c>
      <c r="CN25" s="601"/>
      <c r="CO25" s="15">
        <v>18</v>
      </c>
      <c r="CP25" s="279">
        <v>922.15</v>
      </c>
      <c r="CQ25" s="378">
        <v>44688</v>
      </c>
      <c r="CR25" s="279">
        <v>922.15</v>
      </c>
      <c r="CS25" s="381" t="s">
        <v>422</v>
      </c>
      <c r="CT25" s="380">
        <v>49</v>
      </c>
      <c r="CU25" s="575">
        <f t="shared" si="48"/>
        <v>45185.35</v>
      </c>
      <c r="CX25" s="94"/>
      <c r="CY25" s="15">
        <v>18</v>
      </c>
      <c r="CZ25" s="92">
        <v>925.3</v>
      </c>
      <c r="DA25" s="324">
        <v>44692</v>
      </c>
      <c r="DB25" s="92">
        <v>925.3</v>
      </c>
      <c r="DC25" s="95" t="s">
        <v>454</v>
      </c>
      <c r="DD25" s="71">
        <v>49</v>
      </c>
      <c r="DE25" s="569">
        <f t="shared" si="15"/>
        <v>45339.7</v>
      </c>
      <c r="DH25" s="94"/>
      <c r="DI25" s="15">
        <v>18</v>
      </c>
      <c r="DJ25" s="92">
        <v>919</v>
      </c>
      <c r="DK25" s="378">
        <v>44691</v>
      </c>
      <c r="DL25" s="92">
        <v>919</v>
      </c>
      <c r="DM25" s="381" t="s">
        <v>444</v>
      </c>
      <c r="DN25" s="380">
        <v>49</v>
      </c>
      <c r="DO25" s="575">
        <f t="shared" si="16"/>
        <v>45031</v>
      </c>
      <c r="DR25" s="94"/>
      <c r="DS25" s="15">
        <v>18</v>
      </c>
      <c r="DT25" s="92">
        <v>894.5</v>
      </c>
      <c r="DU25" s="378">
        <v>44691</v>
      </c>
      <c r="DV25" s="92">
        <v>894.5</v>
      </c>
      <c r="DW25" s="381" t="s">
        <v>436</v>
      </c>
      <c r="DX25" s="380">
        <v>59</v>
      </c>
      <c r="DY25" s="569">
        <f t="shared" si="17"/>
        <v>52775.5</v>
      </c>
      <c r="EB25" s="94"/>
      <c r="EC25" s="15">
        <v>18</v>
      </c>
      <c r="ED25" s="69">
        <v>914.89</v>
      </c>
      <c r="EE25" s="336">
        <v>44693</v>
      </c>
      <c r="EF25" s="92">
        <v>914.89</v>
      </c>
      <c r="EG25" s="70" t="s">
        <v>465</v>
      </c>
      <c r="EH25" s="71">
        <v>49</v>
      </c>
      <c r="EI25" s="569">
        <f t="shared" si="18"/>
        <v>44829.61</v>
      </c>
      <c r="EL25" s="94"/>
      <c r="EM25" s="15">
        <v>18</v>
      </c>
      <c r="EN25" s="279">
        <v>833.7</v>
      </c>
      <c r="EO25" s="328">
        <v>44693</v>
      </c>
      <c r="EP25" s="279">
        <v>833.7</v>
      </c>
      <c r="EQ25" s="265" t="s">
        <v>470</v>
      </c>
      <c r="ER25" s="266">
        <v>49</v>
      </c>
      <c r="ES25" s="569">
        <f t="shared" si="19"/>
        <v>40851.300000000003</v>
      </c>
      <c r="EV25" s="94"/>
      <c r="EW25" s="15">
        <v>18</v>
      </c>
      <c r="EX25" s="264">
        <v>953.45</v>
      </c>
      <c r="EY25" s="495">
        <v>44695</v>
      </c>
      <c r="EZ25" s="264">
        <v>953.45</v>
      </c>
      <c r="FA25" s="265" t="s">
        <v>479</v>
      </c>
      <c r="FB25" s="266">
        <v>49</v>
      </c>
      <c r="FC25" s="322">
        <f t="shared" si="20"/>
        <v>46719.05</v>
      </c>
      <c r="FF25" s="94"/>
      <c r="FG25" s="15">
        <v>18</v>
      </c>
      <c r="FH25" s="279">
        <v>904</v>
      </c>
      <c r="FI25" s="328">
        <v>44694</v>
      </c>
      <c r="FJ25" s="279">
        <v>904</v>
      </c>
      <c r="FK25" s="265" t="s">
        <v>484</v>
      </c>
      <c r="FL25" s="266">
        <v>49</v>
      </c>
      <c r="FM25" s="569">
        <f t="shared" si="21"/>
        <v>44296</v>
      </c>
      <c r="FP25" s="94"/>
      <c r="FQ25" s="15">
        <v>18</v>
      </c>
      <c r="FR25" s="92">
        <v>937.1</v>
      </c>
      <c r="FS25" s="324">
        <v>44695</v>
      </c>
      <c r="FT25" s="92">
        <v>937.1</v>
      </c>
      <c r="FU25" s="70" t="s">
        <v>500</v>
      </c>
      <c r="FV25" s="71">
        <v>49</v>
      </c>
      <c r="FW25" s="569">
        <f t="shared" si="22"/>
        <v>45917.9</v>
      </c>
      <c r="FX25" s="71"/>
      <c r="FZ25" s="94"/>
      <c r="GA25" s="15">
        <v>18</v>
      </c>
      <c r="GB25" s="69">
        <v>902.6</v>
      </c>
      <c r="GC25" s="495">
        <v>44697</v>
      </c>
      <c r="GD25" s="69">
        <v>902.6</v>
      </c>
      <c r="GE25" s="265" t="s">
        <v>517</v>
      </c>
      <c r="GF25" s="266">
        <v>49</v>
      </c>
      <c r="GG25" s="322">
        <f t="shared" si="23"/>
        <v>44227.4</v>
      </c>
      <c r="GJ25" s="94"/>
      <c r="GK25" s="15">
        <v>18</v>
      </c>
      <c r="GL25" s="473">
        <v>889</v>
      </c>
      <c r="GM25" s="324">
        <v>44699</v>
      </c>
      <c r="GN25" s="473">
        <v>889</v>
      </c>
      <c r="GO25" s="95" t="s">
        <v>526</v>
      </c>
      <c r="GP25" s="71">
        <v>43</v>
      </c>
      <c r="GQ25" s="569">
        <f t="shared" si="24"/>
        <v>38227</v>
      </c>
      <c r="GT25" s="94"/>
      <c r="GU25" s="15">
        <v>18</v>
      </c>
      <c r="GV25" s="279">
        <v>918.1</v>
      </c>
      <c r="GW25" s="328">
        <v>44700</v>
      </c>
      <c r="GX25" s="279">
        <v>918.1</v>
      </c>
      <c r="GY25" s="319" t="s">
        <v>529</v>
      </c>
      <c r="GZ25" s="266">
        <v>43</v>
      </c>
      <c r="HA25" s="569">
        <f t="shared" si="25"/>
        <v>39478.300000000003</v>
      </c>
      <c r="HD25" s="94"/>
      <c r="HE25" s="15">
        <v>18</v>
      </c>
      <c r="HF25" s="279">
        <v>952.54</v>
      </c>
      <c r="HG25" s="328">
        <v>44700</v>
      </c>
      <c r="HH25" s="279">
        <v>952.54</v>
      </c>
      <c r="HI25" s="319" t="s">
        <v>443</v>
      </c>
      <c r="HJ25" s="266">
        <v>43</v>
      </c>
      <c r="HK25" s="322">
        <f t="shared" si="26"/>
        <v>40959.22</v>
      </c>
      <c r="HN25" s="228"/>
      <c r="HO25" s="15">
        <v>18</v>
      </c>
      <c r="HP25" s="279">
        <v>946.19</v>
      </c>
      <c r="HQ25" s="328">
        <v>44700</v>
      </c>
      <c r="HR25" s="279">
        <v>946.19</v>
      </c>
      <c r="HS25" s="383" t="s">
        <v>495</v>
      </c>
      <c r="HT25" s="266">
        <v>43</v>
      </c>
      <c r="HU25" s="569">
        <f t="shared" si="27"/>
        <v>40686.170000000006</v>
      </c>
      <c r="HX25" s="106"/>
      <c r="HY25" s="15">
        <v>18</v>
      </c>
      <c r="HZ25" s="69">
        <v>918.1</v>
      </c>
      <c r="IA25" s="336">
        <v>44702</v>
      </c>
      <c r="IB25" s="69">
        <v>918.1</v>
      </c>
      <c r="IC25" s="70" t="s">
        <v>550</v>
      </c>
      <c r="ID25" s="71">
        <v>45</v>
      </c>
      <c r="IE25" s="569">
        <f t="shared" si="5"/>
        <v>41314.5</v>
      </c>
      <c r="IH25" s="106"/>
      <c r="II25" s="15">
        <v>18</v>
      </c>
      <c r="IJ25" s="69">
        <v>961.61</v>
      </c>
      <c r="IK25" s="336">
        <v>44701</v>
      </c>
      <c r="IL25" s="69">
        <v>961.61</v>
      </c>
      <c r="IM25" s="70" t="s">
        <v>534</v>
      </c>
      <c r="IN25" s="71">
        <v>43</v>
      </c>
      <c r="IO25" s="569">
        <f t="shared" si="28"/>
        <v>41349.230000000003</v>
      </c>
      <c r="IR25" s="94"/>
      <c r="IS25" s="15">
        <v>18</v>
      </c>
      <c r="IT25" s="279">
        <v>893.6</v>
      </c>
      <c r="IU25" s="245"/>
      <c r="IV25" s="279"/>
      <c r="IW25" s="501"/>
      <c r="IX25" s="266"/>
      <c r="IY25" s="322">
        <f t="shared" si="29"/>
        <v>0</v>
      </c>
      <c r="JA25" s="69"/>
      <c r="JB25" s="94"/>
      <c r="JC25" s="15">
        <v>18</v>
      </c>
      <c r="JD25" s="92">
        <v>918.1</v>
      </c>
      <c r="JE25" s="336"/>
      <c r="JF25" s="279"/>
      <c r="JG25" s="265"/>
      <c r="JH25" s="71"/>
      <c r="JI25" s="569">
        <f t="shared" si="30"/>
        <v>0</v>
      </c>
      <c r="JL25" s="94"/>
      <c r="JM25" s="15">
        <v>18</v>
      </c>
      <c r="JN25" s="92">
        <v>940.7</v>
      </c>
      <c r="JO25" s="324"/>
      <c r="JP25" s="92"/>
      <c r="JQ25" s="70"/>
      <c r="JR25" s="71"/>
      <c r="JS25" s="569">
        <f t="shared" si="31"/>
        <v>0</v>
      </c>
      <c r="JV25" s="94"/>
      <c r="JW25" s="15">
        <v>18</v>
      </c>
      <c r="JX25" s="69">
        <v>929.86</v>
      </c>
      <c r="JY25" s="336"/>
      <c r="JZ25" s="69"/>
      <c r="KA25" s="70"/>
      <c r="KB25" s="71"/>
      <c r="KC25" s="569">
        <f t="shared" si="32"/>
        <v>0</v>
      </c>
      <c r="KE25" s="242"/>
      <c r="KF25" s="457"/>
      <c r="KG25" s="15">
        <v>18</v>
      </c>
      <c r="KH25" s="69">
        <v>970.23</v>
      </c>
      <c r="KI25" s="336"/>
      <c r="KJ25" s="69"/>
      <c r="KK25" s="70"/>
      <c r="KL25" s="71"/>
      <c r="KM25" s="569">
        <f t="shared" si="33"/>
        <v>0</v>
      </c>
      <c r="KP25" s="94"/>
      <c r="KQ25" s="15">
        <v>18</v>
      </c>
      <c r="KR25" s="69">
        <v>893.6</v>
      </c>
      <c r="KS25" s="336"/>
      <c r="KT25" s="69"/>
      <c r="KU25" s="70"/>
      <c r="KV25" s="71"/>
      <c r="KW25" s="569">
        <f t="shared" si="34"/>
        <v>0</v>
      </c>
      <c r="KZ25" s="94"/>
      <c r="LA25" s="15">
        <v>18</v>
      </c>
      <c r="LB25" s="92">
        <v>886.3</v>
      </c>
      <c r="LC25" s="324"/>
      <c r="LD25" s="92"/>
      <c r="LE25" s="95"/>
      <c r="LF25" s="71"/>
      <c r="LG25" s="569">
        <f t="shared" si="35"/>
        <v>0</v>
      </c>
      <c r="LJ25" s="94"/>
      <c r="LK25" s="15">
        <v>18</v>
      </c>
      <c r="LL25" s="279">
        <v>922.6</v>
      </c>
      <c r="LM25" s="324"/>
      <c r="LN25" s="279"/>
      <c r="LO25" s="95"/>
      <c r="LP25" s="71"/>
      <c r="LQ25" s="569">
        <f t="shared" si="36"/>
        <v>0</v>
      </c>
      <c r="LT25" s="94"/>
      <c r="LU25" s="15">
        <v>18</v>
      </c>
      <c r="LV25" s="92"/>
      <c r="LW25" s="324"/>
      <c r="LX25" s="92"/>
      <c r="LY25" s="95"/>
      <c r="LZ25" s="71"/>
      <c r="MA25" s="569">
        <f t="shared" si="37"/>
        <v>0</v>
      </c>
      <c r="MB25" s="569"/>
      <c r="MD25" s="94"/>
      <c r="ME25" s="15">
        <v>18</v>
      </c>
      <c r="MF25" s="389"/>
      <c r="MG25" s="324"/>
      <c r="MH25" s="991"/>
      <c r="MI25" s="319"/>
      <c r="MJ25" s="71"/>
      <c r="MK25" s="71">
        <f t="shared" si="38"/>
        <v>0</v>
      </c>
      <c r="MN25" s="94"/>
      <c r="MO25" s="15">
        <v>18</v>
      </c>
      <c r="MP25" s="92"/>
      <c r="MQ25" s="324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24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24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24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24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24"/>
      <c r="OP25" s="92"/>
      <c r="OQ25" s="95"/>
      <c r="OR25" s="71"/>
      <c r="OS25" s="71">
        <f t="shared" si="44"/>
        <v>0</v>
      </c>
      <c r="OV25" s="94"/>
      <c r="OW25" s="15">
        <v>18</v>
      </c>
      <c r="OX25" s="279"/>
      <c r="OY25" s="328"/>
      <c r="OZ25" s="279"/>
      <c r="PA25" s="319"/>
      <c r="PB25" s="266"/>
      <c r="PC25" s="266">
        <f t="shared" si="45"/>
        <v>0</v>
      </c>
      <c r="PF25" s="94"/>
      <c r="PG25" s="15">
        <v>18</v>
      </c>
      <c r="PH25" s="92"/>
      <c r="PI25" s="324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24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324"/>
      <c r="QL25" s="92"/>
      <c r="QM25" s="95"/>
      <c r="QN25" s="71"/>
      <c r="QQ25" s="106"/>
      <c r="QR25" s="15">
        <v>18</v>
      </c>
      <c r="QS25" s="92"/>
      <c r="QT25" s="324"/>
      <c r="QU25" s="92"/>
      <c r="QV25" s="95"/>
      <c r="QW25" s="71"/>
      <c r="QZ25" s="106"/>
      <c r="RA25" s="15">
        <v>18</v>
      </c>
      <c r="RB25" s="92"/>
      <c r="RC25" s="324"/>
      <c r="RD25" s="92"/>
      <c r="RE25" s="95"/>
      <c r="RF25" s="71"/>
      <c r="RI25" s="106"/>
      <c r="RJ25" s="15">
        <v>18</v>
      </c>
      <c r="RK25" s="92"/>
      <c r="RL25" s="324"/>
      <c r="RM25" s="92"/>
      <c r="RN25" s="95"/>
      <c r="RO25" s="377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88"/>
      <c r="TF25" s="179"/>
      <c r="TG25" s="381"/>
      <c r="TH25" s="380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SEABOARD FOODS</v>
      </c>
      <c r="C26" s="75" t="str">
        <f t="shared" si="64"/>
        <v>Seaboard</v>
      </c>
      <c r="D26" s="102" t="str">
        <f t="shared" si="64"/>
        <v>PED. 82249516</v>
      </c>
      <c r="E26" s="135">
        <f t="shared" si="64"/>
        <v>44700</v>
      </c>
      <c r="F26" s="86">
        <f t="shared" si="64"/>
        <v>18570.07</v>
      </c>
      <c r="G26" s="73">
        <f t="shared" si="64"/>
        <v>21</v>
      </c>
      <c r="H26" s="48">
        <f t="shared" si="64"/>
        <v>18649.3</v>
      </c>
      <c r="I26" s="105">
        <f t="shared" si="64"/>
        <v>-79.229999999999563</v>
      </c>
      <c r="K26" s="242"/>
      <c r="L26" s="94"/>
      <c r="M26" s="15">
        <v>19</v>
      </c>
      <c r="N26" s="69">
        <v>915.3</v>
      </c>
      <c r="O26" s="336">
        <v>44685</v>
      </c>
      <c r="P26" s="69">
        <v>915.3</v>
      </c>
      <c r="Q26" s="70" t="s">
        <v>380</v>
      </c>
      <c r="R26" s="71">
        <v>47</v>
      </c>
      <c r="S26" s="569">
        <f t="shared" si="7"/>
        <v>43019.1</v>
      </c>
      <c r="T26" s="242"/>
      <c r="V26" s="94"/>
      <c r="W26" s="15">
        <v>19</v>
      </c>
      <c r="X26" s="69">
        <v>880.9</v>
      </c>
      <c r="Y26" s="336">
        <v>44684</v>
      </c>
      <c r="Z26" s="69">
        <v>880.9</v>
      </c>
      <c r="AA26" s="70" t="s">
        <v>365</v>
      </c>
      <c r="AB26" s="71">
        <v>47</v>
      </c>
      <c r="AC26" s="569">
        <f t="shared" si="8"/>
        <v>41402.299999999996</v>
      </c>
      <c r="AF26" s="106"/>
      <c r="AG26" s="15">
        <v>19</v>
      </c>
      <c r="AH26" s="92">
        <v>947.55</v>
      </c>
      <c r="AI26" s="324">
        <v>44685</v>
      </c>
      <c r="AJ26" s="92">
        <v>947.55</v>
      </c>
      <c r="AK26" s="95" t="s">
        <v>384</v>
      </c>
      <c r="AL26" s="71">
        <v>47</v>
      </c>
      <c r="AM26" s="569">
        <f t="shared" si="9"/>
        <v>44534.85</v>
      </c>
      <c r="AP26" s="106"/>
      <c r="AQ26" s="15">
        <v>19</v>
      </c>
      <c r="AR26" s="279">
        <v>916.25</v>
      </c>
      <c r="AS26" s="324">
        <v>44686</v>
      </c>
      <c r="AT26" s="279">
        <v>916.25</v>
      </c>
      <c r="AU26" s="95" t="s">
        <v>392</v>
      </c>
      <c r="AV26" s="71">
        <v>47</v>
      </c>
      <c r="AW26" s="569">
        <f t="shared" si="10"/>
        <v>43063.75</v>
      </c>
      <c r="AZ26" s="106"/>
      <c r="BA26" s="15">
        <v>19</v>
      </c>
      <c r="BB26" s="92">
        <v>953.9</v>
      </c>
      <c r="BC26" s="324">
        <v>44687</v>
      </c>
      <c r="BD26" s="92">
        <v>953.9</v>
      </c>
      <c r="BE26" s="95" t="s">
        <v>399</v>
      </c>
      <c r="BF26" s="71">
        <v>47</v>
      </c>
      <c r="BG26" s="569">
        <f t="shared" si="11"/>
        <v>44833.299999999996</v>
      </c>
      <c r="BJ26" s="106"/>
      <c r="BK26" s="15">
        <v>19</v>
      </c>
      <c r="BL26" s="279">
        <v>890.4</v>
      </c>
      <c r="BM26" s="245">
        <v>44688</v>
      </c>
      <c r="BN26" s="279">
        <v>890.4</v>
      </c>
      <c r="BO26" s="319" t="s">
        <v>409</v>
      </c>
      <c r="BP26" s="813">
        <v>49</v>
      </c>
      <c r="BQ26" s="737">
        <f t="shared" si="12"/>
        <v>43629.599999999999</v>
      </c>
      <c r="BT26" s="106"/>
      <c r="BU26" s="263">
        <v>19</v>
      </c>
      <c r="BV26" s="279">
        <v>861.8</v>
      </c>
      <c r="BW26" s="378">
        <v>44688</v>
      </c>
      <c r="BX26" s="279">
        <v>861.8</v>
      </c>
      <c r="BY26" s="379" t="s">
        <v>413</v>
      </c>
      <c r="BZ26" s="380">
        <v>49</v>
      </c>
      <c r="CA26" s="569">
        <f t="shared" si="13"/>
        <v>42228.2</v>
      </c>
      <c r="CD26" s="762"/>
      <c r="CE26" s="15">
        <v>19</v>
      </c>
      <c r="CF26" s="279">
        <v>863.2</v>
      </c>
      <c r="CG26" s="994">
        <v>44690</v>
      </c>
      <c r="CH26" s="279">
        <v>863.2</v>
      </c>
      <c r="CI26" s="814" t="s">
        <v>427</v>
      </c>
      <c r="CJ26" s="692">
        <v>49</v>
      </c>
      <c r="CK26" s="569">
        <f t="shared" si="14"/>
        <v>42296.800000000003</v>
      </c>
      <c r="CN26" s="601"/>
      <c r="CO26" s="15">
        <v>19</v>
      </c>
      <c r="CP26" s="279">
        <v>943.01</v>
      </c>
      <c r="CQ26" s="378">
        <v>44688</v>
      </c>
      <c r="CR26" s="279">
        <v>943.01</v>
      </c>
      <c r="CS26" s="381" t="s">
        <v>422</v>
      </c>
      <c r="CT26" s="380">
        <v>49</v>
      </c>
      <c r="CU26" s="575">
        <f t="shared" si="48"/>
        <v>46207.49</v>
      </c>
      <c r="CX26" s="106"/>
      <c r="CY26" s="15">
        <v>19</v>
      </c>
      <c r="CZ26" s="92">
        <v>871.8</v>
      </c>
      <c r="DA26" s="324">
        <v>44692</v>
      </c>
      <c r="DB26" s="92">
        <v>871.8</v>
      </c>
      <c r="DC26" s="95" t="s">
        <v>454</v>
      </c>
      <c r="DD26" s="71">
        <v>49</v>
      </c>
      <c r="DE26" s="569">
        <f t="shared" si="15"/>
        <v>42718.2</v>
      </c>
      <c r="DH26" s="106"/>
      <c r="DI26" s="15">
        <v>19</v>
      </c>
      <c r="DJ26" s="92">
        <v>868.2</v>
      </c>
      <c r="DK26" s="378">
        <v>44691</v>
      </c>
      <c r="DL26" s="92">
        <v>868.2</v>
      </c>
      <c r="DM26" s="381" t="s">
        <v>441</v>
      </c>
      <c r="DN26" s="380">
        <v>49</v>
      </c>
      <c r="DO26" s="575">
        <f t="shared" si="16"/>
        <v>42541.8</v>
      </c>
      <c r="DR26" s="106"/>
      <c r="DS26" s="15">
        <v>19</v>
      </c>
      <c r="DT26" s="92">
        <v>885.4</v>
      </c>
      <c r="DU26" s="378">
        <v>44691</v>
      </c>
      <c r="DV26" s="92">
        <v>885.4</v>
      </c>
      <c r="DW26" s="381" t="s">
        <v>436</v>
      </c>
      <c r="DX26" s="380">
        <v>59</v>
      </c>
      <c r="DY26" s="569">
        <f t="shared" si="17"/>
        <v>52238.6</v>
      </c>
      <c r="EB26" s="106"/>
      <c r="EC26" s="15">
        <v>19</v>
      </c>
      <c r="ED26" s="69">
        <v>860.91</v>
      </c>
      <c r="EE26" s="336">
        <v>44693</v>
      </c>
      <c r="EF26" s="69">
        <v>860.91</v>
      </c>
      <c r="EG26" s="70" t="s">
        <v>465</v>
      </c>
      <c r="EH26" s="71">
        <v>49</v>
      </c>
      <c r="EI26" s="569">
        <f t="shared" si="18"/>
        <v>42184.59</v>
      </c>
      <c r="EL26" s="94"/>
      <c r="EM26" s="15">
        <v>19</v>
      </c>
      <c r="EN26" s="279">
        <v>901.28</v>
      </c>
      <c r="EO26" s="328">
        <v>44693</v>
      </c>
      <c r="EP26" s="279">
        <v>901.28</v>
      </c>
      <c r="EQ26" s="265" t="s">
        <v>470</v>
      </c>
      <c r="ER26" s="266">
        <v>49</v>
      </c>
      <c r="ES26" s="569">
        <f t="shared" si="19"/>
        <v>44162.720000000001</v>
      </c>
      <c r="EV26" s="106"/>
      <c r="EW26" s="15">
        <v>19</v>
      </c>
      <c r="EX26" s="264">
        <v>930.77</v>
      </c>
      <c r="EY26" s="495">
        <v>44694</v>
      </c>
      <c r="EZ26" s="264">
        <v>930.77</v>
      </c>
      <c r="FA26" s="265" t="s">
        <v>490</v>
      </c>
      <c r="FB26" s="266">
        <v>49</v>
      </c>
      <c r="FC26" s="322">
        <f t="shared" si="20"/>
        <v>45607.729999999996</v>
      </c>
      <c r="FF26" s="94"/>
      <c r="FG26" s="15">
        <v>19</v>
      </c>
      <c r="FH26" s="279">
        <v>885</v>
      </c>
      <c r="FI26" s="328">
        <v>44694</v>
      </c>
      <c r="FJ26" s="279">
        <v>885</v>
      </c>
      <c r="FK26" s="265" t="s">
        <v>486</v>
      </c>
      <c r="FL26" s="266">
        <v>49</v>
      </c>
      <c r="FM26" s="569">
        <f t="shared" si="21"/>
        <v>43365</v>
      </c>
      <c r="FP26" s="106"/>
      <c r="FQ26" s="15">
        <v>19</v>
      </c>
      <c r="FR26" s="92">
        <v>879.01</v>
      </c>
      <c r="FS26" s="324">
        <v>44695</v>
      </c>
      <c r="FT26" s="92">
        <v>879.1</v>
      </c>
      <c r="FU26" s="70" t="s">
        <v>500</v>
      </c>
      <c r="FV26" s="71">
        <v>49</v>
      </c>
      <c r="FW26" s="569">
        <f t="shared" si="22"/>
        <v>43075.9</v>
      </c>
      <c r="FX26" s="71"/>
      <c r="FZ26" s="106"/>
      <c r="GA26" s="15">
        <v>19</v>
      </c>
      <c r="GB26" s="69">
        <v>902.6</v>
      </c>
      <c r="GC26" s="495">
        <v>44697</v>
      </c>
      <c r="GD26" s="69">
        <v>902.6</v>
      </c>
      <c r="GE26" s="265" t="s">
        <v>517</v>
      </c>
      <c r="GF26" s="266">
        <v>49</v>
      </c>
      <c r="GG26" s="322">
        <f t="shared" si="23"/>
        <v>44227.4</v>
      </c>
      <c r="GJ26" s="106"/>
      <c r="GK26" s="15">
        <v>19</v>
      </c>
      <c r="GL26" s="473">
        <v>903.6</v>
      </c>
      <c r="GM26" s="324">
        <v>44698</v>
      </c>
      <c r="GN26" s="473">
        <v>903.6</v>
      </c>
      <c r="GO26" s="95" t="s">
        <v>492</v>
      </c>
      <c r="GP26" s="71">
        <v>44</v>
      </c>
      <c r="GQ26" s="569">
        <f t="shared" si="24"/>
        <v>39758.400000000001</v>
      </c>
      <c r="GT26" s="106"/>
      <c r="GU26" s="15">
        <v>19</v>
      </c>
      <c r="GV26" s="279">
        <v>869.1</v>
      </c>
      <c r="GW26" s="328">
        <v>44700</v>
      </c>
      <c r="GX26" s="279">
        <v>869.1</v>
      </c>
      <c r="GY26" s="319" t="s">
        <v>529</v>
      </c>
      <c r="GZ26" s="266">
        <v>43</v>
      </c>
      <c r="HA26" s="569">
        <f t="shared" si="25"/>
        <v>37371.300000000003</v>
      </c>
      <c r="HD26" s="106"/>
      <c r="HE26" s="15">
        <v>19</v>
      </c>
      <c r="HF26" s="279">
        <v>912.62</v>
      </c>
      <c r="HG26" s="328">
        <v>44700</v>
      </c>
      <c r="HH26" s="279">
        <v>912.62</v>
      </c>
      <c r="HI26" s="319" t="s">
        <v>535</v>
      </c>
      <c r="HJ26" s="266">
        <v>43</v>
      </c>
      <c r="HK26" s="322">
        <f t="shared" si="26"/>
        <v>39242.660000000003</v>
      </c>
      <c r="HN26" s="228"/>
      <c r="HO26" s="15">
        <v>19</v>
      </c>
      <c r="HP26" s="279">
        <v>969.78</v>
      </c>
      <c r="HQ26" s="328">
        <v>44700</v>
      </c>
      <c r="HR26" s="279">
        <v>969.78</v>
      </c>
      <c r="HS26" s="383" t="s">
        <v>495</v>
      </c>
      <c r="HT26" s="266">
        <v>43</v>
      </c>
      <c r="HU26" s="569">
        <f t="shared" si="27"/>
        <v>41700.54</v>
      </c>
      <c r="HX26" s="106"/>
      <c r="HY26" s="15">
        <v>19</v>
      </c>
      <c r="HZ26" s="69">
        <v>875.4</v>
      </c>
      <c r="IA26" s="336">
        <v>44702</v>
      </c>
      <c r="IB26" s="69">
        <v>875.4</v>
      </c>
      <c r="IC26" s="70" t="s">
        <v>549</v>
      </c>
      <c r="ID26" s="71">
        <v>45</v>
      </c>
      <c r="IE26" s="569">
        <f t="shared" si="5"/>
        <v>39393</v>
      </c>
      <c r="IH26" s="106"/>
      <c r="II26" s="15">
        <v>19</v>
      </c>
      <c r="IJ26" s="69">
        <v>952.54</v>
      </c>
      <c r="IK26" s="336">
        <v>44701</v>
      </c>
      <c r="IL26" s="69">
        <v>952.54</v>
      </c>
      <c r="IM26" s="70" t="s">
        <v>534</v>
      </c>
      <c r="IN26" s="71">
        <v>43</v>
      </c>
      <c r="IO26" s="569">
        <f t="shared" si="28"/>
        <v>40959.22</v>
      </c>
      <c r="IR26" s="106"/>
      <c r="IS26" s="15">
        <v>19</v>
      </c>
      <c r="IT26" s="279">
        <v>920.8</v>
      </c>
      <c r="IU26" s="245"/>
      <c r="IV26" s="279"/>
      <c r="IW26" s="501"/>
      <c r="IX26" s="266"/>
      <c r="IY26" s="322">
        <f t="shared" si="29"/>
        <v>0</v>
      </c>
      <c r="JA26" s="69"/>
      <c r="JB26" s="106"/>
      <c r="JC26" s="15">
        <v>19</v>
      </c>
      <c r="JD26" s="92">
        <v>864.5</v>
      </c>
      <c r="JE26" s="336"/>
      <c r="JF26" s="279"/>
      <c r="JG26" s="265"/>
      <c r="JH26" s="71"/>
      <c r="JI26" s="569">
        <f t="shared" si="30"/>
        <v>0</v>
      </c>
      <c r="JL26" s="106"/>
      <c r="JM26" s="15">
        <v>19</v>
      </c>
      <c r="JN26" s="92">
        <v>893.6</v>
      </c>
      <c r="JO26" s="324"/>
      <c r="JP26" s="92"/>
      <c r="JQ26" s="70"/>
      <c r="JR26" s="71"/>
      <c r="JS26" s="569">
        <f t="shared" si="31"/>
        <v>0</v>
      </c>
      <c r="JV26" s="94"/>
      <c r="JW26" s="15">
        <v>19</v>
      </c>
      <c r="JX26" s="69">
        <v>969.32</v>
      </c>
      <c r="JY26" s="336"/>
      <c r="JZ26" s="69"/>
      <c r="KA26" s="70"/>
      <c r="KB26" s="71"/>
      <c r="KC26" s="569">
        <f t="shared" si="32"/>
        <v>0</v>
      </c>
      <c r="KE26" s="242"/>
      <c r="KF26" s="457"/>
      <c r="KG26" s="15">
        <v>19</v>
      </c>
      <c r="KH26" s="69">
        <v>953.45</v>
      </c>
      <c r="KI26" s="336"/>
      <c r="KJ26" s="69"/>
      <c r="KK26" s="70"/>
      <c r="KL26" s="71"/>
      <c r="KM26" s="569">
        <f t="shared" si="33"/>
        <v>0</v>
      </c>
      <c r="KP26" s="94"/>
      <c r="KQ26" s="15">
        <v>19</v>
      </c>
      <c r="KR26" s="69">
        <v>903.6</v>
      </c>
      <c r="KS26" s="336"/>
      <c r="KT26" s="69"/>
      <c r="KU26" s="70"/>
      <c r="KV26" s="71"/>
      <c r="KW26" s="569">
        <f t="shared" si="34"/>
        <v>0</v>
      </c>
      <c r="KZ26" s="106"/>
      <c r="LA26" s="15">
        <v>19</v>
      </c>
      <c r="LB26" s="92">
        <v>863.6</v>
      </c>
      <c r="LC26" s="324"/>
      <c r="LD26" s="92"/>
      <c r="LE26" s="95"/>
      <c r="LF26" s="71"/>
      <c r="LG26" s="569">
        <f t="shared" si="35"/>
        <v>0</v>
      </c>
      <c r="LJ26" s="106"/>
      <c r="LK26" s="15">
        <v>19</v>
      </c>
      <c r="LL26" s="279">
        <v>931.67</v>
      </c>
      <c r="LM26" s="324"/>
      <c r="LN26" s="279"/>
      <c r="LO26" s="95"/>
      <c r="LP26" s="71"/>
      <c r="LQ26" s="569">
        <f t="shared" si="36"/>
        <v>0</v>
      </c>
      <c r="LT26" s="106"/>
      <c r="LU26" s="15">
        <v>19</v>
      </c>
      <c r="LV26" s="92"/>
      <c r="LW26" s="324"/>
      <c r="LX26" s="92"/>
      <c r="LY26" s="95"/>
      <c r="LZ26" s="71"/>
      <c r="MA26" s="569">
        <f t="shared" si="37"/>
        <v>0</v>
      </c>
      <c r="MB26" s="569"/>
      <c r="MD26" s="106"/>
      <c r="ME26" s="15">
        <v>19</v>
      </c>
      <c r="MF26" s="389"/>
      <c r="MG26" s="324"/>
      <c r="MH26" s="991"/>
      <c r="MI26" s="319"/>
      <c r="MJ26" s="71"/>
      <c r="MK26" s="71">
        <f t="shared" si="38"/>
        <v>0</v>
      </c>
      <c r="MN26" s="106"/>
      <c r="MO26" s="15">
        <v>19</v>
      </c>
      <c r="MP26" s="92"/>
      <c r="MQ26" s="324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24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24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24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24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24"/>
      <c r="OP26" s="92"/>
      <c r="OQ26" s="95"/>
      <c r="OR26" s="71"/>
      <c r="OS26" s="71">
        <f t="shared" si="44"/>
        <v>0</v>
      </c>
      <c r="OV26" s="106"/>
      <c r="OW26" s="15">
        <v>19</v>
      </c>
      <c r="OX26" s="279"/>
      <c r="OY26" s="328"/>
      <c r="OZ26" s="279"/>
      <c r="PA26" s="319"/>
      <c r="PB26" s="266"/>
      <c r="PC26" s="266">
        <f t="shared" si="45"/>
        <v>0</v>
      </c>
      <c r="PF26" s="94"/>
      <c r="PG26" s="15">
        <v>19</v>
      </c>
      <c r="PH26" s="92"/>
      <c r="PI26" s="324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24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324"/>
      <c r="QL26" s="92"/>
      <c r="QM26" s="95"/>
      <c r="QN26" s="71"/>
      <c r="QQ26" s="106"/>
      <c r="QR26" s="15">
        <v>19</v>
      </c>
      <c r="QS26" s="92"/>
      <c r="QT26" s="324"/>
      <c r="QU26" s="92"/>
      <c r="QV26" s="95"/>
      <c r="QW26" s="71"/>
      <c r="QZ26" s="106"/>
      <c r="RA26" s="15">
        <v>19</v>
      </c>
      <c r="RB26" s="92"/>
      <c r="RC26" s="324"/>
      <c r="RD26" s="92"/>
      <c r="RE26" s="95"/>
      <c r="RF26" s="71"/>
      <c r="RI26" s="106"/>
      <c r="RJ26" s="15">
        <v>19</v>
      </c>
      <c r="RK26" s="92"/>
      <c r="RL26" s="324"/>
      <c r="RM26" s="92"/>
      <c r="RN26" s="95"/>
      <c r="RO26" s="377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88"/>
      <c r="TF26" s="179"/>
      <c r="TG26" s="381"/>
      <c r="TH26" s="380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TYSON FRESH MEAT</v>
      </c>
      <c r="C27" s="250" t="str">
        <f t="shared" si="65"/>
        <v xml:space="preserve">I B P </v>
      </c>
      <c r="D27" s="102" t="str">
        <f t="shared" si="65"/>
        <v>PED. 82315099</v>
      </c>
      <c r="E27" s="135">
        <f t="shared" si="65"/>
        <v>44701</v>
      </c>
      <c r="F27" s="86">
        <f t="shared" si="65"/>
        <v>18885.68</v>
      </c>
      <c r="G27" s="73">
        <f t="shared" si="65"/>
        <v>20</v>
      </c>
      <c r="H27" s="48">
        <f t="shared" si="65"/>
        <v>18951.150000000001</v>
      </c>
      <c r="I27" s="105">
        <f t="shared" si="65"/>
        <v>-65.470000000001164</v>
      </c>
      <c r="K27" s="242"/>
      <c r="L27" s="94"/>
      <c r="M27" s="15">
        <v>20</v>
      </c>
      <c r="N27" s="69">
        <v>899.9</v>
      </c>
      <c r="O27" s="336">
        <v>44685</v>
      </c>
      <c r="P27" s="69">
        <v>899.9</v>
      </c>
      <c r="Q27" s="70" t="s">
        <v>380</v>
      </c>
      <c r="R27" s="71">
        <v>47</v>
      </c>
      <c r="S27" s="569">
        <f t="shared" si="7"/>
        <v>42295.299999999996</v>
      </c>
      <c r="T27" s="242"/>
      <c r="V27" s="94"/>
      <c r="W27" s="15">
        <v>20</v>
      </c>
      <c r="X27" s="69">
        <v>908.1</v>
      </c>
      <c r="Y27" s="336">
        <v>44684</v>
      </c>
      <c r="Z27" s="69">
        <v>908.1</v>
      </c>
      <c r="AA27" s="70" t="s">
        <v>365</v>
      </c>
      <c r="AB27" s="71">
        <v>47</v>
      </c>
      <c r="AC27" s="569">
        <f t="shared" si="8"/>
        <v>42680.700000000004</v>
      </c>
      <c r="AF27" s="106"/>
      <c r="AG27" s="15">
        <v>20</v>
      </c>
      <c r="AH27" s="92">
        <v>953.45</v>
      </c>
      <c r="AI27" s="324">
        <v>44686</v>
      </c>
      <c r="AJ27" s="92">
        <v>953.45</v>
      </c>
      <c r="AK27" s="95" t="s">
        <v>390</v>
      </c>
      <c r="AL27" s="71">
        <v>47</v>
      </c>
      <c r="AM27" s="569">
        <f t="shared" si="9"/>
        <v>44812.15</v>
      </c>
      <c r="AP27" s="106"/>
      <c r="AQ27" s="15">
        <v>20</v>
      </c>
      <c r="AR27" s="279">
        <v>924.87</v>
      </c>
      <c r="AS27" s="324">
        <v>44686</v>
      </c>
      <c r="AT27" s="279">
        <v>924.87</v>
      </c>
      <c r="AU27" s="95" t="s">
        <v>391</v>
      </c>
      <c r="AV27" s="71">
        <v>47</v>
      </c>
      <c r="AW27" s="569">
        <f t="shared" si="10"/>
        <v>43468.89</v>
      </c>
      <c r="AZ27" s="106"/>
      <c r="BA27" s="15">
        <v>20</v>
      </c>
      <c r="BB27" s="92">
        <v>934.8</v>
      </c>
      <c r="BC27" s="324">
        <v>44687</v>
      </c>
      <c r="BD27" s="92">
        <v>934.8</v>
      </c>
      <c r="BE27" s="95" t="s">
        <v>397</v>
      </c>
      <c r="BF27" s="71">
        <v>47</v>
      </c>
      <c r="BG27" s="569">
        <f t="shared" si="11"/>
        <v>43935.6</v>
      </c>
      <c r="BJ27" s="106"/>
      <c r="BK27" s="15">
        <v>20</v>
      </c>
      <c r="BL27" s="279">
        <v>902.2</v>
      </c>
      <c r="BM27" s="245">
        <v>44688</v>
      </c>
      <c r="BN27" s="279">
        <v>902.2</v>
      </c>
      <c r="BO27" s="319" t="s">
        <v>409</v>
      </c>
      <c r="BP27" s="813">
        <v>49</v>
      </c>
      <c r="BQ27" s="737">
        <f t="shared" si="12"/>
        <v>44207.8</v>
      </c>
      <c r="BT27" s="106"/>
      <c r="BU27" s="263">
        <v>20</v>
      </c>
      <c r="BV27" s="279">
        <v>931.7</v>
      </c>
      <c r="BW27" s="378">
        <v>44688</v>
      </c>
      <c r="BX27" s="279">
        <v>931.7</v>
      </c>
      <c r="BY27" s="379" t="s">
        <v>420</v>
      </c>
      <c r="BZ27" s="380">
        <v>49</v>
      </c>
      <c r="CA27" s="569">
        <f t="shared" si="13"/>
        <v>45653.3</v>
      </c>
      <c r="CD27" s="762"/>
      <c r="CE27" s="15">
        <v>20</v>
      </c>
      <c r="CF27" s="279">
        <v>870.9</v>
      </c>
      <c r="CG27" s="994">
        <v>44690</v>
      </c>
      <c r="CH27" s="279">
        <v>870.9</v>
      </c>
      <c r="CI27" s="814" t="s">
        <v>427</v>
      </c>
      <c r="CJ27" s="692">
        <v>49</v>
      </c>
      <c r="CK27" s="569">
        <f t="shared" si="14"/>
        <v>42674.1</v>
      </c>
      <c r="CN27" s="601"/>
      <c r="CO27" s="15">
        <v>20</v>
      </c>
      <c r="CP27" s="279">
        <v>939.38</v>
      </c>
      <c r="CQ27" s="378">
        <v>44688</v>
      </c>
      <c r="CR27" s="279">
        <v>939.38</v>
      </c>
      <c r="CS27" s="381" t="s">
        <v>422</v>
      </c>
      <c r="CT27" s="380">
        <v>49</v>
      </c>
      <c r="CU27" s="575">
        <f t="shared" si="48"/>
        <v>46029.62</v>
      </c>
      <c r="CX27" s="106"/>
      <c r="CY27" s="15">
        <v>20</v>
      </c>
      <c r="CZ27" s="92">
        <v>865.4</v>
      </c>
      <c r="DA27" s="324">
        <v>44692</v>
      </c>
      <c r="DB27" s="92">
        <v>865.4</v>
      </c>
      <c r="DC27" s="95" t="s">
        <v>454</v>
      </c>
      <c r="DD27" s="71">
        <v>49</v>
      </c>
      <c r="DE27" s="569">
        <f t="shared" si="15"/>
        <v>42404.6</v>
      </c>
      <c r="DH27" s="106"/>
      <c r="DI27" s="15">
        <v>20</v>
      </c>
      <c r="DJ27" s="92">
        <v>908.1</v>
      </c>
      <c r="DK27" s="378">
        <v>44691</v>
      </c>
      <c r="DL27" s="92">
        <v>908.1</v>
      </c>
      <c r="DM27" s="381" t="s">
        <v>441</v>
      </c>
      <c r="DN27" s="380">
        <v>49</v>
      </c>
      <c r="DO27" s="575">
        <f t="shared" si="16"/>
        <v>44496.9</v>
      </c>
      <c r="DR27" s="106"/>
      <c r="DS27" s="15">
        <v>20</v>
      </c>
      <c r="DT27" s="92">
        <v>919.9</v>
      </c>
      <c r="DU27" s="378">
        <v>44691</v>
      </c>
      <c r="DV27" s="92">
        <v>919.9</v>
      </c>
      <c r="DW27" s="381" t="s">
        <v>436</v>
      </c>
      <c r="DX27" s="380">
        <v>59</v>
      </c>
      <c r="DY27" s="569">
        <f t="shared" si="17"/>
        <v>54274.1</v>
      </c>
      <c r="EB27" s="106"/>
      <c r="EC27" s="15">
        <v>20</v>
      </c>
      <c r="ED27" s="69">
        <v>884.95</v>
      </c>
      <c r="EE27" s="336">
        <v>44693</v>
      </c>
      <c r="EF27" s="69">
        <v>884.95</v>
      </c>
      <c r="EG27" s="70" t="s">
        <v>465</v>
      </c>
      <c r="EH27" s="71">
        <v>49</v>
      </c>
      <c r="EI27" s="569">
        <f t="shared" si="18"/>
        <v>43362.55</v>
      </c>
      <c r="EL27" s="94"/>
      <c r="EM27" s="15">
        <v>20</v>
      </c>
      <c r="EN27" s="279">
        <v>930.77</v>
      </c>
      <c r="EO27" s="328">
        <v>44693</v>
      </c>
      <c r="EP27" s="279">
        <v>930.774</v>
      </c>
      <c r="EQ27" s="265" t="s">
        <v>470</v>
      </c>
      <c r="ER27" s="266">
        <v>49</v>
      </c>
      <c r="ES27" s="569">
        <f t="shared" si="19"/>
        <v>45607.925999999999</v>
      </c>
      <c r="EV27" s="106"/>
      <c r="EW27" s="15">
        <v>20</v>
      </c>
      <c r="EX27" s="264">
        <v>902.19</v>
      </c>
      <c r="EY27" s="495">
        <v>44694</v>
      </c>
      <c r="EZ27" s="264">
        <v>902.19</v>
      </c>
      <c r="FA27" s="265" t="s">
        <v>490</v>
      </c>
      <c r="FB27" s="266">
        <v>49</v>
      </c>
      <c r="FC27" s="322">
        <f t="shared" si="20"/>
        <v>44207.310000000005</v>
      </c>
      <c r="FF27" s="94"/>
      <c r="FG27" s="15">
        <v>20</v>
      </c>
      <c r="FH27" s="279">
        <v>910</v>
      </c>
      <c r="FI27" s="328">
        <v>44694</v>
      </c>
      <c r="FJ27" s="279">
        <v>910</v>
      </c>
      <c r="FK27" s="265" t="s">
        <v>486</v>
      </c>
      <c r="FL27" s="266">
        <v>49</v>
      </c>
      <c r="FM27" s="569">
        <f t="shared" si="21"/>
        <v>44590</v>
      </c>
      <c r="FP27" s="106"/>
      <c r="FQ27" s="15">
        <v>20</v>
      </c>
      <c r="FR27" s="92">
        <v>895.4</v>
      </c>
      <c r="FS27" s="324">
        <v>44695</v>
      </c>
      <c r="FT27" s="92">
        <v>895.4</v>
      </c>
      <c r="FU27" s="70" t="s">
        <v>504</v>
      </c>
      <c r="FV27" s="71">
        <v>49</v>
      </c>
      <c r="FW27" s="569">
        <f t="shared" si="22"/>
        <v>43874.6</v>
      </c>
      <c r="FX27" s="71"/>
      <c r="FZ27" s="106"/>
      <c r="GA27" s="15">
        <v>20</v>
      </c>
      <c r="GB27" s="69">
        <v>885.4</v>
      </c>
      <c r="GC27" s="495">
        <v>44697</v>
      </c>
      <c r="GD27" s="69">
        <v>885.4</v>
      </c>
      <c r="GE27" s="265" t="s">
        <v>517</v>
      </c>
      <c r="GF27" s="266">
        <v>49</v>
      </c>
      <c r="GG27" s="322">
        <f t="shared" si="23"/>
        <v>43384.6</v>
      </c>
      <c r="GJ27" s="106"/>
      <c r="GK27" s="15">
        <v>20</v>
      </c>
      <c r="GL27" s="473">
        <v>878.2</v>
      </c>
      <c r="GM27" s="324">
        <v>44699</v>
      </c>
      <c r="GN27" s="473">
        <v>878.2</v>
      </c>
      <c r="GO27" s="95" t="s">
        <v>522</v>
      </c>
      <c r="GP27" s="71">
        <v>43</v>
      </c>
      <c r="GQ27" s="569">
        <f t="shared" si="24"/>
        <v>37762.6</v>
      </c>
      <c r="GT27" s="106"/>
      <c r="GU27" s="15">
        <v>20</v>
      </c>
      <c r="GV27" s="279">
        <v>904.5</v>
      </c>
      <c r="GW27" s="328">
        <v>44700</v>
      </c>
      <c r="GX27" s="279">
        <v>904.5</v>
      </c>
      <c r="GY27" s="319" t="s">
        <v>529</v>
      </c>
      <c r="GZ27" s="266">
        <v>43</v>
      </c>
      <c r="HA27" s="569">
        <f t="shared" si="25"/>
        <v>38893.5</v>
      </c>
      <c r="HD27" s="106"/>
      <c r="HE27" s="15">
        <v>20</v>
      </c>
      <c r="HF27" s="279">
        <v>945.28</v>
      </c>
      <c r="HG27" s="328">
        <v>44700</v>
      </c>
      <c r="HH27" s="279">
        <v>945.28</v>
      </c>
      <c r="HI27" s="319" t="s">
        <v>537</v>
      </c>
      <c r="HJ27" s="266">
        <v>43</v>
      </c>
      <c r="HK27" s="322">
        <f t="shared" si="26"/>
        <v>40647.040000000001</v>
      </c>
      <c r="HN27" s="228"/>
      <c r="HO27" s="15">
        <v>20</v>
      </c>
      <c r="HP27" s="279">
        <v>961.61</v>
      </c>
      <c r="HQ27" s="328">
        <v>44700</v>
      </c>
      <c r="HR27" s="279">
        <v>961.61</v>
      </c>
      <c r="HS27" s="383" t="s">
        <v>538</v>
      </c>
      <c r="HT27" s="266">
        <v>43</v>
      </c>
      <c r="HU27" s="569">
        <f t="shared" si="27"/>
        <v>41349.230000000003</v>
      </c>
      <c r="HX27" s="106"/>
      <c r="HY27" s="15">
        <v>20</v>
      </c>
      <c r="HZ27" s="69">
        <v>891.3</v>
      </c>
      <c r="IA27" s="336">
        <v>44702</v>
      </c>
      <c r="IB27" s="69">
        <v>891.3</v>
      </c>
      <c r="IC27" s="70" t="s">
        <v>553</v>
      </c>
      <c r="ID27" s="71">
        <v>45</v>
      </c>
      <c r="IE27" s="569">
        <f t="shared" si="5"/>
        <v>40108.5</v>
      </c>
      <c r="IH27" s="106"/>
      <c r="II27" s="15">
        <v>20</v>
      </c>
      <c r="IJ27" s="69">
        <v>965.24</v>
      </c>
      <c r="IK27" s="336">
        <v>44702</v>
      </c>
      <c r="IL27" s="69">
        <v>965.24</v>
      </c>
      <c r="IM27" s="70" t="s">
        <v>546</v>
      </c>
      <c r="IN27" s="71">
        <v>45</v>
      </c>
      <c r="IO27" s="569">
        <f t="shared" si="28"/>
        <v>43435.8</v>
      </c>
      <c r="IR27" s="106"/>
      <c r="IS27" s="15">
        <v>20</v>
      </c>
      <c r="IT27" s="279">
        <v>866.4</v>
      </c>
      <c r="IU27" s="245"/>
      <c r="IV27" s="279"/>
      <c r="IW27" s="501"/>
      <c r="IX27" s="266"/>
      <c r="IY27" s="322">
        <f t="shared" si="29"/>
        <v>0</v>
      </c>
      <c r="JA27" s="69"/>
      <c r="JB27" s="106"/>
      <c r="JC27" s="15">
        <v>20</v>
      </c>
      <c r="JD27" s="92">
        <v>924.4</v>
      </c>
      <c r="JE27" s="336"/>
      <c r="JF27" s="92"/>
      <c r="JG27" s="265"/>
      <c r="JH27" s="71"/>
      <c r="JI27" s="569">
        <f t="shared" si="30"/>
        <v>0</v>
      </c>
      <c r="JL27" s="106"/>
      <c r="JM27" s="15">
        <v>20</v>
      </c>
      <c r="JN27" s="92">
        <v>889</v>
      </c>
      <c r="JO27" s="324"/>
      <c r="JP27" s="92"/>
      <c r="JQ27" s="70"/>
      <c r="JR27" s="71"/>
      <c r="JS27" s="569">
        <f t="shared" si="31"/>
        <v>0</v>
      </c>
      <c r="JV27" s="94"/>
      <c r="JW27" s="15">
        <v>20</v>
      </c>
      <c r="JX27" s="69">
        <v>950.27</v>
      </c>
      <c r="JY27" s="336"/>
      <c r="JZ27" s="69"/>
      <c r="KA27" s="70"/>
      <c r="KB27" s="71"/>
      <c r="KC27" s="569">
        <f t="shared" si="32"/>
        <v>0</v>
      </c>
      <c r="KE27" s="242"/>
      <c r="KF27" s="457"/>
      <c r="KG27" s="15">
        <v>20</v>
      </c>
      <c r="KH27" s="69">
        <v>946.64</v>
      </c>
      <c r="KI27" s="336"/>
      <c r="KJ27" s="69"/>
      <c r="KK27" s="70"/>
      <c r="KL27" s="71"/>
      <c r="KM27" s="569">
        <f t="shared" si="33"/>
        <v>0</v>
      </c>
      <c r="KP27" s="94"/>
      <c r="KQ27" s="15">
        <v>20</v>
      </c>
      <c r="KR27" s="69">
        <v>937.1</v>
      </c>
      <c r="KS27" s="336"/>
      <c r="KT27" s="69"/>
      <c r="KU27" s="70"/>
      <c r="KV27" s="71"/>
      <c r="KW27" s="569">
        <f t="shared" si="34"/>
        <v>0</v>
      </c>
      <c r="KZ27" s="106"/>
      <c r="LA27" s="15">
        <v>20</v>
      </c>
      <c r="LB27" s="92">
        <v>918.1</v>
      </c>
      <c r="LC27" s="324"/>
      <c r="LD27" s="92"/>
      <c r="LE27" s="95"/>
      <c r="LF27" s="71"/>
      <c r="LG27" s="569">
        <f t="shared" si="35"/>
        <v>0</v>
      </c>
      <c r="LJ27" s="106"/>
      <c r="LK27" s="15">
        <v>20</v>
      </c>
      <c r="LL27" s="279">
        <v>886.77</v>
      </c>
      <c r="LM27" s="324"/>
      <c r="LN27" s="279"/>
      <c r="LO27" s="95"/>
      <c r="LP27" s="71"/>
      <c r="LQ27" s="569">
        <f t="shared" si="36"/>
        <v>0</v>
      </c>
      <c r="LT27" s="106"/>
      <c r="LU27" s="15">
        <v>20</v>
      </c>
      <c r="LV27" s="92"/>
      <c r="LW27" s="324"/>
      <c r="LX27" s="92"/>
      <c r="LY27" s="95"/>
      <c r="LZ27" s="71"/>
      <c r="MA27" s="569">
        <f t="shared" si="37"/>
        <v>0</v>
      </c>
      <c r="MB27" s="569"/>
      <c r="MD27" s="106"/>
      <c r="ME27" s="15">
        <v>20</v>
      </c>
      <c r="MF27" s="389"/>
      <c r="MG27" s="324"/>
      <c r="MH27" s="991"/>
      <c r="MI27" s="319"/>
      <c r="MJ27" s="71"/>
      <c r="MK27" s="71">
        <f t="shared" si="38"/>
        <v>0</v>
      </c>
      <c r="MN27" s="106"/>
      <c r="MO27" s="15">
        <v>20</v>
      </c>
      <c r="MP27" s="92"/>
      <c r="MQ27" s="324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24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24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24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24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24"/>
      <c r="OP27" s="92"/>
      <c r="OQ27" s="95"/>
      <c r="OR27" s="71"/>
      <c r="OS27" s="71">
        <f t="shared" si="44"/>
        <v>0</v>
      </c>
      <c r="OV27" s="106"/>
      <c r="OW27" s="15">
        <v>20</v>
      </c>
      <c r="OX27" s="279"/>
      <c r="OY27" s="328"/>
      <c r="OZ27" s="279"/>
      <c r="PA27" s="319"/>
      <c r="PB27" s="266"/>
      <c r="PC27" s="266">
        <f t="shared" si="45"/>
        <v>0</v>
      </c>
      <c r="PF27" s="106"/>
      <c r="PG27" s="15">
        <v>20</v>
      </c>
      <c r="PH27" s="92"/>
      <c r="PI27" s="324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24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324"/>
      <c r="QL27" s="92"/>
      <c r="QM27" s="95"/>
      <c r="QN27" s="71"/>
      <c r="QQ27" s="106"/>
      <c r="QR27" s="15">
        <v>20</v>
      </c>
      <c r="QS27" s="92"/>
      <c r="QT27" s="324"/>
      <c r="QU27" s="92"/>
      <c r="QV27" s="95"/>
      <c r="QW27" s="71"/>
      <c r="QZ27" s="106"/>
      <c r="RA27" s="15">
        <v>20</v>
      </c>
      <c r="RB27" s="92"/>
      <c r="RC27" s="324"/>
      <c r="RD27" s="92"/>
      <c r="RE27" s="95"/>
      <c r="RF27" s="71"/>
      <c r="RI27" s="106"/>
      <c r="RJ27" s="15">
        <v>20</v>
      </c>
      <c r="RK27" s="92"/>
      <c r="RL27" s="324"/>
      <c r="RM27" s="92"/>
      <c r="RN27" s="95"/>
      <c r="RO27" s="377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88"/>
      <c r="TF27" s="179"/>
      <c r="TG27" s="381"/>
      <c r="TH27" s="380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82315466</v>
      </c>
      <c r="E28" s="135">
        <f t="shared" si="66"/>
        <v>44702</v>
      </c>
      <c r="F28" s="86">
        <f t="shared" si="66"/>
        <v>18647.62</v>
      </c>
      <c r="G28" s="73">
        <f t="shared" si="66"/>
        <v>21</v>
      </c>
      <c r="H28" s="48">
        <f t="shared" si="66"/>
        <v>18784.3</v>
      </c>
      <c r="I28" s="105">
        <f t="shared" si="66"/>
        <v>-136.68000000000029</v>
      </c>
      <c r="J28" s="242"/>
      <c r="L28" s="94"/>
      <c r="M28" s="15">
        <v>21</v>
      </c>
      <c r="N28" s="69">
        <v>919.9</v>
      </c>
      <c r="O28" s="336">
        <v>44685</v>
      </c>
      <c r="P28" s="69">
        <v>919.9</v>
      </c>
      <c r="Q28" s="70" t="s">
        <v>380</v>
      </c>
      <c r="R28" s="71">
        <v>47</v>
      </c>
      <c r="S28" s="569">
        <f t="shared" si="7"/>
        <v>43235.299999999996</v>
      </c>
      <c r="T28" s="242"/>
      <c r="V28" s="94"/>
      <c r="W28" s="15">
        <v>21</v>
      </c>
      <c r="X28" s="69">
        <v>877.2</v>
      </c>
      <c r="Y28" s="336">
        <v>44684</v>
      </c>
      <c r="Z28" s="69">
        <v>877.2</v>
      </c>
      <c r="AA28" s="70" t="s">
        <v>364</v>
      </c>
      <c r="AB28" s="71">
        <v>47</v>
      </c>
      <c r="AC28" s="569">
        <f t="shared" si="8"/>
        <v>41228.400000000001</v>
      </c>
      <c r="AF28" s="106"/>
      <c r="AG28" s="15">
        <v>21</v>
      </c>
      <c r="AH28" s="92"/>
      <c r="AI28" s="324"/>
      <c r="AJ28" s="92"/>
      <c r="AK28" s="95"/>
      <c r="AL28" s="71"/>
      <c r="AM28" s="569">
        <f t="shared" si="9"/>
        <v>0</v>
      </c>
      <c r="AP28" s="106"/>
      <c r="AQ28" s="15">
        <v>21</v>
      </c>
      <c r="AR28" s="92"/>
      <c r="AS28" s="324"/>
      <c r="AT28" s="92"/>
      <c r="AU28" s="95"/>
      <c r="AV28" s="71"/>
      <c r="AW28" s="569">
        <f t="shared" si="10"/>
        <v>0</v>
      </c>
      <c r="AZ28" s="106"/>
      <c r="BA28" s="15">
        <v>21</v>
      </c>
      <c r="BB28" s="92">
        <v>906.7</v>
      </c>
      <c r="BC28" s="324">
        <v>44687</v>
      </c>
      <c r="BD28" s="92">
        <v>906.7</v>
      </c>
      <c r="BE28" s="95" t="s">
        <v>397</v>
      </c>
      <c r="BF28" s="71">
        <v>47</v>
      </c>
      <c r="BG28" s="569">
        <f t="shared" si="11"/>
        <v>42614.9</v>
      </c>
      <c r="BJ28" s="106"/>
      <c r="BK28" s="15">
        <v>21</v>
      </c>
      <c r="BL28" s="279">
        <v>914</v>
      </c>
      <c r="BM28" s="245">
        <v>44688</v>
      </c>
      <c r="BN28" s="279">
        <v>914</v>
      </c>
      <c r="BO28" s="319" t="s">
        <v>409</v>
      </c>
      <c r="BP28" s="813">
        <v>49</v>
      </c>
      <c r="BQ28" s="582">
        <f t="shared" si="12"/>
        <v>44786</v>
      </c>
      <c r="BT28" s="106"/>
      <c r="BU28" s="263">
        <v>21</v>
      </c>
      <c r="BV28" s="279">
        <v>861.8</v>
      </c>
      <c r="BW28" s="378">
        <v>44688</v>
      </c>
      <c r="BX28" s="279">
        <v>861.8</v>
      </c>
      <c r="BY28" s="379" t="s">
        <v>416</v>
      </c>
      <c r="BZ28" s="380">
        <v>49</v>
      </c>
      <c r="CA28" s="569">
        <f t="shared" si="13"/>
        <v>42228.2</v>
      </c>
      <c r="CD28" s="763"/>
      <c r="CE28" s="15">
        <v>21</v>
      </c>
      <c r="CF28" s="279">
        <v>887.7</v>
      </c>
      <c r="CG28" s="994">
        <v>44690</v>
      </c>
      <c r="CH28" s="279">
        <v>887.7</v>
      </c>
      <c r="CI28" s="814" t="s">
        <v>427</v>
      </c>
      <c r="CJ28" s="692">
        <v>49</v>
      </c>
      <c r="CK28" s="569">
        <f t="shared" si="14"/>
        <v>43497.3</v>
      </c>
      <c r="CN28" s="601"/>
      <c r="CO28" s="15">
        <v>21</v>
      </c>
      <c r="CP28" s="279"/>
      <c r="CQ28" s="378"/>
      <c r="CR28" s="279"/>
      <c r="CS28" s="381"/>
      <c r="CT28" s="380"/>
      <c r="CU28" s="575">
        <f t="shared" si="48"/>
        <v>0</v>
      </c>
      <c r="CX28" s="106"/>
      <c r="CY28" s="15">
        <v>21</v>
      </c>
      <c r="CZ28" s="92">
        <v>871.8</v>
      </c>
      <c r="DA28" s="324">
        <v>44692</v>
      </c>
      <c r="DB28" s="92">
        <v>871.8</v>
      </c>
      <c r="DC28" s="95" t="s">
        <v>454</v>
      </c>
      <c r="DD28" s="71">
        <v>49</v>
      </c>
      <c r="DE28" s="569">
        <f t="shared" si="15"/>
        <v>42718.2</v>
      </c>
      <c r="DH28" s="106"/>
      <c r="DI28" s="15">
        <v>21</v>
      </c>
      <c r="DJ28" s="92">
        <v>906.3</v>
      </c>
      <c r="DK28" s="378">
        <v>44691</v>
      </c>
      <c r="DL28" s="92">
        <v>906.3</v>
      </c>
      <c r="DM28" s="381" t="s">
        <v>441</v>
      </c>
      <c r="DN28" s="380">
        <v>49</v>
      </c>
      <c r="DO28" s="575">
        <f t="shared" si="16"/>
        <v>44408.7</v>
      </c>
      <c r="DR28" s="106"/>
      <c r="DS28" s="15">
        <v>21</v>
      </c>
      <c r="DT28" s="92"/>
      <c r="DU28" s="378"/>
      <c r="DV28" s="92"/>
      <c r="DW28" s="381"/>
      <c r="DX28" s="380"/>
      <c r="DY28" s="569">
        <f t="shared" si="17"/>
        <v>0</v>
      </c>
      <c r="EB28" s="106"/>
      <c r="EC28" s="15">
        <v>21</v>
      </c>
      <c r="ED28" s="69"/>
      <c r="EE28" s="336"/>
      <c r="EF28" s="69"/>
      <c r="EG28" s="70"/>
      <c r="EH28" s="71"/>
      <c r="EI28" s="569">
        <f t="shared" si="18"/>
        <v>0</v>
      </c>
      <c r="EL28" s="94"/>
      <c r="EM28" s="15">
        <v>21</v>
      </c>
      <c r="EN28" s="279"/>
      <c r="EO28" s="328"/>
      <c r="EP28" s="279"/>
      <c r="EQ28" s="265"/>
      <c r="ER28" s="266"/>
      <c r="ES28" s="569">
        <f t="shared" si="19"/>
        <v>0</v>
      </c>
      <c r="EV28" s="106"/>
      <c r="EW28" s="15">
        <v>21</v>
      </c>
      <c r="EX28" s="264"/>
      <c r="EY28" s="495"/>
      <c r="EZ28" s="264"/>
      <c r="FA28" s="265"/>
      <c r="FB28" s="266"/>
      <c r="FC28" s="322">
        <f t="shared" si="20"/>
        <v>0</v>
      </c>
      <c r="FF28" s="94"/>
      <c r="FG28" s="15">
        <v>21</v>
      </c>
      <c r="FH28" s="279"/>
      <c r="FI28" s="328"/>
      <c r="FJ28" s="279"/>
      <c r="FK28" s="265"/>
      <c r="FL28" s="266"/>
      <c r="FM28" s="569">
        <f t="shared" si="21"/>
        <v>0</v>
      </c>
      <c r="FP28" s="106"/>
      <c r="FQ28" s="15">
        <v>21</v>
      </c>
      <c r="FR28" s="92">
        <v>889.9</v>
      </c>
      <c r="FS28" s="324">
        <v>44695</v>
      </c>
      <c r="FT28" s="92">
        <v>889.9</v>
      </c>
      <c r="FU28" s="70" t="s">
        <v>500</v>
      </c>
      <c r="FV28" s="71">
        <v>49</v>
      </c>
      <c r="FW28" s="569">
        <f t="shared" si="22"/>
        <v>43605.1</v>
      </c>
      <c r="FX28" s="71"/>
      <c r="FZ28" s="106"/>
      <c r="GA28" s="15">
        <v>21</v>
      </c>
      <c r="GB28" s="69">
        <v>890.9</v>
      </c>
      <c r="GC28" s="495">
        <v>44697</v>
      </c>
      <c r="GD28" s="69">
        <v>890.9</v>
      </c>
      <c r="GE28" s="265" t="s">
        <v>517</v>
      </c>
      <c r="GF28" s="266">
        <v>49</v>
      </c>
      <c r="GG28" s="322">
        <f t="shared" si="23"/>
        <v>43654.1</v>
      </c>
      <c r="GJ28" s="106"/>
      <c r="GK28" s="15">
        <v>21</v>
      </c>
      <c r="GL28" s="473">
        <v>916.3</v>
      </c>
      <c r="GM28" s="324">
        <v>44699</v>
      </c>
      <c r="GN28" s="473">
        <v>916.3</v>
      </c>
      <c r="GO28" s="95" t="s">
        <v>524</v>
      </c>
      <c r="GP28" s="71">
        <v>43</v>
      </c>
      <c r="GQ28" s="569">
        <f t="shared" si="24"/>
        <v>39400.9</v>
      </c>
      <c r="GT28" s="106"/>
      <c r="GU28" s="15">
        <v>21</v>
      </c>
      <c r="GV28" s="92">
        <v>863.6</v>
      </c>
      <c r="GW28" s="328">
        <v>44700</v>
      </c>
      <c r="GX28" s="92">
        <v>863.6</v>
      </c>
      <c r="GY28" s="319" t="s">
        <v>532</v>
      </c>
      <c r="GZ28" s="266">
        <v>43</v>
      </c>
      <c r="HA28" s="569">
        <f t="shared" si="25"/>
        <v>37134.800000000003</v>
      </c>
      <c r="HD28" s="106"/>
      <c r="HE28" s="15">
        <v>21</v>
      </c>
      <c r="HF28" s="279"/>
      <c r="HG28" s="328"/>
      <c r="HH28" s="279"/>
      <c r="HI28" s="319"/>
      <c r="HJ28" s="266"/>
      <c r="HK28" s="322">
        <f t="shared" si="26"/>
        <v>0</v>
      </c>
      <c r="HN28" s="106"/>
      <c r="HO28" s="15">
        <v>21</v>
      </c>
      <c r="HP28" s="279"/>
      <c r="HQ28" s="328"/>
      <c r="HR28" s="279"/>
      <c r="HS28" s="383"/>
      <c r="HT28" s="266"/>
      <c r="HU28" s="569">
        <f t="shared" si="27"/>
        <v>0</v>
      </c>
      <c r="HX28" s="106"/>
      <c r="HY28" s="15">
        <v>21</v>
      </c>
      <c r="HZ28" s="69">
        <v>883.1</v>
      </c>
      <c r="IA28" s="336">
        <v>44702</v>
      </c>
      <c r="IB28" s="69">
        <v>883.1</v>
      </c>
      <c r="IC28" s="70" t="s">
        <v>550</v>
      </c>
      <c r="ID28" s="71">
        <v>45</v>
      </c>
      <c r="IE28" s="569">
        <f t="shared" si="5"/>
        <v>39739.5</v>
      </c>
      <c r="IH28" s="106"/>
      <c r="II28" s="15">
        <v>21</v>
      </c>
      <c r="IJ28" s="69"/>
      <c r="IK28" s="336"/>
      <c r="IL28" s="69"/>
      <c r="IM28" s="70"/>
      <c r="IN28" s="71"/>
      <c r="IO28" s="569">
        <f t="shared" si="28"/>
        <v>0</v>
      </c>
      <c r="IR28" s="106"/>
      <c r="IS28" s="15">
        <v>21</v>
      </c>
      <c r="IT28" s="279">
        <v>896.3</v>
      </c>
      <c r="IU28" s="245"/>
      <c r="IV28" s="279"/>
      <c r="IW28" s="501"/>
      <c r="IX28" s="266"/>
      <c r="IY28" s="322">
        <f t="shared" si="29"/>
        <v>0</v>
      </c>
      <c r="JA28" s="69"/>
      <c r="JB28" s="106"/>
      <c r="JC28" s="15">
        <v>21</v>
      </c>
      <c r="JD28" s="69">
        <v>890.9</v>
      </c>
      <c r="JE28" s="336"/>
      <c r="JF28" s="69"/>
      <c r="JG28" s="265"/>
      <c r="JH28" s="71"/>
      <c r="JI28" s="569">
        <f t="shared" si="30"/>
        <v>0</v>
      </c>
      <c r="JL28" s="106"/>
      <c r="JM28" s="15">
        <v>21</v>
      </c>
      <c r="JN28" s="92">
        <v>902.6</v>
      </c>
      <c r="JO28" s="324"/>
      <c r="JP28" s="92"/>
      <c r="JQ28" s="70"/>
      <c r="JR28" s="71"/>
      <c r="JS28" s="569">
        <f>JR28*JP28</f>
        <v>0</v>
      </c>
      <c r="JV28" s="94"/>
      <c r="JW28" s="15">
        <v>21</v>
      </c>
      <c r="JX28" s="69"/>
      <c r="JY28" s="336"/>
      <c r="JZ28" s="69"/>
      <c r="KA28" s="70"/>
      <c r="KB28" s="71"/>
      <c r="KC28" s="569">
        <f t="shared" si="32"/>
        <v>0</v>
      </c>
      <c r="KF28" s="94"/>
      <c r="KG28" s="15">
        <v>21</v>
      </c>
      <c r="KH28" s="69"/>
      <c r="KI28" s="336"/>
      <c r="KJ28" s="69"/>
      <c r="KK28" s="70"/>
      <c r="KL28" s="71"/>
      <c r="KM28" s="569">
        <f t="shared" si="33"/>
        <v>0</v>
      </c>
      <c r="KP28" s="94"/>
      <c r="KQ28" s="15">
        <v>21</v>
      </c>
      <c r="KR28" s="69">
        <v>938.9</v>
      </c>
      <c r="KS28" s="336"/>
      <c r="KT28" s="69"/>
      <c r="KU28" s="70"/>
      <c r="KV28" s="71"/>
      <c r="KW28" s="569">
        <f t="shared" si="34"/>
        <v>0</v>
      </c>
      <c r="KZ28" s="106"/>
      <c r="LA28" s="15">
        <v>21</v>
      </c>
      <c r="LB28" s="92">
        <v>884.5</v>
      </c>
      <c r="LC28" s="324"/>
      <c r="LD28" s="92"/>
      <c r="LE28" s="95"/>
      <c r="LF28" s="71"/>
      <c r="LG28" s="569">
        <f t="shared" si="35"/>
        <v>0</v>
      </c>
      <c r="LJ28" s="106"/>
      <c r="LK28" s="15">
        <v>21</v>
      </c>
      <c r="LL28" s="92"/>
      <c r="LM28" s="324"/>
      <c r="LN28" s="92"/>
      <c r="LO28" s="95"/>
      <c r="LP28" s="71"/>
      <c r="LQ28" s="569">
        <f t="shared" si="36"/>
        <v>0</v>
      </c>
      <c r="LT28" s="106"/>
      <c r="LU28" s="15">
        <v>21</v>
      </c>
      <c r="LV28" s="92"/>
      <c r="LW28" s="324"/>
      <c r="LX28" s="92"/>
      <c r="LY28" s="95"/>
      <c r="LZ28" s="71"/>
      <c r="MA28" s="569">
        <f t="shared" si="37"/>
        <v>0</v>
      </c>
      <c r="MB28" s="569"/>
      <c r="MD28" s="106"/>
      <c r="ME28" s="15">
        <v>21</v>
      </c>
      <c r="MF28" s="389"/>
      <c r="MG28" s="324"/>
      <c r="MH28" s="991"/>
      <c r="MI28" s="319"/>
      <c r="MJ28" s="71"/>
      <c r="MK28" s="71">
        <f t="shared" si="38"/>
        <v>0</v>
      </c>
      <c r="MN28" s="106"/>
      <c r="MO28" s="15">
        <v>21</v>
      </c>
      <c r="MP28" s="92"/>
      <c r="MQ28" s="324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24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24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24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24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24"/>
      <c r="OP28" s="92"/>
      <c r="OQ28" s="95"/>
      <c r="OR28" s="71"/>
      <c r="OS28" s="71">
        <f t="shared" si="44"/>
        <v>0</v>
      </c>
      <c r="OV28" s="106"/>
      <c r="OW28" s="15">
        <v>21</v>
      </c>
      <c r="OX28" s="279"/>
      <c r="OY28" s="328"/>
      <c r="OZ28" s="279"/>
      <c r="PA28" s="319"/>
      <c r="PB28" s="266"/>
      <c r="PC28" s="266">
        <f t="shared" si="45"/>
        <v>0</v>
      </c>
      <c r="PF28" s="106"/>
      <c r="PG28" s="15">
        <v>21</v>
      </c>
      <c r="PH28" s="92"/>
      <c r="PI28" s="324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24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324"/>
      <c r="QL28" s="92"/>
      <c r="QM28" s="95"/>
      <c r="QN28" s="71"/>
      <c r="QQ28" s="106"/>
      <c r="QR28" s="15">
        <v>21</v>
      </c>
      <c r="QS28" s="92"/>
      <c r="QT28" s="324"/>
      <c r="QU28" s="92"/>
      <c r="QV28" s="95"/>
      <c r="QW28" s="71"/>
      <c r="QZ28" s="106"/>
      <c r="RA28" s="15">
        <v>21</v>
      </c>
      <c r="RB28" s="92"/>
      <c r="RC28" s="324"/>
      <c r="RD28" s="92"/>
      <c r="RE28" s="95"/>
      <c r="RF28" s="71"/>
      <c r="RI28" s="106"/>
      <c r="RJ28" s="15">
        <v>21</v>
      </c>
      <c r="RK28" s="92"/>
      <c r="RL28" s="324"/>
      <c r="RM28" s="92"/>
      <c r="RN28" s="95"/>
      <c r="RO28" s="377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SEABOARD FOODS</v>
      </c>
      <c r="C29" s="75" t="str">
        <f t="shared" si="67"/>
        <v>Seaboard</v>
      </c>
      <c r="D29" s="102" t="str">
        <f t="shared" si="67"/>
        <v>PED. 82445626</v>
      </c>
      <c r="E29" s="135">
        <f t="shared" si="67"/>
        <v>44705</v>
      </c>
      <c r="F29" s="86">
        <f t="shared" si="67"/>
        <v>18758.22</v>
      </c>
      <c r="G29" s="73">
        <f t="shared" si="67"/>
        <v>21</v>
      </c>
      <c r="H29" s="48">
        <f t="shared" si="67"/>
        <v>18794.900000000001</v>
      </c>
      <c r="I29" s="105">
        <f t="shared" si="67"/>
        <v>-36.680000000000291</v>
      </c>
      <c r="J29" s="242"/>
      <c r="L29" s="106"/>
      <c r="M29" s="15"/>
      <c r="N29" s="69"/>
      <c r="O29" s="336"/>
      <c r="P29" s="69"/>
      <c r="Q29" s="70"/>
      <c r="R29" s="71"/>
      <c r="S29" s="569">
        <f>SUM(S8:S28)</f>
        <v>896022.1</v>
      </c>
      <c r="V29" s="106"/>
      <c r="W29" s="15"/>
      <c r="X29" s="69"/>
      <c r="Y29" s="336"/>
      <c r="Z29" s="69"/>
      <c r="AA29" s="70"/>
      <c r="AB29" s="71"/>
      <c r="AC29" s="569">
        <f>SUM(AC8:AC28)</f>
        <v>883097.10000000009</v>
      </c>
      <c r="AF29" s="106"/>
      <c r="AG29" s="15"/>
      <c r="AH29" s="92"/>
      <c r="AI29" s="324"/>
      <c r="AJ29" s="92"/>
      <c r="AK29" s="95"/>
      <c r="AL29" s="71"/>
      <c r="AM29" s="569">
        <f>AL29*AJ29</f>
        <v>0</v>
      </c>
      <c r="AP29" s="106"/>
      <c r="AQ29" s="15"/>
      <c r="AR29" s="92"/>
      <c r="AS29" s="324"/>
      <c r="AT29" s="279"/>
      <c r="AU29" s="95"/>
      <c r="AV29" s="71"/>
      <c r="AW29" s="569">
        <f t="shared" si="10"/>
        <v>0</v>
      </c>
      <c r="AZ29" s="106"/>
      <c r="BA29" s="15"/>
      <c r="BB29" s="92"/>
      <c r="BC29" s="324"/>
      <c r="BD29" s="92"/>
      <c r="BE29" s="95"/>
      <c r="BF29" s="71"/>
      <c r="BG29" s="569">
        <f t="shared" si="11"/>
        <v>0</v>
      </c>
      <c r="BJ29" s="106"/>
      <c r="BK29" s="15">
        <v>22</v>
      </c>
      <c r="BL29" s="279"/>
      <c r="BM29" s="245"/>
      <c r="BN29" s="279"/>
      <c r="BO29" s="319"/>
      <c r="BP29" s="813"/>
      <c r="BQ29" s="582">
        <f t="shared" si="12"/>
        <v>0</v>
      </c>
      <c r="BT29" s="106"/>
      <c r="BU29" s="263">
        <v>22</v>
      </c>
      <c r="BV29" s="279"/>
      <c r="BW29" s="79"/>
      <c r="BX29" s="92"/>
      <c r="BY29" s="95"/>
      <c r="BZ29" s="71"/>
      <c r="CA29" s="569">
        <v>0</v>
      </c>
      <c r="CD29" s="106"/>
      <c r="CE29" s="15">
        <v>22</v>
      </c>
      <c r="CF29" s="279"/>
      <c r="CG29" s="994"/>
      <c r="CH29" s="279"/>
      <c r="CI29" s="995"/>
      <c r="CJ29" s="692"/>
      <c r="CK29" s="569">
        <f t="shared" si="14"/>
        <v>0</v>
      </c>
      <c r="CN29" s="601"/>
      <c r="CO29" s="15">
        <v>22</v>
      </c>
      <c r="CP29" s="92"/>
      <c r="CQ29" s="378"/>
      <c r="CR29" s="92"/>
      <c r="CS29" s="381"/>
      <c r="CT29" s="380"/>
      <c r="CU29" s="575">
        <f t="shared" si="48"/>
        <v>0</v>
      </c>
      <c r="CX29" s="106"/>
      <c r="CY29" s="15"/>
      <c r="CZ29" s="92"/>
      <c r="DA29" s="324"/>
      <c r="DB29" s="92"/>
      <c r="DC29" s="95"/>
      <c r="DD29" s="71"/>
      <c r="DE29" s="569">
        <f t="shared" si="15"/>
        <v>0</v>
      </c>
      <c r="DH29" s="106"/>
      <c r="DI29" s="15"/>
      <c r="DJ29" s="92"/>
      <c r="DK29" s="324"/>
      <c r="DL29" s="92"/>
      <c r="DM29" s="95"/>
      <c r="DN29" s="71"/>
      <c r="DO29" s="575">
        <f t="shared" si="16"/>
        <v>0</v>
      </c>
      <c r="DR29" s="457"/>
      <c r="DS29" s="15">
        <v>22</v>
      </c>
      <c r="DT29" s="92"/>
      <c r="DU29" s="324"/>
      <c r="DV29" s="92"/>
      <c r="DW29" s="95"/>
      <c r="DX29" s="71"/>
      <c r="DY29" s="569">
        <f t="shared" si="17"/>
        <v>0</v>
      </c>
      <c r="EB29" s="106"/>
      <c r="EC29" s="15">
        <v>22</v>
      </c>
      <c r="ED29" s="69"/>
      <c r="EE29" s="336"/>
      <c r="EF29" s="69"/>
      <c r="EG29" s="70"/>
      <c r="EH29" s="71"/>
      <c r="EI29" s="569">
        <f>SUM(EI8:EI28)</f>
        <v>894220.1100000001</v>
      </c>
      <c r="EL29" s="94"/>
      <c r="EM29" s="15">
        <v>22</v>
      </c>
      <c r="EN29" s="92"/>
      <c r="EO29" s="324"/>
      <c r="EP29" s="92"/>
      <c r="EQ29" s="70"/>
      <c r="ER29" s="71"/>
      <c r="ES29" s="569">
        <f t="shared" si="19"/>
        <v>0</v>
      </c>
      <c r="EV29" s="106"/>
      <c r="EW29" s="15">
        <v>22</v>
      </c>
      <c r="EX29" s="69"/>
      <c r="EY29" s="336"/>
      <c r="EZ29" s="69"/>
      <c r="FA29" s="70"/>
      <c r="FB29" s="71"/>
      <c r="FC29" s="322">
        <f t="shared" si="20"/>
        <v>0</v>
      </c>
      <c r="FF29" s="94"/>
      <c r="FG29" s="15">
        <v>22</v>
      </c>
      <c r="FH29" s="92"/>
      <c r="FI29" s="324"/>
      <c r="FJ29" s="92"/>
      <c r="FK29" s="70"/>
      <c r="FL29" s="71"/>
      <c r="FM29" s="569">
        <f t="shared" si="21"/>
        <v>0</v>
      </c>
      <c r="FP29" s="106"/>
      <c r="FQ29" s="15">
        <v>22</v>
      </c>
      <c r="FR29" s="92"/>
      <c r="FS29" s="324"/>
      <c r="FT29" s="92"/>
      <c r="FU29" s="70"/>
      <c r="FV29" s="71"/>
      <c r="FW29" s="569">
        <f t="shared" si="22"/>
        <v>0</v>
      </c>
      <c r="FZ29" s="106"/>
      <c r="GA29" s="15"/>
      <c r="GB29" s="69"/>
      <c r="GC29" s="336"/>
      <c r="GD29" s="69"/>
      <c r="GE29" s="70"/>
      <c r="GF29" s="71"/>
      <c r="GG29" s="322">
        <f t="shared" si="23"/>
        <v>0</v>
      </c>
      <c r="GJ29" s="106"/>
      <c r="GK29" s="15"/>
      <c r="GL29" s="473"/>
      <c r="GM29" s="324"/>
      <c r="GN29" s="92"/>
      <c r="GO29" s="95"/>
      <c r="GP29" s="71"/>
      <c r="GQ29" s="569">
        <f t="shared" si="24"/>
        <v>0</v>
      </c>
      <c r="GT29" s="106" t="s">
        <v>40</v>
      </c>
      <c r="GU29" s="15">
        <v>22</v>
      </c>
      <c r="GV29" s="92"/>
      <c r="GW29" s="324"/>
      <c r="GX29" s="92"/>
      <c r="GY29" s="95"/>
      <c r="GZ29" s="71"/>
      <c r="HA29" s="569">
        <f>SUM(HA8:HA28)</f>
        <v>807406.7000000003</v>
      </c>
      <c r="HD29" s="106"/>
      <c r="HE29" s="15"/>
      <c r="HF29" s="92"/>
      <c r="HG29" s="324"/>
      <c r="HH29" s="92"/>
      <c r="HI29" s="95"/>
      <c r="HJ29" s="71"/>
      <c r="HK29" s="569">
        <f>SUM(HK8:HK28)</f>
        <v>804403.14999999979</v>
      </c>
      <c r="HN29" s="106"/>
      <c r="HO29" s="15">
        <v>22</v>
      </c>
      <c r="HP29" s="92"/>
      <c r="HQ29" s="324"/>
      <c r="HR29" s="92"/>
      <c r="HS29" s="70"/>
      <c r="HT29" s="71"/>
      <c r="HU29" s="569">
        <f t="shared" si="27"/>
        <v>0</v>
      </c>
      <c r="HX29" s="106"/>
      <c r="HY29" s="15">
        <v>22</v>
      </c>
      <c r="HZ29" s="69"/>
      <c r="IA29" s="336"/>
      <c r="IB29" s="69"/>
      <c r="IC29" s="70"/>
      <c r="ID29" s="71"/>
      <c r="IE29" s="569">
        <f>ID29*IB29</f>
        <v>0</v>
      </c>
      <c r="IH29" s="106"/>
      <c r="II29" s="15">
        <v>22</v>
      </c>
      <c r="IJ29" s="69"/>
      <c r="IK29" s="336"/>
      <c r="IL29" s="69"/>
      <c r="IM29" s="70"/>
      <c r="IN29" s="71"/>
      <c r="IO29" s="569">
        <f t="shared" si="28"/>
        <v>0</v>
      </c>
      <c r="IR29" s="106"/>
      <c r="IS29" s="15">
        <v>22</v>
      </c>
      <c r="IT29" s="279"/>
      <c r="IU29" s="245"/>
      <c r="IV29" s="279"/>
      <c r="IW29" s="319"/>
      <c r="IX29" s="266"/>
      <c r="IY29" s="322">
        <f t="shared" si="29"/>
        <v>0</v>
      </c>
      <c r="JA29" s="105"/>
      <c r="JB29" s="106"/>
      <c r="JC29" s="15">
        <v>22</v>
      </c>
      <c r="JD29" s="69"/>
      <c r="JE29" s="336"/>
      <c r="JF29" s="264"/>
      <c r="JG29" s="265"/>
      <c r="JH29" s="71"/>
      <c r="JI29" s="569">
        <f t="shared" si="30"/>
        <v>0</v>
      </c>
      <c r="JL29" s="106"/>
      <c r="JM29" s="15"/>
      <c r="JN29" s="92"/>
      <c r="JO29" s="324"/>
      <c r="JP29" s="92"/>
      <c r="JQ29" s="70"/>
      <c r="JR29" s="71"/>
      <c r="JS29" s="569">
        <f>SUM(JS8:JS28)</f>
        <v>0</v>
      </c>
      <c r="JV29" s="106"/>
      <c r="JW29" s="15"/>
      <c r="JX29" s="69"/>
      <c r="JY29" s="336"/>
      <c r="JZ29" s="69"/>
      <c r="KA29" s="70"/>
      <c r="KB29" s="71"/>
      <c r="KC29" s="569">
        <f>SUM(KC8:KC28)</f>
        <v>0</v>
      </c>
      <c r="KF29" s="106"/>
      <c r="KG29" s="15"/>
      <c r="KH29" s="69"/>
      <c r="KI29" s="336"/>
      <c r="KJ29" s="69"/>
      <c r="KK29" s="70"/>
      <c r="KL29" s="71"/>
      <c r="KM29" s="569">
        <f>SUM(KM8:KM28)</f>
        <v>0</v>
      </c>
      <c r="KP29" s="106"/>
      <c r="KQ29" s="15"/>
      <c r="KR29" s="69"/>
      <c r="KS29" s="336"/>
      <c r="KT29" s="69"/>
      <c r="KU29" s="70"/>
      <c r="KV29" s="71"/>
      <c r="KW29" s="569">
        <f>SUM(KW8:KW28)</f>
        <v>0</v>
      </c>
      <c r="KZ29" s="106"/>
      <c r="LA29" s="15"/>
      <c r="LB29" s="92"/>
      <c r="LC29" s="324"/>
      <c r="LD29" s="92"/>
      <c r="LE29" s="95"/>
      <c r="LF29" s="71"/>
      <c r="LG29" s="569">
        <f>LF29*LD29</f>
        <v>0</v>
      </c>
      <c r="LJ29" s="106"/>
      <c r="LK29" s="15"/>
      <c r="LL29" s="92"/>
      <c r="LM29" s="324"/>
      <c r="LN29" s="279"/>
      <c r="LO29" s="95"/>
      <c r="LP29" s="71"/>
      <c r="LQ29" s="569">
        <f t="shared" si="36"/>
        <v>0</v>
      </c>
      <c r="LT29" s="106"/>
      <c r="LU29" s="15"/>
      <c r="LV29" s="92"/>
      <c r="LW29" s="324"/>
      <c r="LX29" s="92"/>
      <c r="LY29" s="95"/>
      <c r="LZ29" s="71"/>
      <c r="MA29" s="569">
        <f t="shared" si="37"/>
        <v>0</v>
      </c>
      <c r="MB29" s="569"/>
      <c r="MD29" s="106"/>
      <c r="ME29" s="15">
        <v>22</v>
      </c>
      <c r="MF29" s="389"/>
      <c r="MG29" s="324"/>
      <c r="MH29" s="991"/>
      <c r="MI29" s="319"/>
      <c r="MJ29" s="71"/>
      <c r="MK29" s="71">
        <f>SUM(MK8:MK28)</f>
        <v>0</v>
      </c>
      <c r="MN29" s="94"/>
      <c r="MO29" s="15"/>
      <c r="MP29" s="92"/>
      <c r="MQ29" s="324"/>
      <c r="MR29" s="92"/>
      <c r="MS29" s="95"/>
      <c r="MT29" s="71"/>
      <c r="MU29" s="71">
        <f>SUM(MU8:MU28)</f>
        <v>0</v>
      </c>
      <c r="MX29" s="94"/>
      <c r="MY29" s="15"/>
      <c r="MZ29" s="92"/>
      <c r="NA29" s="324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24"/>
      <c r="NO29" s="92"/>
      <c r="NP29" s="95"/>
      <c r="NQ29" s="71"/>
      <c r="NR29" s="71">
        <v>0</v>
      </c>
      <c r="NU29" s="106"/>
      <c r="NV29" s="15"/>
      <c r="NW29" s="92"/>
      <c r="NX29" s="324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24"/>
      <c r="OI29" s="71">
        <f t="shared" si="43"/>
        <v>0</v>
      </c>
      <c r="OJ29" s="92"/>
      <c r="OK29" s="95"/>
      <c r="OL29" s="71"/>
      <c r="OO29" s="106"/>
      <c r="OP29" s="15"/>
      <c r="OQ29" s="92"/>
      <c r="OR29" s="324"/>
      <c r="OS29" s="569">
        <v>0</v>
      </c>
      <c r="OT29" s="92"/>
      <c r="OU29" s="95"/>
      <c r="OV29" s="71"/>
      <c r="OY29" s="106"/>
      <c r="OZ29" s="15"/>
      <c r="PA29" s="279"/>
      <c r="PB29" s="328"/>
      <c r="PC29" s="322">
        <v>0</v>
      </c>
      <c r="PD29" s="279"/>
      <c r="PE29" s="319"/>
      <c r="PF29" s="266"/>
      <c r="PI29" s="106"/>
      <c r="PJ29" s="15"/>
      <c r="PK29" s="92"/>
      <c r="PL29" s="324"/>
      <c r="PM29" s="324"/>
      <c r="PN29" s="92"/>
      <c r="PO29" s="95"/>
      <c r="PP29" s="71"/>
      <c r="PS29" s="106"/>
      <c r="PT29" s="15"/>
      <c r="PU29" s="92"/>
      <c r="PV29" s="324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324"/>
      <c r="QO29" s="92"/>
      <c r="QP29" s="95"/>
      <c r="QQ29" s="71"/>
      <c r="QT29" s="106"/>
      <c r="QU29" s="15"/>
      <c r="QV29" s="92"/>
      <c r="QW29" s="324"/>
      <c r="QX29" s="92"/>
      <c r="QY29" s="95"/>
      <c r="QZ29" s="71"/>
      <c r="RC29" s="106"/>
      <c r="RD29" s="15"/>
      <c r="RE29" s="92"/>
      <c r="RF29" s="324"/>
      <c r="RG29" s="92"/>
      <c r="RH29" s="95"/>
      <c r="RI29" s="71"/>
      <c r="RL29" s="106"/>
      <c r="RM29" s="15"/>
      <c r="RN29" s="92"/>
      <c r="RO29" s="324"/>
      <c r="RP29" s="92"/>
      <c r="RQ29" s="95"/>
      <c r="RR29" s="377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 t="str">
        <f t="shared" ref="B30:H30" si="68">JK5</f>
        <v>SEABOARD FOODS</v>
      </c>
      <c r="C30" s="75" t="str">
        <f t="shared" si="68"/>
        <v>Seaboard</v>
      </c>
      <c r="D30" s="102" t="str">
        <f t="shared" si="68"/>
        <v>PED. 82445322</v>
      </c>
      <c r="E30" s="135">
        <f t="shared" si="68"/>
        <v>44705</v>
      </c>
      <c r="F30" s="86">
        <f t="shared" si="68"/>
        <v>19013.72</v>
      </c>
      <c r="G30" s="73">
        <f t="shared" si="68"/>
        <v>21</v>
      </c>
      <c r="H30" s="48">
        <f t="shared" si="68"/>
        <v>19065.5</v>
      </c>
      <c r="I30" s="105">
        <f>F30-H30</f>
        <v>-51.779999999998836</v>
      </c>
      <c r="J30" s="242"/>
      <c r="L30" s="106"/>
      <c r="M30" s="15"/>
      <c r="N30" s="69"/>
      <c r="O30" s="336"/>
      <c r="P30" s="105"/>
      <c r="Q30" s="70"/>
      <c r="R30" s="71"/>
      <c r="S30" s="569"/>
      <c r="V30" s="106"/>
      <c r="W30" s="15"/>
      <c r="X30" s="69"/>
      <c r="Y30" s="336"/>
      <c r="Z30" s="105"/>
      <c r="AA30" s="70"/>
      <c r="AB30" s="71"/>
      <c r="AF30" s="106"/>
      <c r="AG30" s="15"/>
      <c r="AH30" s="92"/>
      <c r="AI30" s="324"/>
      <c r="AJ30" s="69"/>
      <c r="AK30" s="95"/>
      <c r="AL30" s="71"/>
      <c r="AM30" s="569">
        <f>SUM(AM8:AM29)</f>
        <v>877777.17</v>
      </c>
      <c r="AP30" s="106"/>
      <c r="AQ30" s="15"/>
      <c r="AR30" s="92"/>
      <c r="AS30" s="324"/>
      <c r="AT30" s="92"/>
      <c r="AU30" s="95"/>
      <c r="AV30" s="71"/>
      <c r="AW30" s="569">
        <f>SUM(AW8:AW29)</f>
        <v>879012.33000000019</v>
      </c>
      <c r="AZ30" s="106"/>
      <c r="BA30" s="15"/>
      <c r="BB30" s="69"/>
      <c r="BC30" s="324"/>
      <c r="BD30" s="69"/>
      <c r="BE30" s="95"/>
      <c r="BF30" s="71"/>
      <c r="BG30" s="569">
        <f>SUM(BG8:BG29)</f>
        <v>920097.8</v>
      </c>
      <c r="BJ30" s="106"/>
      <c r="BK30" s="15"/>
      <c r="BL30" s="69"/>
      <c r="BM30" s="135"/>
      <c r="BN30" s="69"/>
      <c r="BO30" s="95"/>
      <c r="BP30" s="71"/>
      <c r="BQ30" s="569">
        <f>SUM(BQ8:BQ29)</f>
        <v>923728.4</v>
      </c>
      <c r="BT30" s="106"/>
      <c r="BU30" s="263"/>
      <c r="BV30" s="264"/>
      <c r="BW30" s="79"/>
      <c r="BX30" s="69"/>
      <c r="BY30" s="95"/>
      <c r="BZ30" s="71"/>
      <c r="CA30" s="569">
        <f>SUM(CA8:CA29)</f>
        <v>905782.64</v>
      </c>
      <c r="CD30" s="106"/>
      <c r="CE30" s="15">
        <v>23</v>
      </c>
      <c r="CF30" s="69"/>
      <c r="CG30" s="378"/>
      <c r="CH30" s="69"/>
      <c r="CI30" s="391"/>
      <c r="CJ30" s="380"/>
      <c r="CK30" s="569">
        <f>SUM(CK8:CK29)</f>
        <v>912928.79999999993</v>
      </c>
      <c r="CN30" s="106"/>
      <c r="CO30" s="15"/>
      <c r="CP30" s="69"/>
      <c r="CQ30" s="324"/>
      <c r="CR30" s="69"/>
      <c r="CS30" s="95"/>
      <c r="CT30" s="71"/>
      <c r="CU30" s="575">
        <f t="shared" si="48"/>
        <v>0</v>
      </c>
      <c r="CX30" s="106"/>
      <c r="CY30" s="15"/>
      <c r="CZ30" s="69"/>
      <c r="DA30" s="324"/>
      <c r="DB30" s="69"/>
      <c r="DC30" s="95"/>
      <c r="DD30" s="71"/>
      <c r="DE30" s="569">
        <f>SUM(DE8:DE29)</f>
        <v>919475.19999999984</v>
      </c>
      <c r="DH30" s="106"/>
      <c r="DI30" s="15"/>
      <c r="DJ30" s="69"/>
      <c r="DK30" s="324"/>
      <c r="DL30" s="69"/>
      <c r="DM30" s="95"/>
      <c r="DN30" s="71"/>
      <c r="DO30" s="569">
        <f>SUM(DO8:DO29)</f>
        <v>927893.39999999991</v>
      </c>
      <c r="DR30" s="106"/>
      <c r="DS30" s="15"/>
      <c r="DT30" s="69"/>
      <c r="DU30" s="324"/>
      <c r="DV30" s="69"/>
      <c r="DW30" s="95"/>
      <c r="DX30" s="71"/>
      <c r="DY30" s="569">
        <f>SUM(DY8:DY29)</f>
        <v>1057256.4000000001</v>
      </c>
      <c r="EB30" s="106"/>
      <c r="EC30" s="15"/>
      <c r="ED30" s="69"/>
      <c r="EE30" s="336"/>
      <c r="EF30" s="105"/>
      <c r="EG30" s="70"/>
      <c r="EH30" s="71"/>
      <c r="EL30" s="106"/>
      <c r="EM30" s="15"/>
      <c r="EN30" s="69"/>
      <c r="EO30" s="336"/>
      <c r="EP30" s="105"/>
      <c r="EQ30" s="70"/>
      <c r="ER30" s="71"/>
      <c r="ES30" s="569">
        <f>SUM(ES8:ES29)</f>
        <v>899350.11599999992</v>
      </c>
      <c r="EV30" s="94"/>
      <c r="EW30" s="15"/>
      <c r="EX30" s="92"/>
      <c r="EY30" s="324"/>
      <c r="EZ30" s="105"/>
      <c r="FA30" s="70"/>
      <c r="FB30" s="71"/>
      <c r="FC30" s="569">
        <f>SUM(FC8:FC29)</f>
        <v>915313.63000000012</v>
      </c>
      <c r="FF30" s="94"/>
      <c r="FG30" s="15"/>
      <c r="FH30" s="92"/>
      <c r="FI30" s="324"/>
      <c r="FJ30" s="105"/>
      <c r="FK30" s="70"/>
      <c r="FL30" s="71"/>
      <c r="FM30" s="569">
        <f>SUM(FM8:FM29)</f>
        <v>906353</v>
      </c>
      <c r="FP30" s="106"/>
      <c r="FQ30" s="15"/>
      <c r="FR30" s="92"/>
      <c r="FS30" s="324"/>
      <c r="FT30" s="92"/>
      <c r="FU30" s="70"/>
      <c r="FV30" s="71"/>
      <c r="FW30" s="569">
        <f>SUM(FW8:FW29)</f>
        <v>929221.3</v>
      </c>
      <c r="FZ30" s="106"/>
      <c r="GA30" s="15"/>
      <c r="GB30" s="69"/>
      <c r="GC30" s="336"/>
      <c r="GD30" s="105"/>
      <c r="GE30" s="70"/>
      <c r="GF30" s="71"/>
      <c r="GG30" s="569">
        <f>SUM(GG8:GG29)</f>
        <v>931357.70000000007</v>
      </c>
      <c r="GJ30" s="106"/>
      <c r="GK30" s="15"/>
      <c r="GL30" s="473"/>
      <c r="GM30" s="324"/>
      <c r="GN30" s="69"/>
      <c r="GO30" s="95"/>
      <c r="GP30" s="71"/>
      <c r="GQ30" s="569">
        <f>SUM(GQ8:GQ29)</f>
        <v>813870.60000000021</v>
      </c>
      <c r="GT30" s="106"/>
      <c r="GU30" s="15">
        <v>23</v>
      </c>
      <c r="GV30" s="92"/>
      <c r="GW30" s="324"/>
      <c r="GX30" s="92"/>
      <c r="GY30" s="95"/>
      <c r="GZ30" s="71"/>
      <c r="HD30" s="106"/>
      <c r="HE30" s="15"/>
      <c r="HF30" s="69"/>
      <c r="HG30" s="378"/>
      <c r="HH30" s="179"/>
      <c r="HI30" s="381"/>
      <c r="HJ30" s="380"/>
      <c r="HK30" s="575"/>
      <c r="HN30" s="106"/>
      <c r="HO30" s="15"/>
      <c r="HP30" s="92"/>
      <c r="HQ30" s="324"/>
      <c r="HR30" s="105"/>
      <c r="HS30" s="70"/>
      <c r="HT30" s="71"/>
      <c r="HU30" s="569">
        <f>SUM(HU8:HU29)</f>
        <v>811563.94000000006</v>
      </c>
      <c r="HX30" s="106"/>
      <c r="HY30" s="15"/>
      <c r="HZ30" s="69"/>
      <c r="IA30" s="336"/>
      <c r="IB30" s="105"/>
      <c r="IC30" s="70"/>
      <c r="ID30" s="71"/>
      <c r="IE30" s="569">
        <f>SUM(IE8:IE29)</f>
        <v>839218.5</v>
      </c>
      <c r="IH30" s="106"/>
      <c r="II30" s="15">
        <v>23</v>
      </c>
      <c r="IJ30" s="69"/>
      <c r="IK30" s="336"/>
      <c r="IL30" s="105"/>
      <c r="IM30" s="70"/>
      <c r="IN30" s="71"/>
      <c r="IO30" s="569">
        <f>SUM(IO8:IO29)</f>
        <v>833972.35</v>
      </c>
      <c r="IR30" s="106"/>
      <c r="IS30" s="15"/>
      <c r="IT30" s="69"/>
      <c r="IU30" s="79"/>
      <c r="IV30" s="69"/>
      <c r="IW30" s="95"/>
      <c r="IX30" s="71"/>
      <c r="IY30" s="569">
        <f>SUM(IY8:IY29)</f>
        <v>0</v>
      </c>
      <c r="JB30" s="106"/>
      <c r="JC30" s="15"/>
      <c r="JD30" s="69"/>
      <c r="JE30" s="336"/>
      <c r="JF30" s="105"/>
      <c r="JG30" s="70"/>
      <c r="JH30" s="71"/>
      <c r="JI30" s="569">
        <f>SUM(JI8:JI29)</f>
        <v>0</v>
      </c>
      <c r="JL30" s="106"/>
      <c r="JM30" s="15"/>
      <c r="JN30" s="92"/>
      <c r="JO30" s="324"/>
      <c r="JP30" s="105"/>
      <c r="JQ30" s="70"/>
      <c r="JR30" s="71"/>
      <c r="JV30" s="106"/>
      <c r="JW30" s="15"/>
      <c r="JX30" s="69"/>
      <c r="JY30" s="336"/>
      <c r="JZ30" s="105"/>
      <c r="KA30" s="70"/>
      <c r="KB30" s="71"/>
      <c r="KF30" s="106"/>
      <c r="KG30" s="15"/>
      <c r="KH30" s="69"/>
      <c r="KI30" s="336"/>
      <c r="KJ30" s="105"/>
      <c r="KK30" s="70"/>
      <c r="KL30" s="71"/>
      <c r="KP30" s="106"/>
      <c r="KQ30" s="15"/>
      <c r="KR30" s="69"/>
      <c r="KS30" s="336"/>
      <c r="KT30" s="105"/>
      <c r="KU30" s="70"/>
      <c r="KV30" s="71"/>
      <c r="KZ30" s="106"/>
      <c r="LA30" s="15"/>
      <c r="LB30" s="92"/>
      <c r="LC30" s="324"/>
      <c r="LD30" s="69"/>
      <c r="LE30" s="95"/>
      <c r="LF30" s="71"/>
      <c r="LG30" s="569">
        <f>SUM(LG8:LG29)</f>
        <v>0</v>
      </c>
      <c r="LJ30" s="106"/>
      <c r="LK30" s="15"/>
      <c r="LL30" s="92"/>
      <c r="LM30" s="324"/>
      <c r="LN30" s="92"/>
      <c r="LO30" s="95"/>
      <c r="LP30" s="71"/>
      <c r="LQ30" s="569">
        <f>SUM(LQ8:LQ29)</f>
        <v>0</v>
      </c>
      <c r="LT30" s="106"/>
      <c r="LU30" s="15"/>
      <c r="LV30" s="69"/>
      <c r="LW30" s="324"/>
      <c r="LX30" s="69"/>
      <c r="LY30" s="95"/>
      <c r="LZ30" s="71"/>
      <c r="MA30" s="569">
        <f>SUM(MA8:MA29)</f>
        <v>0</v>
      </c>
      <c r="MB30" s="569"/>
      <c r="MD30" s="106"/>
      <c r="ME30" s="15"/>
      <c r="MF30" s="389"/>
      <c r="MG30" s="324"/>
      <c r="MH30" s="264"/>
      <c r="MI30" s="319"/>
      <c r="MJ30" s="71"/>
      <c r="MK30" s="71"/>
      <c r="MN30" s="106"/>
      <c r="MO30" s="15"/>
      <c r="MP30" s="69"/>
      <c r="MQ30" s="324"/>
      <c r="MR30" s="69"/>
      <c r="MS30" s="95"/>
      <c r="MT30" s="71"/>
      <c r="MU30" s="71"/>
      <c r="MX30" s="106"/>
      <c r="MY30" s="15"/>
      <c r="MZ30" s="69"/>
      <c r="NA30" s="324"/>
      <c r="NB30" s="69"/>
      <c r="NC30" s="95"/>
      <c r="ND30" s="71"/>
      <c r="NE30" s="71"/>
      <c r="NI30" s="15"/>
      <c r="NJ30" s="69"/>
      <c r="NK30" s="324"/>
      <c r="NL30" s="69"/>
      <c r="NM30" s="95"/>
      <c r="NN30" s="71"/>
      <c r="NO30" s="71">
        <f>SUM(NO8:NO29)</f>
        <v>0</v>
      </c>
      <c r="NR30" s="106"/>
      <c r="NS30" s="15"/>
      <c r="NT30" s="69"/>
      <c r="NU30" s="324"/>
      <c r="NV30" s="69"/>
      <c r="NW30" s="95"/>
      <c r="NX30" s="71"/>
      <c r="NY30" s="71">
        <f>SUM(NY8:NY29)</f>
        <v>0</v>
      </c>
      <c r="OC30" s="15"/>
      <c r="OD30" s="69"/>
      <c r="OE30" s="324"/>
      <c r="OF30" s="69"/>
      <c r="OG30" s="95"/>
      <c r="OH30" s="71"/>
      <c r="OI30" s="71">
        <f>SUM(OI8:OI29)</f>
        <v>0</v>
      </c>
      <c r="OL30" s="106"/>
      <c r="OM30" s="15"/>
      <c r="ON30" s="69"/>
      <c r="OO30" s="324"/>
      <c r="OP30" s="69"/>
      <c r="OQ30" s="95"/>
      <c r="OR30" s="71"/>
      <c r="OS30" s="71">
        <f>SUM(OS8:OS29)</f>
        <v>0</v>
      </c>
      <c r="OV30" s="106"/>
      <c r="OW30" s="15"/>
      <c r="OX30" s="69"/>
      <c r="OY30" s="324"/>
      <c r="OZ30" s="92"/>
      <c r="PA30" s="95"/>
      <c r="PB30" s="71"/>
      <c r="PC30" s="71">
        <f>SUM(PC8:PC29)</f>
        <v>0</v>
      </c>
      <c r="PG30" s="15"/>
      <c r="PH30" s="69"/>
      <c r="PI30" s="324"/>
      <c r="PJ30" s="69"/>
      <c r="PK30" s="95"/>
      <c r="PL30" s="71"/>
      <c r="PM30" s="71"/>
      <c r="PP30" s="106"/>
      <c r="PQ30" s="15"/>
      <c r="PR30" s="69"/>
      <c r="PS30" s="324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324"/>
      <c r="QL30" s="92"/>
      <c r="QM30" s="95"/>
      <c r="QN30" s="71"/>
      <c r="QQ30" s="106"/>
      <c r="QR30" s="15"/>
      <c r="QS30" s="69"/>
      <c r="QT30" s="324"/>
      <c r="QU30" s="92"/>
      <c r="QV30" s="95"/>
      <c r="QW30" s="71"/>
      <c r="QZ30" s="106"/>
      <c r="RA30" s="15"/>
      <c r="RB30" s="69"/>
      <c r="RC30" s="324"/>
      <c r="RD30" s="92"/>
      <c r="RE30" s="95"/>
      <c r="RF30" s="71"/>
      <c r="RI30" s="106"/>
      <c r="RJ30" s="15"/>
      <c r="RK30" s="69"/>
      <c r="RL30" s="324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 t="str">
        <f t="shared" ref="B31:H31" si="69">JU5</f>
        <v>TYSON FRESH MEATS</v>
      </c>
      <c r="C31" s="75" t="str">
        <f t="shared" si="69"/>
        <v xml:space="preserve">I B P </v>
      </c>
      <c r="D31" s="102" t="str">
        <f t="shared" si="69"/>
        <v>PED. 82489243</v>
      </c>
      <c r="E31" s="135">
        <f t="shared" si="69"/>
        <v>44705</v>
      </c>
      <c r="F31" s="86">
        <f t="shared" si="69"/>
        <v>18733.169999999998</v>
      </c>
      <c r="G31" s="73">
        <f t="shared" si="69"/>
        <v>20</v>
      </c>
      <c r="H31" s="48">
        <f t="shared" si="69"/>
        <v>18820.8</v>
      </c>
      <c r="I31" s="105">
        <f t="shared" ref="I31:I92" si="70">F31-H31</f>
        <v>-87.630000000001019</v>
      </c>
      <c r="J31" s="242"/>
      <c r="L31" s="196"/>
      <c r="M31" s="37"/>
      <c r="N31" s="393"/>
      <c r="O31" s="394"/>
      <c r="P31" s="218"/>
      <c r="Q31" s="139"/>
      <c r="R31" s="211"/>
      <c r="S31" s="574"/>
      <c r="V31" s="196"/>
      <c r="W31" s="37"/>
      <c r="X31" s="393"/>
      <c r="Y31" s="394"/>
      <c r="Z31" s="218"/>
      <c r="AA31" s="139"/>
      <c r="AB31" s="211"/>
      <c r="AC31" s="574"/>
      <c r="AF31" s="196"/>
      <c r="AG31" s="398"/>
      <c r="AH31" s="393"/>
      <c r="AI31" s="217"/>
      <c r="AJ31" s="393"/>
      <c r="AK31" s="409"/>
      <c r="AL31" s="211"/>
      <c r="AM31" s="574"/>
      <c r="AP31" s="196"/>
      <c r="AQ31" s="37"/>
      <c r="AR31" s="402"/>
      <c r="AS31" s="394"/>
      <c r="AT31" s="402"/>
      <c r="AU31" s="409"/>
      <c r="AV31" s="211"/>
      <c r="AW31" s="574"/>
      <c r="AZ31" s="196"/>
      <c r="BA31" s="37"/>
      <c r="BB31" s="218"/>
      <c r="BC31" s="217"/>
      <c r="BD31" s="393"/>
      <c r="BE31" s="409"/>
      <c r="BF31" s="410"/>
      <c r="BG31" s="574"/>
      <c r="BJ31" s="196"/>
      <c r="BK31" s="398"/>
      <c r="BL31" s="393"/>
      <c r="BM31" s="400"/>
      <c r="BN31" s="393"/>
      <c r="BO31" s="373"/>
      <c r="BT31" s="196"/>
      <c r="BU31" s="37"/>
      <c r="BV31" s="393"/>
      <c r="BW31" s="217"/>
      <c r="BX31" s="393"/>
      <c r="BY31" s="373"/>
      <c r="BZ31" s="211"/>
      <c r="CD31" s="196"/>
      <c r="CE31" s="37">
        <v>24</v>
      </c>
      <c r="CF31" s="393"/>
      <c r="CG31" s="496"/>
      <c r="CH31" s="393"/>
      <c r="CI31" s="497"/>
      <c r="CJ31" s="498"/>
      <c r="CN31" s="196"/>
      <c r="CO31" s="37"/>
      <c r="CP31" s="393"/>
      <c r="CQ31" s="401"/>
      <c r="CR31" s="393"/>
      <c r="CS31" s="373"/>
      <c r="CT31" s="71"/>
      <c r="CU31" s="575">
        <f>SUM(CU8:CU30)</f>
        <v>902327.1599999998</v>
      </c>
      <c r="CX31" s="196"/>
      <c r="CY31" s="37"/>
      <c r="CZ31" s="393"/>
      <c r="DA31" s="401"/>
      <c r="DB31" s="393"/>
      <c r="DC31" s="373"/>
      <c r="DD31" s="71"/>
      <c r="DH31" s="196"/>
      <c r="DI31" s="37"/>
      <c r="DJ31" s="393"/>
      <c r="DK31" s="401"/>
      <c r="DL31" s="393"/>
      <c r="DM31" s="373"/>
      <c r="DN31" s="71"/>
      <c r="DR31" s="196"/>
      <c r="DS31" s="37"/>
      <c r="DT31" s="393"/>
      <c r="DU31" s="401"/>
      <c r="DV31" s="393"/>
      <c r="DW31" s="373"/>
      <c r="DX31" s="211"/>
      <c r="EB31" s="196"/>
      <c r="EC31" s="37"/>
      <c r="ED31" s="393"/>
      <c r="EE31" s="394"/>
      <c r="EF31" s="218"/>
      <c r="EG31" s="139"/>
      <c r="EH31" s="211"/>
      <c r="EI31" s="574"/>
      <c r="EL31" s="196"/>
      <c r="EM31" s="37"/>
      <c r="EN31" s="393"/>
      <c r="EO31" s="394"/>
      <c r="EP31" s="218"/>
      <c r="EQ31" s="139"/>
      <c r="ER31" s="211"/>
      <c r="ES31" s="574"/>
      <c r="EV31" s="94"/>
      <c r="EW31" s="37"/>
      <c r="EX31" s="402"/>
      <c r="EY31" s="427"/>
      <c r="EZ31" s="218"/>
      <c r="FA31" s="139"/>
      <c r="FB31" s="211"/>
      <c r="FC31" s="574"/>
      <c r="FF31" s="403"/>
      <c r="FG31" s="37"/>
      <c r="FH31" s="393"/>
      <c r="FI31" s="217"/>
      <c r="FJ31" s="393"/>
      <c r="FK31" s="139"/>
      <c r="FL31" s="211"/>
      <c r="FM31" s="574"/>
      <c r="FP31" s="196"/>
      <c r="FQ31" s="37"/>
      <c r="FR31" s="402"/>
      <c r="FS31" s="394"/>
      <c r="FT31" s="402"/>
      <c r="FU31" s="139"/>
      <c r="FV31" s="211"/>
      <c r="FW31" s="574"/>
      <c r="FZ31" s="196"/>
      <c r="GA31" s="37"/>
      <c r="GB31" s="393"/>
      <c r="GC31" s="394"/>
      <c r="GD31" s="218"/>
      <c r="GE31" s="139"/>
      <c r="GF31" s="211"/>
      <c r="GG31" s="574"/>
      <c r="GJ31" s="196"/>
      <c r="GK31" s="398"/>
      <c r="GL31" s="474"/>
      <c r="GM31" s="399"/>
      <c r="GN31" s="393"/>
      <c r="GO31" s="373"/>
      <c r="GT31" s="349"/>
      <c r="GU31" s="52"/>
      <c r="GV31" s="404"/>
      <c r="GW31" s="405"/>
      <c r="GX31" s="406"/>
      <c r="GY31" s="407"/>
      <c r="GZ31" s="408"/>
      <c r="HA31" s="577"/>
      <c r="HD31" s="349"/>
      <c r="HE31" s="52"/>
      <c r="HF31" s="404"/>
      <c r="HG31" s="405"/>
      <c r="HH31" s="406"/>
      <c r="HI31" s="407"/>
      <c r="HJ31" s="408"/>
      <c r="HK31" s="577"/>
      <c r="HN31" s="196"/>
      <c r="HO31" s="37"/>
      <c r="HP31" s="402"/>
      <c r="HQ31" s="394"/>
      <c r="HR31" s="218"/>
      <c r="HS31" s="139"/>
      <c r="HT31" s="211"/>
      <c r="HU31" s="574"/>
      <c r="HX31" s="196"/>
      <c r="HY31" s="37"/>
      <c r="HZ31" s="393"/>
      <c r="IA31" s="394"/>
      <c r="IB31" s="218"/>
      <c r="IC31" s="139"/>
      <c r="ID31" s="211"/>
      <c r="IE31" s="574"/>
      <c r="IH31" s="196"/>
      <c r="II31" s="37"/>
      <c r="IJ31" s="393"/>
      <c r="IK31" s="394"/>
      <c r="IL31" s="218"/>
      <c r="IM31" s="139"/>
      <c r="IN31" s="211"/>
      <c r="IO31" s="574"/>
      <c r="IR31" s="196"/>
      <c r="IS31" s="398"/>
      <c r="IT31" s="393"/>
      <c r="IU31" s="399"/>
      <c r="IV31" s="393"/>
      <c r="IW31" s="373"/>
      <c r="JB31" s="196"/>
      <c r="JC31" s="37"/>
      <c r="JD31" s="393"/>
      <c r="JE31" s="394"/>
      <c r="JF31" s="218"/>
      <c r="JG31" s="139"/>
      <c r="JH31" s="211"/>
      <c r="JI31" s="574"/>
      <c r="JL31" s="196"/>
      <c r="JM31" s="37"/>
      <c r="JN31" s="402"/>
      <c r="JO31" s="394"/>
      <c r="JP31" s="218"/>
      <c r="JQ31" s="139"/>
      <c r="JR31" s="211"/>
      <c r="JS31" s="574"/>
      <c r="JV31" s="196"/>
      <c r="JW31" s="37"/>
      <c r="JX31" s="393"/>
      <c r="JY31" s="394"/>
      <c r="JZ31" s="218"/>
      <c r="KA31" s="139"/>
      <c r="KB31" s="211"/>
      <c r="KC31" s="574"/>
      <c r="KF31" s="196"/>
      <c r="KG31" s="37"/>
      <c r="KH31" s="393"/>
      <c r="KI31" s="394"/>
      <c r="KJ31" s="218"/>
      <c r="KK31" s="139"/>
      <c r="KL31" s="211"/>
      <c r="KM31" s="574"/>
      <c r="KP31" s="196"/>
      <c r="KQ31" s="37"/>
      <c r="KR31" s="393"/>
      <c r="KS31" s="394"/>
      <c r="KT31" s="218"/>
      <c r="KU31" s="139"/>
      <c r="KV31" s="211"/>
      <c r="KW31" s="574"/>
      <c r="KZ31" s="196"/>
      <c r="LA31" s="398"/>
      <c r="LB31" s="393"/>
      <c r="LC31" s="217"/>
      <c r="LD31" s="393"/>
      <c r="LE31" s="409"/>
      <c r="LF31" s="211"/>
      <c r="LG31" s="574"/>
      <c r="LJ31" s="196"/>
      <c r="LK31" s="37"/>
      <c r="LL31" s="402"/>
      <c r="LM31" s="394"/>
      <c r="LN31" s="402"/>
      <c r="LO31" s="409"/>
      <c r="LP31" s="211"/>
      <c r="LQ31" s="574"/>
      <c r="LT31" s="196"/>
      <c r="LU31" s="37"/>
      <c r="LV31" s="218"/>
      <c r="LW31" s="217"/>
      <c r="LX31" s="393"/>
      <c r="LY31" s="409"/>
      <c r="LZ31" s="410"/>
      <c r="MA31" s="574"/>
      <c r="MB31" s="574"/>
      <c r="MD31" s="196"/>
      <c r="ME31" s="37"/>
      <c r="MF31" s="198"/>
      <c r="MG31" s="217"/>
      <c r="MH31" s="393"/>
      <c r="MI31" s="95"/>
      <c r="MJ31" s="71"/>
      <c r="MK31" s="71"/>
      <c r="MN31" s="196"/>
      <c r="MO31" s="37"/>
      <c r="MP31" s="393"/>
      <c r="MQ31" s="395"/>
      <c r="MR31" s="396"/>
      <c r="MS31" s="397"/>
      <c r="MT31" s="380"/>
      <c r="MU31" s="380"/>
      <c r="MX31" s="196"/>
      <c r="MY31" s="37"/>
      <c r="MZ31" s="393"/>
      <c r="NA31" s="395"/>
      <c r="NB31" s="396"/>
      <c r="NC31" s="397"/>
      <c r="ND31" s="380"/>
      <c r="NE31" s="380"/>
      <c r="NH31" s="398"/>
      <c r="NI31" s="37"/>
      <c r="NJ31" s="373"/>
      <c r="NK31" s="217"/>
      <c r="NL31" s="373"/>
      <c r="NM31" s="409"/>
      <c r="NN31" s="211"/>
      <c r="NO31" s="591"/>
      <c r="NR31" s="196"/>
      <c r="NS31" s="37"/>
      <c r="NT31" s="393"/>
      <c r="NU31" s="395"/>
      <c r="NV31" s="396"/>
      <c r="NW31" s="397"/>
      <c r="NX31" s="380"/>
      <c r="NY31" s="380"/>
      <c r="OB31" s="398"/>
      <c r="OC31" s="37"/>
      <c r="OD31" s="373"/>
      <c r="OE31" s="217"/>
      <c r="OF31" s="373"/>
      <c r="OG31" s="409"/>
      <c r="OH31" s="211"/>
      <c r="OI31" s="591"/>
      <c r="OL31" s="196"/>
      <c r="OM31" s="37"/>
      <c r="ON31" s="393"/>
      <c r="OO31" s="217"/>
      <c r="OP31" s="393"/>
      <c r="OQ31" s="409"/>
      <c r="OR31" s="71"/>
      <c r="OS31" s="71"/>
      <c r="OV31" s="196"/>
      <c r="OW31" s="398"/>
      <c r="OX31" s="393"/>
      <c r="OY31" s="217"/>
      <c r="OZ31" s="393"/>
      <c r="PA31" s="409"/>
      <c r="PB31" s="71"/>
      <c r="PC31" s="71"/>
      <c r="PF31" s="398"/>
      <c r="PG31" s="37"/>
      <c r="PH31" s="373"/>
      <c r="PI31" s="217"/>
      <c r="PJ31" s="373"/>
      <c r="PK31" s="409"/>
      <c r="PL31" s="211"/>
      <c r="PM31" s="591"/>
      <c r="PP31" s="196"/>
      <c r="PQ31" s="398"/>
      <c r="PR31" s="393"/>
      <c r="PS31" s="401"/>
      <c r="PT31" s="393"/>
      <c r="PU31" s="373"/>
      <c r="PY31" s="196"/>
      <c r="PZ31" s="398"/>
      <c r="QA31" s="393"/>
      <c r="QB31" s="399"/>
      <c r="QC31" s="393"/>
      <c r="QD31" s="373"/>
      <c r="QH31" s="196"/>
      <c r="QI31" s="398"/>
      <c r="QJ31" s="393"/>
      <c r="QK31" s="401"/>
      <c r="QL31" s="393"/>
      <c r="QM31" s="409"/>
      <c r="QN31" s="71"/>
      <c r="QQ31" s="196"/>
      <c r="QR31" s="398"/>
      <c r="QS31" s="393"/>
      <c r="QT31" s="217"/>
      <c r="QU31" s="393"/>
      <c r="QV31" s="409"/>
      <c r="QW31" s="71"/>
      <c r="QZ31" s="196"/>
      <c r="RA31" s="398"/>
      <c r="RB31" s="393"/>
      <c r="RC31" s="217"/>
      <c r="RD31" s="393"/>
      <c r="RE31" s="409"/>
      <c r="RF31" s="71"/>
      <c r="RI31" s="196"/>
      <c r="RJ31" s="398"/>
      <c r="RK31" s="393"/>
      <c r="RL31" s="399"/>
      <c r="RM31" s="393"/>
      <c r="RN31" s="373"/>
      <c r="RR31" s="411"/>
      <c r="RS31" s="412"/>
      <c r="RT31" s="393"/>
      <c r="RU31" s="399"/>
      <c r="RV31" s="393"/>
      <c r="RW31" s="373"/>
      <c r="SA31" s="411"/>
      <c r="SB31" s="412"/>
      <c r="SC31" s="393"/>
      <c r="SD31" s="399"/>
      <c r="SE31" s="393"/>
      <c r="SF31" s="373"/>
      <c r="SJ31" s="411"/>
      <c r="SK31" s="412"/>
      <c r="SL31" s="393"/>
      <c r="SM31" s="399"/>
      <c r="SN31" s="393"/>
      <c r="SO31" s="373"/>
      <c r="SS31" s="411"/>
      <c r="ST31" s="412"/>
      <c r="SU31" s="393"/>
      <c r="SV31" s="399"/>
      <c r="SW31" s="393"/>
      <c r="SX31" s="373"/>
      <c r="TB31" s="411"/>
      <c r="TC31" s="412"/>
      <c r="TD31" s="393"/>
      <c r="TE31" s="399"/>
      <c r="TF31" s="393"/>
      <c r="TG31" s="373"/>
      <c r="TK31" s="411"/>
      <c r="TL31" s="412"/>
      <c r="TM31" s="393"/>
      <c r="TN31" s="399"/>
      <c r="TO31" s="393"/>
      <c r="TP31" s="373"/>
      <c r="TT31" s="411"/>
      <c r="TU31" s="412"/>
      <c r="TV31" s="393"/>
      <c r="TW31" s="399"/>
      <c r="TX31" s="393"/>
      <c r="TY31" s="373"/>
      <c r="UC31" s="411"/>
      <c r="UD31" s="412"/>
      <c r="UE31" s="393"/>
      <c r="UF31" s="399"/>
      <c r="UG31" s="393"/>
      <c r="UH31" s="373"/>
      <c r="UL31" s="411"/>
      <c r="UM31" s="412"/>
      <c r="UN31" s="393"/>
      <c r="UO31" s="399"/>
      <c r="UP31" s="393"/>
      <c r="UQ31" s="373"/>
      <c r="UU31" s="411"/>
      <c r="UV31" s="412"/>
      <c r="UW31" s="393"/>
      <c r="UX31" s="399"/>
      <c r="UY31" s="393"/>
      <c r="UZ31" s="373"/>
      <c r="VD31" s="411"/>
      <c r="VE31" s="136">
        <v>24</v>
      </c>
      <c r="VF31" s="393"/>
      <c r="VG31" s="399"/>
      <c r="VH31" s="393"/>
      <c r="VI31" s="373"/>
      <c r="VM31" s="411"/>
      <c r="VN31" s="136">
        <v>24</v>
      </c>
      <c r="VO31" s="393"/>
      <c r="VP31" s="79"/>
      <c r="VQ31" s="393"/>
      <c r="VR31" s="373"/>
      <c r="VS31" s="71"/>
      <c r="VV31" s="411"/>
      <c r="VW31" s="136">
        <v>24</v>
      </c>
      <c r="VX31" s="393"/>
      <c r="VY31" s="79"/>
      <c r="VZ31" s="393"/>
      <c r="WA31" s="373"/>
      <c r="WB31" s="71"/>
      <c r="WE31" s="411"/>
      <c r="WF31" s="136">
        <v>24</v>
      </c>
      <c r="WG31" s="393"/>
      <c r="WH31" s="79"/>
      <c r="WI31" s="393"/>
      <c r="WJ31" s="373"/>
      <c r="WK31" s="71"/>
      <c r="WN31" s="411"/>
      <c r="WO31" s="136">
        <v>24</v>
      </c>
      <c r="WP31" s="393"/>
      <c r="WQ31" s="79"/>
      <c r="WR31" s="393"/>
      <c r="WS31" s="373"/>
      <c r="WT31" s="71"/>
      <c r="WW31" s="411"/>
      <c r="WX31" s="136">
        <v>24</v>
      </c>
      <c r="WY31" s="393"/>
      <c r="WZ31" s="79"/>
      <c r="XA31" s="393"/>
      <c r="XB31" s="373"/>
      <c r="XC31" s="71"/>
      <c r="XF31" s="411"/>
      <c r="XG31" s="136">
        <v>24</v>
      </c>
      <c r="XH31" s="393"/>
      <c r="XI31" s="79"/>
      <c r="XJ31" s="393"/>
      <c r="XK31" s="373"/>
      <c r="XL31" s="71"/>
      <c r="XO31" s="411"/>
      <c r="XP31" s="136">
        <v>24</v>
      </c>
      <c r="XQ31" s="393"/>
      <c r="XR31" s="79"/>
      <c r="XS31" s="393"/>
      <c r="XT31" s="373"/>
      <c r="XU31" s="71"/>
      <c r="XX31" s="411"/>
      <c r="XY31" s="136">
        <v>24</v>
      </c>
      <c r="XZ31" s="393"/>
      <c r="YA31" s="79"/>
      <c r="YB31" s="393"/>
      <c r="YC31" s="373"/>
      <c r="YD31" s="71"/>
      <c r="YG31" s="411"/>
      <c r="YH31" s="136">
        <v>24</v>
      </c>
      <c r="YI31" s="393"/>
      <c r="YJ31" s="79"/>
      <c r="YK31" s="393"/>
      <c r="YL31" s="373"/>
      <c r="YM31" s="71"/>
      <c r="YP31" s="411"/>
      <c r="YQ31" s="136"/>
      <c r="YR31" s="393"/>
      <c r="YS31" s="79"/>
      <c r="YT31" s="393"/>
      <c r="YU31" s="373"/>
      <c r="YV31" s="71"/>
      <c r="YY31" s="411"/>
      <c r="YZ31" s="136">
        <v>24</v>
      </c>
      <c r="ZA31" s="393"/>
      <c r="ZB31" s="79"/>
      <c r="ZC31" s="393"/>
      <c r="ZD31" s="373"/>
      <c r="ZE31" s="71"/>
      <c r="ZH31" s="411"/>
      <c r="ZI31" s="136">
        <v>24</v>
      </c>
      <c r="ZJ31" s="393"/>
      <c r="ZK31" s="79"/>
      <c r="ZL31" s="393"/>
      <c r="ZM31" s="373"/>
      <c r="ZN31" s="71"/>
      <c r="ZQ31" s="411"/>
      <c r="ZR31" s="136">
        <v>24</v>
      </c>
      <c r="ZS31" s="393"/>
      <c r="ZT31" s="79"/>
      <c r="ZU31" s="393"/>
      <c r="ZV31" s="373"/>
      <c r="ZW31" s="71"/>
      <c r="ZZ31" s="411"/>
      <c r="AAA31" s="136">
        <v>24</v>
      </c>
      <c r="AAB31" s="393"/>
      <c r="AAC31" s="79"/>
      <c r="AAD31" s="393"/>
      <c r="AAE31" s="373"/>
      <c r="AAF31" s="71"/>
      <c r="AAI31" s="411"/>
      <c r="AAJ31" s="136">
        <v>24</v>
      </c>
      <c r="AAK31" s="393"/>
      <c r="AAL31" s="79"/>
      <c r="AAM31" s="393"/>
      <c r="AAN31" s="373"/>
      <c r="AAO31" s="71"/>
      <c r="AAR31" s="411"/>
      <c r="AAS31" s="136">
        <v>24</v>
      </c>
      <c r="AAT31" s="393"/>
      <c r="AAU31" s="79"/>
      <c r="AAV31" s="393"/>
      <c r="AAW31" s="373"/>
      <c r="AAX31" s="71"/>
      <c r="ABA31" s="411"/>
      <c r="ABB31" s="136">
        <v>24</v>
      </c>
      <c r="ABC31" s="393"/>
      <c r="ABD31" s="79"/>
      <c r="ABE31" s="393"/>
      <c r="ABF31" s="373"/>
      <c r="ABG31" s="71"/>
      <c r="ABJ31" s="411"/>
      <c r="ABK31" s="136">
        <v>24</v>
      </c>
      <c r="ABL31" s="393"/>
      <c r="ABM31" s="79"/>
      <c r="ABN31" s="393"/>
      <c r="ABO31" s="373"/>
      <c r="ABP31" s="71"/>
      <c r="ABS31" s="411"/>
      <c r="ABT31" s="136">
        <v>24</v>
      </c>
      <c r="ABU31" s="393"/>
      <c r="ABV31" s="79"/>
      <c r="ABW31" s="393"/>
      <c r="ABX31" s="373"/>
      <c r="ABY31" s="71"/>
      <c r="ACB31" s="411"/>
      <c r="ACC31" s="136">
        <v>24</v>
      </c>
      <c r="ACD31" s="393"/>
      <c r="ACE31" s="79"/>
      <c r="ACF31" s="393"/>
      <c r="ACG31" s="373"/>
      <c r="ACH31" s="71"/>
      <c r="ACK31" s="411"/>
      <c r="ACL31" s="136">
        <v>24</v>
      </c>
      <c r="ACM31" s="393"/>
      <c r="ACN31" s="79"/>
      <c r="ACO31" s="393"/>
      <c r="ACP31" s="373"/>
      <c r="ACQ31" s="71"/>
      <c r="ACT31" s="411"/>
      <c r="ACU31" s="136">
        <v>24</v>
      </c>
      <c r="ACV31" s="393"/>
      <c r="ACW31" s="79"/>
      <c r="ACX31" s="393"/>
      <c r="ACY31" s="373"/>
      <c r="ACZ31" s="71"/>
      <c r="ADC31" s="411"/>
      <c r="ADD31" s="136">
        <v>24</v>
      </c>
      <c r="ADE31" s="393"/>
      <c r="ADF31" s="79"/>
      <c r="ADG31" s="393"/>
      <c r="ADH31" s="373"/>
      <c r="ADI31" s="71"/>
      <c r="ADL31" s="411"/>
      <c r="ADM31" s="136">
        <v>24</v>
      </c>
      <c r="ADN31" s="393"/>
      <c r="ADO31" s="79"/>
      <c r="ADP31" s="393"/>
      <c r="ADQ31" s="373"/>
      <c r="ADR31" s="71"/>
      <c r="ADU31" s="411"/>
      <c r="ADV31" s="136">
        <v>24</v>
      </c>
      <c r="ADW31" s="393"/>
      <c r="ADX31" s="79"/>
      <c r="ADY31" s="393"/>
      <c r="ADZ31" s="373"/>
      <c r="AEA31" s="71"/>
      <c r="AED31" s="411"/>
      <c r="AEE31" s="136">
        <v>24</v>
      </c>
      <c r="AEF31" s="393"/>
      <c r="AEG31" s="79"/>
      <c r="AEH31" s="393"/>
      <c r="AEI31" s="373"/>
      <c r="AEJ31" s="71"/>
      <c r="AEM31" s="411"/>
      <c r="AEN31" s="136">
        <v>24</v>
      </c>
      <c r="AEO31" s="393"/>
      <c r="AEP31" s="79"/>
      <c r="AEQ31" s="393"/>
      <c r="AER31" s="373"/>
      <c r="AES31" s="71"/>
    </row>
    <row r="32" spans="1:828" ht="18.75" customHeight="1" thickTop="1" thickBot="1" x14ac:dyDescent="0.3">
      <c r="A32" s="137">
        <v>29</v>
      </c>
      <c r="B32" s="75" t="str">
        <f t="shared" ref="B32:H32" si="71">KE5</f>
        <v>TYSON FRESH MEATS</v>
      </c>
      <c r="C32" s="75" t="str">
        <f t="shared" si="71"/>
        <v xml:space="preserve">I B P </v>
      </c>
      <c r="D32" s="102" t="str">
        <f t="shared" si="71"/>
        <v>PED. 82501744</v>
      </c>
      <c r="E32" s="135">
        <f t="shared" si="71"/>
        <v>44706</v>
      </c>
      <c r="F32" s="86">
        <f t="shared" si="71"/>
        <v>18848.919999999998</v>
      </c>
      <c r="G32" s="73">
        <f t="shared" si="71"/>
        <v>20</v>
      </c>
      <c r="H32" s="48">
        <f t="shared" si="71"/>
        <v>18884.77</v>
      </c>
      <c r="I32" s="105">
        <f t="shared" si="70"/>
        <v>-35.850000000002183</v>
      </c>
      <c r="J32" s="242"/>
      <c r="N32" s="105">
        <f>SUM(N8:N31)</f>
        <v>19064.300000000003</v>
      </c>
      <c r="P32" s="105">
        <f>SUM(P8:P31)</f>
        <v>19064.300000000003</v>
      </c>
      <c r="S32" s="569"/>
      <c r="X32" s="105">
        <f>SUM(X8:X31)</f>
        <v>18789.3</v>
      </c>
      <c r="Z32" s="105">
        <f>SUM(Z8:Z31)</f>
        <v>18789.3</v>
      </c>
      <c r="AH32" s="105">
        <f>SUM(AH8:AH31)</f>
        <v>18676.109999999997</v>
      </c>
      <c r="AJ32" s="105">
        <f>SUM(AJ8:AJ31)</f>
        <v>18676.109999999997</v>
      </c>
      <c r="AM32" s="569"/>
      <c r="AR32" s="86">
        <f>SUM(AR8:AR31)</f>
        <v>18702.89</v>
      </c>
      <c r="AT32" s="105">
        <f>SUM(AT8:AT31)</f>
        <v>18702.39</v>
      </c>
      <c r="AZ32" s="75"/>
      <c r="BA32" s="140"/>
      <c r="BB32" s="86">
        <f>SUM(BB8:BB31)</f>
        <v>18928.8</v>
      </c>
      <c r="BC32" s="86"/>
      <c r="BD32" s="86">
        <f>SUM(BD8:BD31)</f>
        <v>18928.8</v>
      </c>
      <c r="BL32" s="105">
        <f>SUM(BL8:BL31)</f>
        <v>18851.600000000002</v>
      </c>
      <c r="BN32" s="105">
        <f>SUM(BN8:BN31)</f>
        <v>18851.600000000002</v>
      </c>
      <c r="BV32" s="105">
        <f>SUM(BV8:BV31)</f>
        <v>18485.3</v>
      </c>
      <c r="BX32" s="105">
        <f>SUM(BX8:BX31)</f>
        <v>18485.36</v>
      </c>
      <c r="CE32" s="15"/>
      <c r="CF32" s="105">
        <f>SUM(CF8:CF31)</f>
        <v>18631.2</v>
      </c>
      <c r="CH32" s="105">
        <f>SUM(CH8:CH31)</f>
        <v>18631.2</v>
      </c>
      <c r="CP32" s="105">
        <f>SUM(CP8:CP31)</f>
        <v>18414.839999999997</v>
      </c>
      <c r="CR32" s="105">
        <f>SUM(CR8:CR31)</f>
        <v>18414.839999999997</v>
      </c>
      <c r="CZ32" s="105">
        <f>SUM(CZ8:CZ31)</f>
        <v>18764.8</v>
      </c>
      <c r="DB32" s="105">
        <f>SUM(DB8:DB31)</f>
        <v>18764.8</v>
      </c>
      <c r="DJ32" s="105">
        <f>SUM(DJ8:DJ31)</f>
        <v>18936.599999999995</v>
      </c>
      <c r="DL32" s="105">
        <f>SUM(DL8:DL31)</f>
        <v>18936.599999999995</v>
      </c>
      <c r="DT32" s="105">
        <f>SUM(DT8:DT31)</f>
        <v>17919.600000000002</v>
      </c>
      <c r="DV32" s="105">
        <f>SUM(DV8:DV31)</f>
        <v>17919.600000000002</v>
      </c>
      <c r="ED32" s="105">
        <f>SUM(ED8:ED31)</f>
        <v>18249.420000000002</v>
      </c>
      <c r="EF32" s="105">
        <f>SUM(EF8:EF31)</f>
        <v>18249.39</v>
      </c>
      <c r="EN32" s="105">
        <f>SUM(EN8:EN31)</f>
        <v>18354.079999999998</v>
      </c>
      <c r="EP32" s="105">
        <f>SUM(EP8:EP31)</f>
        <v>18354.083999999999</v>
      </c>
      <c r="EX32" s="105">
        <f>SUM(EX8:EX31)</f>
        <v>18680.169999999998</v>
      </c>
      <c r="EZ32" s="105">
        <f>SUM(EZ8:EZ31)</f>
        <v>18679.87</v>
      </c>
      <c r="FH32" s="132">
        <f>SUM(FH8:FH31)</f>
        <v>18497</v>
      </c>
      <c r="FJ32" s="105">
        <f>SUM(FJ8:FJ31)</f>
        <v>18497</v>
      </c>
      <c r="FR32" s="105">
        <f>SUM(FR8:FR31)</f>
        <v>18963.61</v>
      </c>
      <c r="FS32" s="105"/>
      <c r="FT32" s="105">
        <f>SUM(FT8:FT31)</f>
        <v>18963.7</v>
      </c>
      <c r="FU32" s="75" t="s">
        <v>36</v>
      </c>
      <c r="GB32" s="105">
        <f>SUM(GB8:GB31)</f>
        <v>19007.300000000003</v>
      </c>
      <c r="GD32" s="105">
        <f>SUM(GD8:GD31)</f>
        <v>19007.300000000003</v>
      </c>
      <c r="GL32" s="105">
        <f>SUM(GL8:GL31)</f>
        <v>18884.900000000001</v>
      </c>
      <c r="GN32" s="105">
        <f>SUM(GN8:GN31)</f>
        <v>18884.900000000001</v>
      </c>
      <c r="GV32" s="105">
        <f>SUM(GV8:GV31)</f>
        <v>18776.899999999998</v>
      </c>
      <c r="GX32" s="105">
        <f>SUM(GX8:GX31)</f>
        <v>18776.899999999998</v>
      </c>
      <c r="HF32" s="105">
        <f>SUM(HF8:HF31)</f>
        <v>18707.05</v>
      </c>
      <c r="HH32" s="105">
        <f>SUM(HH8:HH31)</f>
        <v>18707.05</v>
      </c>
      <c r="HP32" s="105">
        <f>SUM(HP8:HP31)</f>
        <v>18873.579999999998</v>
      </c>
      <c r="HR32" s="105">
        <f>SUM(HR8:HR31)</f>
        <v>18873.579999999998</v>
      </c>
      <c r="HZ32" s="105">
        <f>SUM(HZ8:HZ31)</f>
        <v>18649.3</v>
      </c>
      <c r="IB32" s="105">
        <f>SUM(IB8:IB31)</f>
        <v>18649.3</v>
      </c>
      <c r="IJ32" s="105">
        <f>SUM(IJ8:IJ31)</f>
        <v>18951.150000000001</v>
      </c>
      <c r="IL32" s="105">
        <f>SUM(IL8:IL31)</f>
        <v>18951.150000000001</v>
      </c>
      <c r="IT32" s="105">
        <f>SUM(IT8:IT31)</f>
        <v>18784.3</v>
      </c>
      <c r="IV32" s="105">
        <f>SUM(IV8:IV31)</f>
        <v>0</v>
      </c>
      <c r="JD32" s="105">
        <f>SUM(JD8:JD31)</f>
        <v>18794.900000000005</v>
      </c>
      <c r="JF32" s="105">
        <f>SUM(JF8:JF31)</f>
        <v>0</v>
      </c>
      <c r="JN32" s="105">
        <f>SUM(JN8:JN31)</f>
        <v>19065.5</v>
      </c>
      <c r="JP32" s="105">
        <f>SUM(JP8:JP31)</f>
        <v>0</v>
      </c>
      <c r="JX32" s="105">
        <f>SUM(JX8:JX31)</f>
        <v>18820.8</v>
      </c>
      <c r="JZ32" s="105">
        <f>SUM(JZ8:JZ31)</f>
        <v>0</v>
      </c>
      <c r="KH32" s="105">
        <f>SUM(KH8:KH31)</f>
        <v>18884.770000000004</v>
      </c>
      <c r="KJ32" s="105">
        <f>SUM(KJ8:KJ31)</f>
        <v>0</v>
      </c>
      <c r="KR32" s="105">
        <f>SUM(KR8:KR31)</f>
        <v>18947.600000000002</v>
      </c>
      <c r="KT32" s="105">
        <f>SUM(KT8:KT31)</f>
        <v>0</v>
      </c>
      <c r="LB32" s="105">
        <f>SUM(LB8:LB31)</f>
        <v>18720.7</v>
      </c>
      <c r="LD32" s="105">
        <f>SUM(LD8:LD31)</f>
        <v>0</v>
      </c>
      <c r="LL32" s="86">
        <f>SUM(LL8:LL31)</f>
        <v>18296.16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569"/>
      <c r="MB32" s="569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 t="str">
        <f t="shared" ref="B33:H33" si="72">KO5</f>
        <v>SEABOARD FOODS</v>
      </c>
      <c r="C33" s="75" t="str">
        <f t="shared" si="72"/>
        <v>Seaboard</v>
      </c>
      <c r="D33" s="102" t="str">
        <f t="shared" si="72"/>
        <v>PED. 82557911</v>
      </c>
      <c r="E33" s="135">
        <f t="shared" si="72"/>
        <v>44707</v>
      </c>
      <c r="F33" s="86">
        <f t="shared" si="72"/>
        <v>18889.72</v>
      </c>
      <c r="G33" s="73">
        <f t="shared" si="72"/>
        <v>21</v>
      </c>
      <c r="H33" s="48">
        <f t="shared" si="72"/>
        <v>18947.599999999999</v>
      </c>
      <c r="I33" s="105">
        <f t="shared" si="70"/>
        <v>-57.879999999997381</v>
      </c>
      <c r="J33" s="242"/>
      <c r="N33" s="939" t="s">
        <v>21</v>
      </c>
      <c r="O33" s="940"/>
      <c r="P33" s="304">
        <f>Q5-P32</f>
        <v>0</v>
      </c>
      <c r="Q33" s="242"/>
      <c r="S33" s="569"/>
      <c r="X33" s="939" t="s">
        <v>21</v>
      </c>
      <c r="Y33" s="940"/>
      <c r="Z33" s="304">
        <f>AA5-Z32</f>
        <v>0</v>
      </c>
      <c r="AA33" s="242"/>
      <c r="AH33" s="939" t="s">
        <v>21</v>
      </c>
      <c r="AI33" s="940"/>
      <c r="AJ33" s="232">
        <f>AK5-AJ32</f>
        <v>0</v>
      </c>
      <c r="AM33" s="569"/>
      <c r="AR33" s="939" t="s">
        <v>21</v>
      </c>
      <c r="AS33" s="940"/>
      <c r="AT33" s="141">
        <f>AU5-AT32</f>
        <v>0.5</v>
      </c>
      <c r="AZ33" s="75"/>
      <c r="BL33" s="347" t="s">
        <v>21</v>
      </c>
      <c r="BM33" s="348"/>
      <c r="BN33" s="141">
        <f>BL32-BN32</f>
        <v>0</v>
      </c>
      <c r="BV33" s="347" t="s">
        <v>21</v>
      </c>
      <c r="BW33" s="348"/>
      <c r="BX33" s="141">
        <f>BV32-BX32</f>
        <v>-6.0000000001309672E-2</v>
      </c>
      <c r="CE33" s="15"/>
      <c r="CF33" s="347" t="s">
        <v>21</v>
      </c>
      <c r="CG33" s="348"/>
      <c r="CH33" s="141">
        <f>CF32-CH32</f>
        <v>0</v>
      </c>
      <c r="CP33" s="347" t="s">
        <v>21</v>
      </c>
      <c r="CQ33" s="348"/>
      <c r="CR33" s="141">
        <f>CP32-CR32</f>
        <v>0</v>
      </c>
      <c r="CZ33" s="347" t="s">
        <v>21</v>
      </c>
      <c r="DA33" s="348"/>
      <c r="DB33" s="141">
        <f>CZ32-DB32</f>
        <v>0</v>
      </c>
      <c r="DJ33" s="347" t="s">
        <v>21</v>
      </c>
      <c r="DK33" s="348"/>
      <c r="DL33" s="141">
        <f>DJ32-DL32</f>
        <v>0</v>
      </c>
      <c r="DT33" s="347" t="s">
        <v>21</v>
      </c>
      <c r="DU33" s="348"/>
      <c r="DV33" s="141">
        <f>DT32-DV32</f>
        <v>0</v>
      </c>
      <c r="ED33" s="347" t="s">
        <v>21</v>
      </c>
      <c r="EE33" s="348"/>
      <c r="EF33" s="141">
        <f>ED32-EF32</f>
        <v>3.0000000002473826E-2</v>
      </c>
      <c r="EN33" s="347" t="s">
        <v>21</v>
      </c>
      <c r="EO33" s="348"/>
      <c r="EP33" s="141">
        <f>EN32-EP32</f>
        <v>-4.0000000008149073E-3</v>
      </c>
      <c r="EX33" s="347" t="s">
        <v>21</v>
      </c>
      <c r="EY33" s="348"/>
      <c r="EZ33" s="304">
        <f>EX32-EZ32</f>
        <v>0.2999999999992724</v>
      </c>
      <c r="FH33" s="347" t="s">
        <v>21</v>
      </c>
      <c r="FI33" s="348"/>
      <c r="FJ33" s="141">
        <f>FH32-FJ32</f>
        <v>0</v>
      </c>
      <c r="FR33" s="347" t="s">
        <v>21</v>
      </c>
      <c r="FS33" s="348"/>
      <c r="FT33" s="304">
        <f>FR32-FT32</f>
        <v>-9.0000000000145519E-2</v>
      </c>
      <c r="GB33" s="347" t="s">
        <v>21</v>
      </c>
      <c r="GC33" s="348"/>
      <c r="GD33" s="141">
        <f>GE5-GD32</f>
        <v>0</v>
      </c>
      <c r="GL33" s="347" t="s">
        <v>21</v>
      </c>
      <c r="GM33" s="348"/>
      <c r="GN33" s="141">
        <f>GL32-GN32</f>
        <v>0</v>
      </c>
      <c r="GV33" s="347" t="s">
        <v>21</v>
      </c>
      <c r="GW33" s="348"/>
      <c r="GX33" s="141">
        <f>GV32-GX32</f>
        <v>0</v>
      </c>
      <c r="HF33" s="347" t="s">
        <v>21</v>
      </c>
      <c r="HG33" s="348"/>
      <c r="HH33" s="141">
        <f>HF32-HH32</f>
        <v>0</v>
      </c>
      <c r="HP33" s="347" t="s">
        <v>21</v>
      </c>
      <c r="HQ33" s="348"/>
      <c r="HR33" s="141">
        <f>HP32-HR32</f>
        <v>0</v>
      </c>
      <c r="HZ33" s="703" t="s">
        <v>21</v>
      </c>
      <c r="IA33" s="704"/>
      <c r="IB33" s="304">
        <f>IC5-IB32</f>
        <v>0</v>
      </c>
      <c r="IC33" s="242"/>
      <c r="IJ33" s="703" t="s">
        <v>21</v>
      </c>
      <c r="IK33" s="704"/>
      <c r="IL33" s="141">
        <f>IJ32-IL32</f>
        <v>0</v>
      </c>
      <c r="IT33" s="703" t="s">
        <v>21</v>
      </c>
      <c r="IU33" s="704"/>
      <c r="IV33" s="141">
        <f>IT32-IV32</f>
        <v>18784.3</v>
      </c>
      <c r="JD33" s="703" t="s">
        <v>21</v>
      </c>
      <c r="JE33" s="704"/>
      <c r="JF33" s="141">
        <f>JD32-JF32</f>
        <v>18794.900000000005</v>
      </c>
      <c r="JN33" s="703" t="s">
        <v>21</v>
      </c>
      <c r="JO33" s="704"/>
      <c r="JP33" s="141">
        <f>JN32-JP32</f>
        <v>19065.5</v>
      </c>
      <c r="JX33" s="703" t="s">
        <v>21</v>
      </c>
      <c r="JY33" s="704"/>
      <c r="JZ33" s="304">
        <f>KA5-JZ32</f>
        <v>18820.8</v>
      </c>
      <c r="KA33" s="242"/>
      <c r="KH33" s="703" t="s">
        <v>21</v>
      </c>
      <c r="KI33" s="704"/>
      <c r="KJ33" s="304">
        <f>KK5-KJ32</f>
        <v>18884.77</v>
      </c>
      <c r="KK33" s="242"/>
      <c r="KR33" s="703" t="s">
        <v>21</v>
      </c>
      <c r="KS33" s="704"/>
      <c r="KT33" s="304">
        <f>KU5-KT32</f>
        <v>18947.599999999999</v>
      </c>
      <c r="KU33" s="242"/>
      <c r="LB33" s="584" t="s">
        <v>21</v>
      </c>
      <c r="LC33" s="585"/>
      <c r="LD33" s="232">
        <f>LE5-LD32</f>
        <v>18720.7</v>
      </c>
      <c r="LL33" s="584" t="s">
        <v>21</v>
      </c>
      <c r="LM33" s="585"/>
      <c r="LN33" s="141">
        <f>LO5-LN32</f>
        <v>18296.16</v>
      </c>
      <c r="MA33" s="569"/>
      <c r="MB33" s="569"/>
      <c r="MF33" s="347" t="s">
        <v>21</v>
      </c>
      <c r="MG33" s="348"/>
      <c r="MH33" s="141">
        <f>MI5-MH32</f>
        <v>0</v>
      </c>
      <c r="MP33" s="347" t="s">
        <v>21</v>
      </c>
      <c r="MQ33" s="348"/>
      <c r="MR33" s="141">
        <f>MS5-MR32</f>
        <v>0</v>
      </c>
      <c r="MZ33" s="808" t="s">
        <v>21</v>
      </c>
      <c r="NA33" s="809"/>
      <c r="NB33" s="141">
        <f>NC5-NB32</f>
        <v>0</v>
      </c>
      <c r="NJ33" s="347" t="s">
        <v>21</v>
      </c>
      <c r="NK33" s="348"/>
      <c r="NL33" s="141">
        <f>NM5-NL32</f>
        <v>0</v>
      </c>
      <c r="NT33" s="347" t="s">
        <v>21</v>
      </c>
      <c r="NU33" s="348"/>
      <c r="NV33" s="141">
        <f>NW5-NV32</f>
        <v>0</v>
      </c>
      <c r="OD33" s="347" t="s">
        <v>21</v>
      </c>
      <c r="OE33" s="348"/>
      <c r="OF33" s="141">
        <f>OG5-OF32</f>
        <v>0</v>
      </c>
      <c r="ON33" s="347" t="s">
        <v>21</v>
      </c>
      <c r="OO33" s="348"/>
      <c r="OP33" s="141">
        <f>OQ5-OP32</f>
        <v>0</v>
      </c>
      <c r="OX33" s="347" t="s">
        <v>21</v>
      </c>
      <c r="OY33" s="348"/>
      <c r="OZ33" s="141">
        <f>PA5-OZ32</f>
        <v>0</v>
      </c>
      <c r="PH33" s="347" t="s">
        <v>21</v>
      </c>
      <c r="PI33" s="348"/>
      <c r="PJ33" s="141">
        <f>PJ32-PH32</f>
        <v>0</v>
      </c>
      <c r="PR33" s="347" t="s">
        <v>21</v>
      </c>
      <c r="PS33" s="348"/>
      <c r="PT33" s="141">
        <f>PU5-PT32</f>
        <v>0</v>
      </c>
      <c r="QA33" s="347" t="s">
        <v>21</v>
      </c>
      <c r="QB33" s="348"/>
      <c r="QC33" s="141">
        <f>QD5-QC32</f>
        <v>0</v>
      </c>
      <c r="QJ33" s="347" t="s">
        <v>21</v>
      </c>
      <c r="QK33" s="348"/>
      <c r="QL33" s="141">
        <f>QM5-QL32</f>
        <v>0</v>
      </c>
      <c r="QS33" s="347" t="s">
        <v>21</v>
      </c>
      <c r="QT33" s="348"/>
      <c r="QU33" s="141">
        <f>QV5-QU32</f>
        <v>0</v>
      </c>
      <c r="RB33" s="347" t="s">
        <v>21</v>
      </c>
      <c r="RC33" s="348"/>
      <c r="RD33" s="141">
        <f>RE5-RD32</f>
        <v>0</v>
      </c>
      <c r="RK33" s="347" t="s">
        <v>21</v>
      </c>
      <c r="RL33" s="348"/>
      <c r="RM33" s="141">
        <f>SUM(RN5-RM32)</f>
        <v>0</v>
      </c>
      <c r="RT33" s="1187" t="s">
        <v>21</v>
      </c>
      <c r="RU33" s="1188"/>
      <c r="RV33" s="141">
        <f>SUM(RW5-RV32)</f>
        <v>0</v>
      </c>
      <c r="SC33" s="1187" t="s">
        <v>21</v>
      </c>
      <c r="SD33" s="1188"/>
      <c r="SE33" s="141">
        <f>SUM(SF5-SE32)</f>
        <v>0</v>
      </c>
      <c r="SL33" s="1187" t="s">
        <v>21</v>
      </c>
      <c r="SM33" s="1188"/>
      <c r="SN33" s="232">
        <f>SUM(SO5-SN32)</f>
        <v>0</v>
      </c>
      <c r="SU33" s="1187" t="s">
        <v>21</v>
      </c>
      <c r="SV33" s="1188"/>
      <c r="SW33" s="141">
        <f>SUM(SX5-SW32)</f>
        <v>0</v>
      </c>
      <c r="TD33" s="1187" t="s">
        <v>21</v>
      </c>
      <c r="TE33" s="1188"/>
      <c r="TF33" s="141">
        <f>SUM(TG5-TF32)</f>
        <v>0</v>
      </c>
      <c r="TM33" s="1187" t="s">
        <v>21</v>
      </c>
      <c r="TN33" s="1188"/>
      <c r="TO33" s="141">
        <f>SUM(TP5-TO32)</f>
        <v>0</v>
      </c>
      <c r="TV33" s="1187" t="s">
        <v>21</v>
      </c>
      <c r="TW33" s="1188"/>
      <c r="TX33" s="141">
        <f>SUM(TY5-TX32)</f>
        <v>0</v>
      </c>
      <c r="UE33" s="1187" t="s">
        <v>21</v>
      </c>
      <c r="UF33" s="1188"/>
      <c r="UG33" s="141">
        <f>SUM(UH5-UG32)</f>
        <v>0</v>
      </c>
      <c r="UN33" s="1187" t="s">
        <v>21</v>
      </c>
      <c r="UO33" s="1188"/>
      <c r="UP33" s="141">
        <f>SUM(UQ5-UP32)</f>
        <v>0</v>
      </c>
      <c r="UW33" s="347" t="s">
        <v>21</v>
      </c>
      <c r="UX33" s="348"/>
      <c r="UY33" s="141">
        <f>SUM(UZ5-UY32)</f>
        <v>0</v>
      </c>
      <c r="VF33" s="347" t="s">
        <v>21</v>
      </c>
      <c r="VG33" s="348"/>
      <c r="VH33" s="141">
        <f>SUM(VI5-VH32)</f>
        <v>-22</v>
      </c>
      <c r="VO33" s="1187" t="s">
        <v>21</v>
      </c>
      <c r="VP33" s="1188"/>
      <c r="VQ33" s="141">
        <f>VR5-VQ32</f>
        <v>-22</v>
      </c>
      <c r="VX33" s="1187" t="s">
        <v>21</v>
      </c>
      <c r="VY33" s="1188"/>
      <c r="VZ33" s="141">
        <f>WA5-VZ32</f>
        <v>-22</v>
      </c>
      <c r="WG33" s="1187" t="s">
        <v>21</v>
      </c>
      <c r="WH33" s="1188"/>
      <c r="WI33" s="141">
        <f>WJ5-WI32</f>
        <v>-22</v>
      </c>
      <c r="WP33" s="1187" t="s">
        <v>21</v>
      </c>
      <c r="WQ33" s="1188"/>
      <c r="WR33" s="141">
        <f>WS5-WR32</f>
        <v>-22</v>
      </c>
      <c r="WY33" s="1187" t="s">
        <v>21</v>
      </c>
      <c r="WZ33" s="1188"/>
      <c r="XA33" s="141">
        <f>XB5-XA32</f>
        <v>-22</v>
      </c>
      <c r="XH33" s="1187" t="s">
        <v>21</v>
      </c>
      <c r="XI33" s="1188"/>
      <c r="XJ33" s="141">
        <f>XK5-XJ32</f>
        <v>-22</v>
      </c>
      <c r="XQ33" s="1187" t="s">
        <v>21</v>
      </c>
      <c r="XR33" s="1188"/>
      <c r="XS33" s="141">
        <f>XT5-XS32</f>
        <v>-22</v>
      </c>
      <c r="XZ33" s="1187" t="s">
        <v>21</v>
      </c>
      <c r="YA33" s="1188"/>
      <c r="YB33" s="141">
        <f>YC5-YB32</f>
        <v>-22</v>
      </c>
      <c r="YI33" s="1187" t="s">
        <v>21</v>
      </c>
      <c r="YJ33" s="1188"/>
      <c r="YK33" s="141">
        <f>YL5-YK32</f>
        <v>-22</v>
      </c>
      <c r="YR33" s="1187" t="s">
        <v>21</v>
      </c>
      <c r="YS33" s="1188"/>
      <c r="YT33" s="141">
        <f>YU5-YT32</f>
        <v>-22</v>
      </c>
      <c r="ZA33" s="1187" t="s">
        <v>21</v>
      </c>
      <c r="ZB33" s="1188"/>
      <c r="ZC33" s="141">
        <f>ZD5-ZC32</f>
        <v>-22</v>
      </c>
      <c r="ZJ33" s="1187" t="s">
        <v>21</v>
      </c>
      <c r="ZK33" s="1188"/>
      <c r="ZL33" s="141">
        <f>ZM5-ZL32</f>
        <v>-22</v>
      </c>
      <c r="ZS33" s="1187" t="s">
        <v>21</v>
      </c>
      <c r="ZT33" s="1188"/>
      <c r="ZU33" s="141">
        <f>ZV5-ZU32</f>
        <v>-22</v>
      </c>
      <c r="AAB33" s="1187" t="s">
        <v>21</v>
      </c>
      <c r="AAC33" s="1188"/>
      <c r="AAD33" s="141">
        <f>AAE5-AAD32</f>
        <v>-22</v>
      </c>
      <c r="AAK33" s="1187" t="s">
        <v>21</v>
      </c>
      <c r="AAL33" s="1188"/>
      <c r="AAM33" s="141">
        <f>AAN5-AAM32</f>
        <v>-22</v>
      </c>
      <c r="AAT33" s="1187" t="s">
        <v>21</v>
      </c>
      <c r="AAU33" s="1188"/>
      <c r="AAV33" s="141">
        <f>AAV32-AAT32</f>
        <v>22</v>
      </c>
      <c r="ABC33" s="1187" t="s">
        <v>21</v>
      </c>
      <c r="ABD33" s="1188"/>
      <c r="ABE33" s="141">
        <f>ABF5-ABE32</f>
        <v>-22</v>
      </c>
      <c r="ABL33" s="1187" t="s">
        <v>21</v>
      </c>
      <c r="ABM33" s="1188"/>
      <c r="ABN33" s="141">
        <f>ABO5-ABN32</f>
        <v>-22</v>
      </c>
      <c r="ABU33" s="1187" t="s">
        <v>21</v>
      </c>
      <c r="ABV33" s="1188"/>
      <c r="ABW33" s="141">
        <f>ABX5-ABW32</f>
        <v>-22</v>
      </c>
      <c r="ACD33" s="1187" t="s">
        <v>21</v>
      </c>
      <c r="ACE33" s="1188"/>
      <c r="ACF33" s="141">
        <f>ACG5-ACF32</f>
        <v>-22</v>
      </c>
      <c r="ACM33" s="1187" t="s">
        <v>21</v>
      </c>
      <c r="ACN33" s="1188"/>
      <c r="ACO33" s="141">
        <f>ACP5-ACO32</f>
        <v>-22</v>
      </c>
      <c r="ACV33" s="1187" t="s">
        <v>21</v>
      </c>
      <c r="ACW33" s="1188"/>
      <c r="ACX33" s="141">
        <f>ACY5-ACX32</f>
        <v>-22</v>
      </c>
      <c r="ADE33" s="1187" t="s">
        <v>21</v>
      </c>
      <c r="ADF33" s="1188"/>
      <c r="ADG33" s="141">
        <f>ADH5-ADG32</f>
        <v>-22</v>
      </c>
      <c r="ADN33" s="1187" t="s">
        <v>21</v>
      </c>
      <c r="ADO33" s="1188"/>
      <c r="ADP33" s="141">
        <f>ADQ5-ADP32</f>
        <v>-22</v>
      </c>
      <c r="ADW33" s="1187" t="s">
        <v>21</v>
      </c>
      <c r="ADX33" s="1188"/>
      <c r="ADY33" s="141">
        <f>ADZ5-ADY32</f>
        <v>-22</v>
      </c>
      <c r="AEF33" s="1187" t="s">
        <v>21</v>
      </c>
      <c r="AEG33" s="1188"/>
      <c r="AEH33" s="141">
        <f>AEI5-AEH32</f>
        <v>-22</v>
      </c>
      <c r="AEO33" s="1187" t="s">
        <v>21</v>
      </c>
      <c r="AEP33" s="1188"/>
      <c r="AEQ33" s="141">
        <f>AER5-AEQ32</f>
        <v>-22</v>
      </c>
    </row>
    <row r="34" spans="1:823" ht="16.5" thickBot="1" x14ac:dyDescent="0.3">
      <c r="A34" s="137">
        <v>31</v>
      </c>
      <c r="B34" s="75" t="str">
        <f t="shared" ref="B34:H34" si="73">KY5</f>
        <v>SEABOARD FOODS</v>
      </c>
      <c r="C34" s="75" t="str">
        <f t="shared" si="73"/>
        <v>Seaboard</v>
      </c>
      <c r="D34" s="102" t="str">
        <f t="shared" si="73"/>
        <v>PED. 82621458</v>
      </c>
      <c r="E34" s="135">
        <f t="shared" si="73"/>
        <v>44708</v>
      </c>
      <c r="F34" s="86">
        <f t="shared" si="73"/>
        <v>18647.52</v>
      </c>
      <c r="G34" s="73">
        <f t="shared" si="73"/>
        <v>21</v>
      </c>
      <c r="H34" s="48">
        <f t="shared" si="73"/>
        <v>18720.7</v>
      </c>
      <c r="I34" s="105">
        <f t="shared" si="70"/>
        <v>-73.180000000000291</v>
      </c>
      <c r="J34" s="242"/>
      <c r="N34" s="941" t="s">
        <v>4</v>
      </c>
      <c r="O34" s="942"/>
      <c r="P34" s="49"/>
      <c r="S34" s="569"/>
      <c r="X34" s="941" t="s">
        <v>4</v>
      </c>
      <c r="Y34" s="942"/>
      <c r="Z34" s="49"/>
      <c r="AH34" s="941" t="s">
        <v>4</v>
      </c>
      <c r="AI34" s="942"/>
      <c r="AJ34" s="49"/>
      <c r="AM34" s="569"/>
      <c r="AR34" s="941" t="s">
        <v>4</v>
      </c>
      <c r="AS34" s="942"/>
      <c r="AT34" s="49"/>
      <c r="AZ34" s="75"/>
      <c r="BB34" s="939" t="s">
        <v>21</v>
      </c>
      <c r="BC34" s="940"/>
      <c r="BD34" s="141">
        <f>BE5-BD32</f>
        <v>0</v>
      </c>
      <c r="BL34" s="349" t="s">
        <v>4</v>
      </c>
      <c r="BM34" s="350"/>
      <c r="BN34" s="49"/>
      <c r="BV34" s="349" t="s">
        <v>4</v>
      </c>
      <c r="BW34" s="350"/>
      <c r="BX34" s="49"/>
      <c r="CE34" s="15"/>
      <c r="CF34" s="349" t="s">
        <v>4</v>
      </c>
      <c r="CG34" s="350"/>
      <c r="CH34" s="49"/>
      <c r="CP34" s="349" t="s">
        <v>4</v>
      </c>
      <c r="CQ34" s="350"/>
      <c r="CR34" s="49"/>
      <c r="CZ34" s="349" t="s">
        <v>4</v>
      </c>
      <c r="DA34" s="350"/>
      <c r="DB34" s="49"/>
      <c r="DJ34" s="349" t="s">
        <v>4</v>
      </c>
      <c r="DK34" s="350"/>
      <c r="DL34" s="49"/>
      <c r="DT34" s="349" t="s">
        <v>4</v>
      </c>
      <c r="DU34" s="350"/>
      <c r="DV34" s="49"/>
      <c r="ED34" s="349" t="s">
        <v>4</v>
      </c>
      <c r="EE34" s="350"/>
      <c r="EF34" s="49"/>
      <c r="EN34" s="349" t="s">
        <v>4</v>
      </c>
      <c r="EO34" s="350"/>
      <c r="EP34" s="49"/>
      <c r="EX34" s="349" t="s">
        <v>4</v>
      </c>
      <c r="EY34" s="350"/>
      <c r="EZ34" s="49">
        <v>0</v>
      </c>
      <c r="FH34" s="349" t="s">
        <v>4</v>
      </c>
      <c r="FI34" s="350"/>
      <c r="FJ34" s="49"/>
      <c r="FR34" s="349" t="s">
        <v>4</v>
      </c>
      <c r="FS34" s="350"/>
      <c r="FT34" s="49"/>
      <c r="GB34" s="349" t="s">
        <v>4</v>
      </c>
      <c r="GC34" s="350"/>
      <c r="GD34" s="49"/>
      <c r="GL34" s="349" t="s">
        <v>4</v>
      </c>
      <c r="GM34" s="350"/>
      <c r="GN34" s="49"/>
      <c r="GV34" s="349" t="s">
        <v>4</v>
      </c>
      <c r="GW34" s="350"/>
      <c r="GX34" s="49"/>
      <c r="HF34" s="349" t="s">
        <v>4</v>
      </c>
      <c r="HG34" s="350"/>
      <c r="HH34" s="49"/>
      <c r="HP34" s="349" t="s">
        <v>4</v>
      </c>
      <c r="HQ34" s="350"/>
      <c r="HR34" s="49">
        <v>0</v>
      </c>
      <c r="HZ34" s="705" t="s">
        <v>4</v>
      </c>
      <c r="IA34" s="706"/>
      <c r="IB34" s="49"/>
      <c r="IJ34" s="705" t="s">
        <v>4</v>
      </c>
      <c r="IK34" s="706"/>
      <c r="IL34" s="49"/>
      <c r="IT34" s="705" t="s">
        <v>4</v>
      </c>
      <c r="IU34" s="706"/>
      <c r="IV34" s="49"/>
      <c r="JD34" s="705" t="s">
        <v>4</v>
      </c>
      <c r="JE34" s="706"/>
      <c r="JF34" s="49"/>
      <c r="JN34" s="705" t="s">
        <v>4</v>
      </c>
      <c r="JO34" s="706"/>
      <c r="JP34" s="49">
        <v>0</v>
      </c>
      <c r="JX34" s="705" t="s">
        <v>4</v>
      </c>
      <c r="JY34" s="706"/>
      <c r="JZ34" s="49"/>
      <c r="KH34" s="705" t="s">
        <v>4</v>
      </c>
      <c r="KI34" s="706"/>
      <c r="KJ34" s="49"/>
      <c r="KR34" s="705" t="s">
        <v>4</v>
      </c>
      <c r="KS34" s="706"/>
      <c r="KT34" s="49"/>
      <c r="LB34" s="586" t="s">
        <v>4</v>
      </c>
      <c r="LC34" s="587"/>
      <c r="LD34" s="49"/>
      <c r="LL34" s="586" t="s">
        <v>4</v>
      </c>
      <c r="LM34" s="587"/>
      <c r="LN34" s="49"/>
      <c r="LV34" s="584" t="s">
        <v>21</v>
      </c>
      <c r="LW34" s="585"/>
      <c r="LX34" s="141">
        <f>LY5-LX32</f>
        <v>0</v>
      </c>
      <c r="MA34" s="569"/>
      <c r="MB34" s="569"/>
      <c r="MF34" s="349" t="s">
        <v>4</v>
      </c>
      <c r="MG34" s="350"/>
      <c r="MH34" s="49"/>
      <c r="MP34" s="349" t="s">
        <v>4</v>
      </c>
      <c r="MQ34" s="350"/>
      <c r="MR34" s="49"/>
      <c r="MZ34" s="810" t="s">
        <v>4</v>
      </c>
      <c r="NA34" s="811"/>
      <c r="NB34" s="49"/>
      <c r="NJ34" s="349" t="s">
        <v>4</v>
      </c>
      <c r="NK34" s="350"/>
      <c r="NL34" s="49"/>
      <c r="NT34" s="349" t="s">
        <v>4</v>
      </c>
      <c r="NU34" s="350"/>
      <c r="NV34" s="49"/>
      <c r="OD34" s="349" t="s">
        <v>4</v>
      </c>
      <c r="OE34" s="350"/>
      <c r="OF34" s="49"/>
      <c r="ON34" s="349" t="s">
        <v>4</v>
      </c>
      <c r="OO34" s="350"/>
      <c r="OP34" s="49"/>
      <c r="OX34" s="349" t="s">
        <v>4</v>
      </c>
      <c r="OY34" s="350"/>
      <c r="OZ34" s="49"/>
      <c r="PH34" s="349" t="s">
        <v>4</v>
      </c>
      <c r="PI34" s="350"/>
      <c r="PJ34" s="49"/>
      <c r="PR34" s="349" t="s">
        <v>4</v>
      </c>
      <c r="PS34" s="350"/>
      <c r="PT34" s="49"/>
      <c r="QA34" s="349" t="s">
        <v>4</v>
      </c>
      <c r="QB34" s="350"/>
      <c r="QC34" s="49"/>
      <c r="QJ34" s="349" t="s">
        <v>4</v>
      </c>
      <c r="QK34" s="350"/>
      <c r="QL34" s="49"/>
      <c r="QS34" s="349" t="s">
        <v>4</v>
      </c>
      <c r="QT34" s="350"/>
      <c r="QU34" s="49"/>
      <c r="RB34" s="349" t="s">
        <v>4</v>
      </c>
      <c r="RC34" s="350"/>
      <c r="RD34" s="49"/>
      <c r="RK34" s="349" t="s">
        <v>4</v>
      </c>
      <c r="RL34" s="350"/>
      <c r="RM34" s="49"/>
      <c r="RT34" s="1189" t="s">
        <v>4</v>
      </c>
      <c r="RU34" s="1190"/>
      <c r="RV34" s="49"/>
      <c r="SC34" s="1189" t="s">
        <v>4</v>
      </c>
      <c r="SD34" s="1190"/>
      <c r="SE34" s="49"/>
      <c r="SL34" s="1189" t="s">
        <v>4</v>
      </c>
      <c r="SM34" s="1190"/>
      <c r="SN34" s="49"/>
      <c r="SU34" s="1189" t="s">
        <v>4</v>
      </c>
      <c r="SV34" s="1190"/>
      <c r="SW34" s="49"/>
      <c r="TD34" s="1189" t="s">
        <v>4</v>
      </c>
      <c r="TE34" s="1190"/>
      <c r="TF34" s="49"/>
      <c r="TM34" s="1189" t="s">
        <v>4</v>
      </c>
      <c r="TN34" s="1190"/>
      <c r="TO34" s="49"/>
      <c r="TV34" s="1189" t="s">
        <v>4</v>
      </c>
      <c r="TW34" s="1190"/>
      <c r="TX34" s="49"/>
      <c r="UE34" s="1189" t="s">
        <v>4</v>
      </c>
      <c r="UF34" s="1190"/>
      <c r="UG34" s="49"/>
      <c r="UN34" s="1189" t="s">
        <v>4</v>
      </c>
      <c r="UO34" s="1190"/>
      <c r="UP34" s="49"/>
      <c r="UW34" s="349" t="s">
        <v>4</v>
      </c>
      <c r="UX34" s="350"/>
      <c r="UY34" s="49"/>
      <c r="VF34" s="349" t="s">
        <v>4</v>
      </c>
      <c r="VG34" s="350"/>
      <c r="VH34" s="49"/>
      <c r="VO34" s="1189" t="s">
        <v>4</v>
      </c>
      <c r="VP34" s="1190"/>
      <c r="VQ34" s="49"/>
      <c r="VX34" s="1189" t="s">
        <v>4</v>
      </c>
      <c r="VY34" s="1190"/>
      <c r="VZ34" s="49"/>
      <c r="WG34" s="1189" t="s">
        <v>4</v>
      </c>
      <c r="WH34" s="1190"/>
      <c r="WI34" s="49"/>
      <c r="WP34" s="1189" t="s">
        <v>4</v>
      </c>
      <c r="WQ34" s="1190"/>
      <c r="WR34" s="49"/>
      <c r="WY34" s="1189" t="s">
        <v>4</v>
      </c>
      <c r="WZ34" s="1190"/>
      <c r="XA34" s="49"/>
      <c r="XH34" s="1189" t="s">
        <v>4</v>
      </c>
      <c r="XI34" s="1190"/>
      <c r="XJ34" s="49"/>
      <c r="XQ34" s="1189" t="s">
        <v>4</v>
      </c>
      <c r="XR34" s="1190"/>
      <c r="XS34" s="49"/>
      <c r="XZ34" s="1189" t="s">
        <v>4</v>
      </c>
      <c r="YA34" s="1190"/>
      <c r="YB34" s="49"/>
      <c r="YI34" s="1189" t="s">
        <v>4</v>
      </c>
      <c r="YJ34" s="1190"/>
      <c r="YK34" s="49"/>
      <c r="YR34" s="1189" t="s">
        <v>4</v>
      </c>
      <c r="YS34" s="1190"/>
      <c r="YT34" s="49"/>
      <c r="ZA34" s="1189" t="s">
        <v>4</v>
      </c>
      <c r="ZB34" s="1190"/>
      <c r="ZC34" s="49"/>
      <c r="ZJ34" s="1189" t="s">
        <v>4</v>
      </c>
      <c r="ZK34" s="1190"/>
      <c r="ZL34" s="49"/>
      <c r="ZS34" s="1189" t="s">
        <v>4</v>
      </c>
      <c r="ZT34" s="1190"/>
      <c r="ZU34" s="49"/>
      <c r="AAB34" s="1189" t="s">
        <v>4</v>
      </c>
      <c r="AAC34" s="1190"/>
      <c r="AAD34" s="49"/>
      <c r="AAK34" s="1189" t="s">
        <v>4</v>
      </c>
      <c r="AAL34" s="1190"/>
      <c r="AAM34" s="49"/>
      <c r="AAT34" s="1189" t="s">
        <v>4</v>
      </c>
      <c r="AAU34" s="1190"/>
      <c r="AAV34" s="49"/>
      <c r="ABC34" s="1189" t="s">
        <v>4</v>
      </c>
      <c r="ABD34" s="1190"/>
      <c r="ABE34" s="49"/>
      <c r="ABL34" s="1189" t="s">
        <v>4</v>
      </c>
      <c r="ABM34" s="1190"/>
      <c r="ABN34" s="49"/>
      <c r="ABU34" s="1189" t="s">
        <v>4</v>
      </c>
      <c r="ABV34" s="1190"/>
      <c r="ABW34" s="49"/>
      <c r="ACD34" s="1189" t="s">
        <v>4</v>
      </c>
      <c r="ACE34" s="1190"/>
      <c r="ACF34" s="49"/>
      <c r="ACM34" s="1189" t="s">
        <v>4</v>
      </c>
      <c r="ACN34" s="1190"/>
      <c r="ACO34" s="49"/>
      <c r="ACV34" s="1189" t="s">
        <v>4</v>
      </c>
      <c r="ACW34" s="1190"/>
      <c r="ACX34" s="49"/>
      <c r="ADE34" s="1189" t="s">
        <v>4</v>
      </c>
      <c r="ADF34" s="1190"/>
      <c r="ADG34" s="49"/>
      <c r="ADN34" s="1189" t="s">
        <v>4</v>
      </c>
      <c r="ADO34" s="1190"/>
      <c r="ADP34" s="49"/>
      <c r="ADW34" s="1189" t="s">
        <v>4</v>
      </c>
      <c r="ADX34" s="1190"/>
      <c r="ADY34" s="49"/>
      <c r="AEF34" s="1189" t="s">
        <v>4</v>
      </c>
      <c r="AEG34" s="1190"/>
      <c r="AEH34" s="49"/>
      <c r="AEO34" s="1189" t="s">
        <v>4</v>
      </c>
      <c r="AEP34" s="1190"/>
      <c r="AEQ34" s="49"/>
    </row>
    <row r="35" spans="1:823" ht="16.5" thickBot="1" x14ac:dyDescent="0.3">
      <c r="A35" s="137">
        <v>32</v>
      </c>
      <c r="B35" s="75" t="str">
        <f t="shared" ref="B35:H35" si="74">LI5</f>
        <v>TYSON FRESH MEATS</v>
      </c>
      <c r="C35" s="75" t="str">
        <f t="shared" si="74"/>
        <v xml:space="preserve"> I B P </v>
      </c>
      <c r="D35" s="102" t="str">
        <f t="shared" si="74"/>
        <v>PED. 82621460</v>
      </c>
      <c r="E35" s="135">
        <f t="shared" si="74"/>
        <v>44708</v>
      </c>
      <c r="F35" s="86">
        <f t="shared" si="74"/>
        <v>18284.37</v>
      </c>
      <c r="G35" s="73">
        <f t="shared" si="74"/>
        <v>20</v>
      </c>
      <c r="H35" s="48">
        <f t="shared" si="74"/>
        <v>18296.16</v>
      </c>
      <c r="I35" s="105">
        <f t="shared" si="70"/>
        <v>-11.790000000000873</v>
      </c>
      <c r="J35" s="242"/>
      <c r="S35" s="569"/>
      <c r="AM35" s="569"/>
      <c r="AZ35" s="75"/>
      <c r="BB35" s="941" t="s">
        <v>4</v>
      </c>
      <c r="BC35" s="942"/>
      <c r="BD35" s="49"/>
      <c r="CP35" s="75" t="s">
        <v>41</v>
      </c>
      <c r="LV35" s="586" t="s">
        <v>4</v>
      </c>
      <c r="LW35" s="587"/>
      <c r="LX35" s="49"/>
      <c r="MA35" s="569"/>
      <c r="MB35" s="569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J36" s="242"/>
      <c r="S36" s="569"/>
      <c r="AM36" s="569"/>
      <c r="AZ36" s="75"/>
      <c r="MA36" s="569"/>
      <c r="MB36" s="569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69"/>
      <c r="AM37" s="569"/>
      <c r="AZ37" s="75"/>
      <c r="MA37" s="569"/>
      <c r="MB37" s="569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569"/>
      <c r="AM38" s="569"/>
      <c r="AZ38" s="75"/>
      <c r="MA38" s="569"/>
      <c r="MB38" s="569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69"/>
      <c r="MB39" s="569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69"/>
      <c r="MB40" s="569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69"/>
      <c r="MB41" s="569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69"/>
      <c r="MB42" s="569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69"/>
      <c r="MB43" s="569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69"/>
      <c r="MB44" s="569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53">
        <f t="shared" ref="B48:H48" si="87">QG5</f>
        <v>0</v>
      </c>
      <c r="C48" s="153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53">
        <f t="shared" ref="B49:H49" si="88">QP5</f>
        <v>0</v>
      </c>
      <c r="C49" s="153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53">
        <f t="shared" ref="B50:H50" si="89">QY5</f>
        <v>0</v>
      </c>
      <c r="C50" s="153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53">
        <f t="shared" ref="B51:H51" si="90">RH5</f>
        <v>0</v>
      </c>
      <c r="C51" s="153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53">
        <f t="shared" ref="B52:H52" si="91">RQ5</f>
        <v>0</v>
      </c>
      <c r="C52" s="153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53">
        <f t="shared" ref="B53:H53" si="92">RZ5</f>
        <v>0</v>
      </c>
      <c r="C53" s="153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8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413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414">
        <f t="shared" ref="B62:H62" si="100">VC5</f>
        <v>0</v>
      </c>
      <c r="C62" s="414">
        <f t="shared" si="100"/>
        <v>0</v>
      </c>
      <c r="D62" s="415">
        <f t="shared" si="100"/>
        <v>0</v>
      </c>
      <c r="E62" s="416">
        <f t="shared" si="100"/>
        <v>0</v>
      </c>
      <c r="F62" s="417">
        <f t="shared" si="100"/>
        <v>0</v>
      </c>
      <c r="G62" s="418">
        <f t="shared" si="100"/>
        <v>0</v>
      </c>
      <c r="H62" s="413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414">
        <f>VL5</f>
        <v>0</v>
      </c>
      <c r="C63" s="414">
        <f>VM5</f>
        <v>0</v>
      </c>
      <c r="D63" s="415">
        <f>VN5</f>
        <v>0</v>
      </c>
      <c r="E63" s="416">
        <f>VO5</f>
        <v>0</v>
      </c>
      <c r="F63" s="417">
        <f>VP5</f>
        <v>0</v>
      </c>
      <c r="G63" s="419">
        <f>VZ5</f>
        <v>0</v>
      </c>
      <c r="H63" s="413">
        <f>VR5</f>
        <v>0</v>
      </c>
      <c r="I63" s="105">
        <f t="shared" si="70"/>
        <v>0</v>
      </c>
    </row>
    <row r="64" spans="1:265" x14ac:dyDescent="0.25">
      <c r="A64" s="137">
        <v>61</v>
      </c>
      <c r="B64" s="414">
        <f t="shared" ref="B64:H64" si="101">VU5</f>
        <v>0</v>
      </c>
      <c r="C64" s="415">
        <f t="shared" si="101"/>
        <v>0</v>
      </c>
      <c r="D64" s="415">
        <f t="shared" si="101"/>
        <v>0</v>
      </c>
      <c r="E64" s="416">
        <f t="shared" si="101"/>
        <v>0</v>
      </c>
      <c r="F64" s="417">
        <f t="shared" si="101"/>
        <v>0</v>
      </c>
      <c r="G64" s="419">
        <f t="shared" si="101"/>
        <v>0</v>
      </c>
      <c r="H64" s="413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414">
        <f t="shared" ref="B65:H65" si="102">WD5</f>
        <v>0</v>
      </c>
      <c r="C65" s="414">
        <f t="shared" si="102"/>
        <v>0</v>
      </c>
      <c r="D65" s="415">
        <f t="shared" si="102"/>
        <v>0</v>
      </c>
      <c r="E65" s="416">
        <f t="shared" si="102"/>
        <v>0</v>
      </c>
      <c r="F65" s="417">
        <f t="shared" si="102"/>
        <v>0</v>
      </c>
      <c r="G65" s="419">
        <f t="shared" si="102"/>
        <v>0</v>
      </c>
      <c r="H65" s="413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414">
        <f t="shared" ref="B66:H66" si="103">WM5</f>
        <v>0</v>
      </c>
      <c r="C66" s="414">
        <f t="shared" si="103"/>
        <v>0</v>
      </c>
      <c r="D66" s="415">
        <f t="shared" si="103"/>
        <v>0</v>
      </c>
      <c r="E66" s="416">
        <f t="shared" si="103"/>
        <v>0</v>
      </c>
      <c r="F66" s="417">
        <f t="shared" si="103"/>
        <v>0</v>
      </c>
      <c r="G66" s="419">
        <f t="shared" si="103"/>
        <v>0</v>
      </c>
      <c r="H66" s="413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414">
        <f t="shared" ref="B67:H67" si="104">WV5</f>
        <v>0</v>
      </c>
      <c r="C67" s="414">
        <f t="shared" si="104"/>
        <v>0</v>
      </c>
      <c r="D67" s="415">
        <f t="shared" si="104"/>
        <v>0</v>
      </c>
      <c r="E67" s="416">
        <f t="shared" si="104"/>
        <v>0</v>
      </c>
      <c r="F67" s="417">
        <f t="shared" si="104"/>
        <v>0</v>
      </c>
      <c r="G67" s="419">
        <f t="shared" si="104"/>
        <v>0</v>
      </c>
      <c r="H67" s="413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414">
        <f t="shared" ref="B68:H68" si="105">XE5</f>
        <v>0</v>
      </c>
      <c r="C68" s="414">
        <f t="shared" si="105"/>
        <v>0</v>
      </c>
      <c r="D68" s="415">
        <f t="shared" si="105"/>
        <v>0</v>
      </c>
      <c r="E68" s="416">
        <f t="shared" si="105"/>
        <v>0</v>
      </c>
      <c r="F68" s="417">
        <f t="shared" si="105"/>
        <v>0</v>
      </c>
      <c r="G68" s="419">
        <f t="shared" si="105"/>
        <v>0</v>
      </c>
      <c r="H68" s="413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414">
        <f t="shared" ref="B69:H69" si="106">XN5</f>
        <v>0</v>
      </c>
      <c r="C69" s="414">
        <f t="shared" si="106"/>
        <v>0</v>
      </c>
      <c r="D69" s="415">
        <f t="shared" si="106"/>
        <v>0</v>
      </c>
      <c r="E69" s="416">
        <f t="shared" si="106"/>
        <v>0</v>
      </c>
      <c r="F69" s="417">
        <f t="shared" si="106"/>
        <v>0</v>
      </c>
      <c r="G69" s="419">
        <f t="shared" si="106"/>
        <v>0</v>
      </c>
      <c r="H69" s="413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414">
        <f t="shared" ref="B70:H70" si="107">XW5</f>
        <v>0</v>
      </c>
      <c r="C70" s="414">
        <f t="shared" si="107"/>
        <v>0</v>
      </c>
      <c r="D70" s="415">
        <f t="shared" si="107"/>
        <v>0</v>
      </c>
      <c r="E70" s="416">
        <f t="shared" si="107"/>
        <v>0</v>
      </c>
      <c r="F70" s="417">
        <f t="shared" si="107"/>
        <v>0</v>
      </c>
      <c r="G70" s="419">
        <f t="shared" si="107"/>
        <v>0</v>
      </c>
      <c r="H70" s="413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420">
        <f t="shared" ref="B71:H71" si="108">YF5</f>
        <v>0</v>
      </c>
      <c r="C71" s="414">
        <f t="shared" si="108"/>
        <v>0</v>
      </c>
      <c r="D71" s="415">
        <f t="shared" si="108"/>
        <v>0</v>
      </c>
      <c r="E71" s="416">
        <f t="shared" si="108"/>
        <v>0</v>
      </c>
      <c r="F71" s="417">
        <f t="shared" si="108"/>
        <v>0</v>
      </c>
      <c r="G71" s="419">
        <f t="shared" si="108"/>
        <v>0</v>
      </c>
      <c r="H71" s="413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414">
        <f t="shared" ref="B72:H72" si="109">YO5</f>
        <v>0</v>
      </c>
      <c r="C72" s="414">
        <f t="shared" si="109"/>
        <v>0</v>
      </c>
      <c r="D72" s="415">
        <f t="shared" si="109"/>
        <v>0</v>
      </c>
      <c r="E72" s="416">
        <f t="shared" si="109"/>
        <v>0</v>
      </c>
      <c r="F72" s="417">
        <f t="shared" si="109"/>
        <v>0</v>
      </c>
      <c r="G72" s="419">
        <f t="shared" si="109"/>
        <v>0</v>
      </c>
      <c r="H72" s="413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414">
        <f t="shared" ref="B73:H73" si="110">YX5</f>
        <v>0</v>
      </c>
      <c r="C73" s="414">
        <f t="shared" si="110"/>
        <v>0</v>
      </c>
      <c r="D73" s="415">
        <f t="shared" si="110"/>
        <v>0</v>
      </c>
      <c r="E73" s="416">
        <f t="shared" si="110"/>
        <v>0</v>
      </c>
      <c r="F73" s="417">
        <f t="shared" si="110"/>
        <v>0</v>
      </c>
      <c r="G73" s="419">
        <f t="shared" si="110"/>
        <v>0</v>
      </c>
      <c r="H73" s="413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414">
        <f t="shared" ref="B74:H74" si="111">ZG5</f>
        <v>0</v>
      </c>
      <c r="C74" s="414">
        <f t="shared" si="111"/>
        <v>0</v>
      </c>
      <c r="D74" s="415">
        <f t="shared" si="111"/>
        <v>0</v>
      </c>
      <c r="E74" s="416">
        <f t="shared" si="111"/>
        <v>0</v>
      </c>
      <c r="F74" s="417">
        <f t="shared" si="111"/>
        <v>0</v>
      </c>
      <c r="G74" s="419">
        <f t="shared" si="111"/>
        <v>0</v>
      </c>
      <c r="H74" s="413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414">
        <f t="shared" ref="B75:H75" si="112">ZP5</f>
        <v>0</v>
      </c>
      <c r="C75" s="414">
        <f t="shared" si="112"/>
        <v>0</v>
      </c>
      <c r="D75" s="415">
        <f t="shared" si="112"/>
        <v>0</v>
      </c>
      <c r="E75" s="416">
        <f t="shared" si="112"/>
        <v>0</v>
      </c>
      <c r="F75" s="417">
        <f t="shared" si="112"/>
        <v>0</v>
      </c>
      <c r="G75" s="419">
        <f t="shared" si="112"/>
        <v>0</v>
      </c>
      <c r="H75" s="413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414">
        <f t="shared" ref="B76:G76" si="113">ZY5</f>
        <v>0</v>
      </c>
      <c r="C76" s="414">
        <f t="shared" si="113"/>
        <v>0</v>
      </c>
      <c r="D76" s="415">
        <f t="shared" si="113"/>
        <v>0</v>
      </c>
      <c r="E76" s="416">
        <f t="shared" si="113"/>
        <v>0</v>
      </c>
      <c r="F76" s="417">
        <f t="shared" si="113"/>
        <v>0</v>
      </c>
      <c r="G76" s="419">
        <f t="shared" si="113"/>
        <v>0</v>
      </c>
      <c r="H76" s="413">
        <f>AAN5</f>
        <v>0</v>
      </c>
      <c r="I76" s="105">
        <f t="shared" si="70"/>
        <v>0</v>
      </c>
    </row>
    <row r="77" spans="1:9" x14ac:dyDescent="0.25">
      <c r="A77" s="137">
        <v>74</v>
      </c>
      <c r="B77" s="414">
        <f t="shared" ref="B77:H77" si="114">AAH5</f>
        <v>0</v>
      </c>
      <c r="C77" s="414">
        <f t="shared" si="114"/>
        <v>0</v>
      </c>
      <c r="D77" s="415">
        <f t="shared" si="114"/>
        <v>0</v>
      </c>
      <c r="E77" s="416">
        <f t="shared" si="114"/>
        <v>0</v>
      </c>
      <c r="F77" s="417">
        <f t="shared" si="114"/>
        <v>0</v>
      </c>
      <c r="G77" s="419">
        <f t="shared" si="114"/>
        <v>0</v>
      </c>
      <c r="H77" s="413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414">
        <f t="shared" ref="B78:H78" si="115">AAQ5</f>
        <v>0</v>
      </c>
      <c r="C78" s="414">
        <f t="shared" si="115"/>
        <v>0</v>
      </c>
      <c r="D78" s="415">
        <f t="shared" si="115"/>
        <v>0</v>
      </c>
      <c r="E78" s="416">
        <f t="shared" si="115"/>
        <v>0</v>
      </c>
      <c r="F78" s="417">
        <f t="shared" si="115"/>
        <v>0</v>
      </c>
      <c r="G78" s="419">
        <f t="shared" si="115"/>
        <v>0</v>
      </c>
      <c r="H78" s="413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414">
        <f>AAZ5</f>
        <v>0</v>
      </c>
      <c r="C79" s="414">
        <f>ABA5</f>
        <v>0</v>
      </c>
      <c r="D79" s="415">
        <f>ABB5</f>
        <v>0</v>
      </c>
      <c r="E79" s="416">
        <f>ABC5</f>
        <v>0</v>
      </c>
      <c r="F79" s="417">
        <f>ABD5</f>
        <v>0</v>
      </c>
      <c r="G79" s="419">
        <f>ABN5</f>
        <v>0</v>
      </c>
      <c r="H79" s="413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414">
        <f t="shared" ref="B81:H81" si="117">ABR5</f>
        <v>0</v>
      </c>
      <c r="C81" s="414">
        <f t="shared" si="117"/>
        <v>0</v>
      </c>
      <c r="D81" s="415">
        <f t="shared" si="117"/>
        <v>0</v>
      </c>
      <c r="E81" s="416">
        <f t="shared" si="117"/>
        <v>0</v>
      </c>
      <c r="F81" s="417">
        <f t="shared" si="117"/>
        <v>0</v>
      </c>
      <c r="G81" s="419">
        <f t="shared" si="117"/>
        <v>0</v>
      </c>
      <c r="H81" s="413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414">
        <f>ACA5</f>
        <v>0</v>
      </c>
      <c r="C82" s="414">
        <f>ACB5</f>
        <v>0</v>
      </c>
      <c r="D82" s="415">
        <f>ACC5</f>
        <v>0</v>
      </c>
      <c r="E82" s="416">
        <f>ABU5</f>
        <v>0</v>
      </c>
      <c r="F82" s="417">
        <f>ACE5</f>
        <v>0</v>
      </c>
      <c r="G82" s="421">
        <f>ACF5</f>
        <v>0</v>
      </c>
      <c r="H82" s="413">
        <f>ACG5</f>
        <v>0</v>
      </c>
      <c r="I82" s="105">
        <f t="shared" si="70"/>
        <v>0</v>
      </c>
    </row>
    <row r="83" spans="1:9" x14ac:dyDescent="0.25">
      <c r="A83" s="137">
        <v>80</v>
      </c>
      <c r="B83" s="414">
        <f t="shared" ref="B83:H83" si="118">ACJ5</f>
        <v>0</v>
      </c>
      <c r="C83" s="414">
        <f t="shared" si="118"/>
        <v>0</v>
      </c>
      <c r="D83" s="415">
        <f t="shared" si="118"/>
        <v>0</v>
      </c>
      <c r="E83" s="416">
        <f t="shared" si="118"/>
        <v>0</v>
      </c>
      <c r="F83" s="417">
        <f t="shared" si="118"/>
        <v>0</v>
      </c>
      <c r="G83" s="419">
        <f t="shared" si="118"/>
        <v>0</v>
      </c>
      <c r="H83" s="413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414">
        <f>ACS5</f>
        <v>0</v>
      </c>
      <c r="C84" s="414">
        <f>ACT5</f>
        <v>0</v>
      </c>
      <c r="D84" s="415">
        <f>ACU5</f>
        <v>0</v>
      </c>
      <c r="E84" s="416">
        <f>ACV5</f>
        <v>0</v>
      </c>
      <c r="F84" s="417">
        <f>ACW5</f>
        <v>0</v>
      </c>
      <c r="G84" s="421">
        <f>ADP5</f>
        <v>0</v>
      </c>
      <c r="H84" s="413">
        <f>ACY5</f>
        <v>0</v>
      </c>
      <c r="I84" s="105">
        <f t="shared" si="70"/>
        <v>0</v>
      </c>
    </row>
    <row r="85" spans="1:9" x14ac:dyDescent="0.25">
      <c r="A85" s="137">
        <v>82</v>
      </c>
      <c r="B85" s="414">
        <f>ADB5</f>
        <v>0</v>
      </c>
      <c r="C85" s="414">
        <f>ADC5</f>
        <v>0</v>
      </c>
      <c r="D85" s="415">
        <f>ADD5</f>
        <v>0</v>
      </c>
      <c r="E85" s="416">
        <f>ADE5</f>
        <v>0</v>
      </c>
      <c r="F85" s="417">
        <f>ADX5</f>
        <v>0</v>
      </c>
      <c r="G85" s="421">
        <f>ADG5</f>
        <v>0</v>
      </c>
      <c r="H85" s="413">
        <f>ADH5</f>
        <v>0</v>
      </c>
      <c r="I85" s="105">
        <f t="shared" si="70"/>
        <v>0</v>
      </c>
    </row>
    <row r="86" spans="1:9" x14ac:dyDescent="0.25">
      <c r="A86" s="137">
        <v>83</v>
      </c>
      <c r="B86" s="414">
        <f t="shared" ref="B86:H86" si="119">ADK5</f>
        <v>0</v>
      </c>
      <c r="C86" s="414">
        <f t="shared" si="119"/>
        <v>0</v>
      </c>
      <c r="D86" s="415">
        <f t="shared" si="119"/>
        <v>0</v>
      </c>
      <c r="E86" s="416">
        <f t="shared" si="119"/>
        <v>0</v>
      </c>
      <c r="F86" s="417">
        <f t="shared" si="119"/>
        <v>0</v>
      </c>
      <c r="G86" s="419">
        <f t="shared" si="119"/>
        <v>0</v>
      </c>
      <c r="H86" s="413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414">
        <f t="shared" ref="B87:H87" si="120">ADT5</f>
        <v>0</v>
      </c>
      <c r="C87" s="414">
        <f t="shared" si="120"/>
        <v>0</v>
      </c>
      <c r="D87" s="415">
        <f t="shared" si="120"/>
        <v>0</v>
      </c>
      <c r="E87" s="416">
        <f t="shared" si="120"/>
        <v>0</v>
      </c>
      <c r="F87" s="417">
        <f t="shared" si="120"/>
        <v>0</v>
      </c>
      <c r="G87" s="419">
        <f t="shared" si="120"/>
        <v>0</v>
      </c>
      <c r="H87" s="413">
        <f t="shared" si="120"/>
        <v>0</v>
      </c>
      <c r="I87" s="417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2">
    <mergeCell ref="GI5:GI6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  <mergeCell ref="BS5:BS6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IG5:IG6"/>
    <mergeCell ref="JK5:JK6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sqref="A1:G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98" t="s">
        <v>223</v>
      </c>
      <c r="B1" s="1198"/>
      <c r="C1" s="1198"/>
      <c r="D1" s="1198"/>
      <c r="E1" s="1198"/>
      <c r="F1" s="1198"/>
      <c r="G1" s="1198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84"/>
      <c r="B4" s="484"/>
      <c r="C4" s="485"/>
      <c r="D4" s="311"/>
      <c r="E4" s="488"/>
      <c r="F4" s="484"/>
      <c r="G4" s="316"/>
      <c r="H4" s="316"/>
    </row>
    <row r="5" spans="1:8" ht="15" hidden="1" customHeight="1" x14ac:dyDescent="0.25">
      <c r="A5" s="73"/>
      <c r="C5" s="504"/>
      <c r="D5" s="311"/>
      <c r="E5" s="486"/>
      <c r="F5" s="294"/>
      <c r="G5" s="727"/>
    </row>
    <row r="6" spans="1:8" ht="15.75" customHeight="1" thickTop="1" x14ac:dyDescent="0.25">
      <c r="A6" s="1196" t="s">
        <v>66</v>
      </c>
      <c r="B6" s="740" t="s">
        <v>73</v>
      </c>
      <c r="C6" s="504"/>
      <c r="D6" s="311"/>
      <c r="E6" s="486"/>
      <c r="F6" s="294"/>
      <c r="G6" s="88"/>
      <c r="H6" s="260"/>
    </row>
    <row r="7" spans="1:8" ht="16.5" customHeight="1" thickBot="1" x14ac:dyDescent="0.3">
      <c r="A7" s="1196"/>
      <c r="B7" s="741"/>
      <c r="C7" s="505">
        <v>192</v>
      </c>
      <c r="D7" s="311">
        <v>44642</v>
      </c>
      <c r="E7" s="487">
        <v>160</v>
      </c>
      <c r="F7" s="243">
        <v>8</v>
      </c>
      <c r="G7" s="5">
        <f>D28</f>
        <v>60</v>
      </c>
      <c r="H7" s="819">
        <f>E7-G7</f>
        <v>100</v>
      </c>
    </row>
    <row r="8" spans="1:8" ht="16.5" customHeight="1" thickBot="1" x14ac:dyDescent="0.3">
      <c r="A8" s="922"/>
      <c r="B8" s="452"/>
      <c r="C8" s="505"/>
      <c r="D8" s="311"/>
      <c r="E8" s="487"/>
      <c r="F8" s="24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90">
        <f>F4+F5+F6+F7+F8-C10</f>
        <v>7</v>
      </c>
      <c r="C10" s="15">
        <v>1</v>
      </c>
      <c r="D10" s="308">
        <v>20</v>
      </c>
      <c r="E10" s="689">
        <v>44658</v>
      </c>
      <c r="F10" s="690">
        <f>D10</f>
        <v>20</v>
      </c>
      <c r="G10" s="691" t="s">
        <v>135</v>
      </c>
      <c r="H10" s="692">
        <v>195</v>
      </c>
    </row>
    <row r="11" spans="1:8" x14ac:dyDescent="0.25">
      <c r="B11" s="490">
        <f>B10-C11</f>
        <v>6</v>
      </c>
      <c r="C11" s="15">
        <v>1</v>
      </c>
      <c r="D11" s="308">
        <v>20</v>
      </c>
      <c r="E11" s="245">
        <v>44662</v>
      </c>
      <c r="F11" s="275">
        <f>D11</f>
        <v>20</v>
      </c>
      <c r="G11" s="265" t="s">
        <v>147</v>
      </c>
      <c r="H11" s="266">
        <v>195</v>
      </c>
    </row>
    <row r="12" spans="1:8" x14ac:dyDescent="0.25">
      <c r="B12" s="490">
        <f t="shared" ref="B12:B27" si="0">B11-C12</f>
        <v>5</v>
      </c>
      <c r="C12" s="15">
        <v>1</v>
      </c>
      <c r="D12" s="308">
        <v>20</v>
      </c>
      <c r="E12" s="245">
        <v>44664</v>
      </c>
      <c r="F12" s="275">
        <f>D12</f>
        <v>20</v>
      </c>
      <c r="G12" s="265" t="s">
        <v>152</v>
      </c>
      <c r="H12" s="266">
        <v>195</v>
      </c>
    </row>
    <row r="13" spans="1:8" x14ac:dyDescent="0.25">
      <c r="A13" s="55" t="s">
        <v>33</v>
      </c>
      <c r="B13" s="490">
        <f t="shared" si="0"/>
        <v>5</v>
      </c>
      <c r="C13" s="15"/>
      <c r="D13" s="308">
        <v>0</v>
      </c>
      <c r="E13" s="875"/>
      <c r="F13" s="275">
        <f>D13</f>
        <v>0</v>
      </c>
      <c r="G13" s="265"/>
      <c r="H13" s="266"/>
    </row>
    <row r="14" spans="1:8" x14ac:dyDescent="0.25">
      <c r="B14" s="490">
        <f t="shared" si="0"/>
        <v>5</v>
      </c>
      <c r="C14" s="15"/>
      <c r="D14" s="308">
        <v>0</v>
      </c>
      <c r="E14" s="912"/>
      <c r="F14" s="275">
        <f t="shared" ref="F14:F27" si="1">D14</f>
        <v>0</v>
      </c>
      <c r="G14" s="265"/>
      <c r="H14" s="266"/>
    </row>
    <row r="15" spans="1:8" x14ac:dyDescent="0.25">
      <c r="A15" s="19"/>
      <c r="B15" s="490">
        <f t="shared" si="0"/>
        <v>5</v>
      </c>
      <c r="C15" s="15"/>
      <c r="D15" s="308">
        <v>0</v>
      </c>
      <c r="E15" s="912"/>
      <c r="F15" s="275">
        <f t="shared" si="1"/>
        <v>0</v>
      </c>
      <c r="G15" s="265"/>
      <c r="H15" s="266"/>
    </row>
    <row r="16" spans="1:8" x14ac:dyDescent="0.25">
      <c r="B16" s="490">
        <f t="shared" si="0"/>
        <v>5</v>
      </c>
      <c r="C16" s="15"/>
      <c r="D16" s="308">
        <v>0</v>
      </c>
      <c r="E16" s="912"/>
      <c r="F16" s="275">
        <f t="shared" si="1"/>
        <v>0</v>
      </c>
      <c r="G16" s="265"/>
      <c r="H16" s="266"/>
    </row>
    <row r="17" spans="1:8" x14ac:dyDescent="0.25">
      <c r="B17" s="490">
        <f t="shared" si="0"/>
        <v>5</v>
      </c>
      <c r="C17" s="15"/>
      <c r="D17" s="308">
        <v>0</v>
      </c>
      <c r="E17" s="912"/>
      <c r="F17" s="275">
        <f t="shared" si="1"/>
        <v>0</v>
      </c>
      <c r="G17" s="265"/>
      <c r="H17" s="266"/>
    </row>
    <row r="18" spans="1:8" x14ac:dyDescent="0.25">
      <c r="B18" s="490">
        <f t="shared" si="0"/>
        <v>5</v>
      </c>
      <c r="C18" s="15"/>
      <c r="D18" s="308">
        <v>0</v>
      </c>
      <c r="E18" s="912"/>
      <c r="F18" s="275">
        <f t="shared" si="1"/>
        <v>0</v>
      </c>
      <c r="G18" s="265"/>
      <c r="H18" s="266"/>
    </row>
    <row r="19" spans="1:8" x14ac:dyDescent="0.25">
      <c r="B19" s="490">
        <f t="shared" si="0"/>
        <v>5</v>
      </c>
      <c r="C19" s="15"/>
      <c r="D19" s="308">
        <v>0</v>
      </c>
      <c r="E19" s="912"/>
      <c r="F19" s="275">
        <f t="shared" si="1"/>
        <v>0</v>
      </c>
      <c r="G19" s="265"/>
      <c r="H19" s="266"/>
    </row>
    <row r="20" spans="1:8" x14ac:dyDescent="0.25">
      <c r="B20" s="490">
        <f t="shared" si="0"/>
        <v>5</v>
      </c>
      <c r="C20" s="15"/>
      <c r="D20" s="308">
        <v>0</v>
      </c>
      <c r="E20" s="245"/>
      <c r="F20" s="275">
        <f t="shared" si="1"/>
        <v>0</v>
      </c>
      <c r="G20" s="265"/>
      <c r="H20" s="266"/>
    </row>
    <row r="21" spans="1:8" x14ac:dyDescent="0.25">
      <c r="B21" s="490">
        <f t="shared" si="0"/>
        <v>5</v>
      </c>
      <c r="C21" s="15"/>
      <c r="D21" s="308">
        <v>0</v>
      </c>
      <c r="E21" s="135"/>
      <c r="F21" s="105">
        <f t="shared" si="1"/>
        <v>0</v>
      </c>
      <c r="G21" s="265"/>
      <c r="H21" s="266"/>
    </row>
    <row r="22" spans="1:8" x14ac:dyDescent="0.25">
      <c r="B22" s="490">
        <f t="shared" si="0"/>
        <v>5</v>
      </c>
      <c r="C22" s="15"/>
      <c r="D22" s="308">
        <v>0</v>
      </c>
      <c r="E22" s="135"/>
      <c r="F22" s="105">
        <f t="shared" si="1"/>
        <v>0</v>
      </c>
      <c r="G22" s="265"/>
      <c r="H22" s="266"/>
    </row>
    <row r="23" spans="1:8" x14ac:dyDescent="0.25">
      <c r="B23" s="490">
        <f t="shared" si="0"/>
        <v>5</v>
      </c>
      <c r="C23" s="15"/>
      <c r="D23" s="308">
        <v>0</v>
      </c>
      <c r="E23" s="135"/>
      <c r="F23" s="105">
        <f t="shared" si="1"/>
        <v>0</v>
      </c>
      <c r="G23" s="265"/>
      <c r="H23" s="266"/>
    </row>
    <row r="24" spans="1:8" x14ac:dyDescent="0.25">
      <c r="B24" s="490">
        <f t="shared" si="0"/>
        <v>5</v>
      </c>
      <c r="C24" s="15"/>
      <c r="D24" s="308">
        <v>0</v>
      </c>
      <c r="E24" s="135"/>
      <c r="F24" s="105">
        <f t="shared" si="1"/>
        <v>0</v>
      </c>
      <c r="G24" s="265"/>
      <c r="H24" s="266"/>
    </row>
    <row r="25" spans="1:8" x14ac:dyDescent="0.25">
      <c r="B25" s="490">
        <f t="shared" si="0"/>
        <v>5</v>
      </c>
      <c r="C25" s="15"/>
      <c r="D25" s="308">
        <v>0</v>
      </c>
      <c r="E25" s="135"/>
      <c r="F25" s="105">
        <f t="shared" si="1"/>
        <v>0</v>
      </c>
      <c r="G25" s="265"/>
      <c r="H25" s="535"/>
    </row>
    <row r="26" spans="1:8" x14ac:dyDescent="0.25">
      <c r="B26" s="490">
        <f t="shared" si="0"/>
        <v>5</v>
      </c>
      <c r="C26" s="15"/>
      <c r="D26" s="308">
        <v>0</v>
      </c>
      <c r="E26" s="135"/>
      <c r="F26" s="105">
        <f t="shared" si="1"/>
        <v>0</v>
      </c>
      <c r="G26" s="70"/>
      <c r="H26" s="71"/>
    </row>
    <row r="27" spans="1:8" ht="15.75" thickBot="1" x14ac:dyDescent="0.3">
      <c r="A27" s="121"/>
      <c r="B27" s="491">
        <f t="shared" si="0"/>
        <v>5</v>
      </c>
      <c r="C27" s="37"/>
      <c r="D27" s="308">
        <v>0</v>
      </c>
      <c r="E27" s="329"/>
      <c r="F27" s="330">
        <f t="shared" si="1"/>
        <v>0</v>
      </c>
      <c r="G27" s="331"/>
      <c r="H27" s="332"/>
    </row>
    <row r="28" spans="1:8" ht="15.75" thickTop="1" x14ac:dyDescent="0.25">
      <c r="A28" s="47">
        <f>SUM(A27:A27)</f>
        <v>0</v>
      </c>
      <c r="C28" s="73">
        <f>SUM(C10:C27)</f>
        <v>3</v>
      </c>
      <c r="D28" s="105">
        <f>SUM(D10:D27)</f>
        <v>60</v>
      </c>
      <c r="E28" s="75"/>
      <c r="F28" s="105">
        <f>SUM(F10:F27)</f>
        <v>60</v>
      </c>
    </row>
    <row r="29" spans="1:8" ht="15.75" thickBot="1" x14ac:dyDescent="0.3">
      <c r="A29" s="47"/>
    </row>
    <row r="30" spans="1:8" x14ac:dyDescent="0.25">
      <c r="B30" s="5"/>
      <c r="D30" s="1187" t="s">
        <v>21</v>
      </c>
      <c r="E30" s="1188"/>
      <c r="F30" s="141">
        <f>E5+E6-F28+E7+E4+E8</f>
        <v>100</v>
      </c>
    </row>
    <row r="31" spans="1:8" ht="15.75" thickBot="1" x14ac:dyDescent="0.3">
      <c r="A31" s="125"/>
      <c r="D31" s="920" t="s">
        <v>4</v>
      </c>
      <c r="E31" s="921"/>
      <c r="F31" s="49">
        <f>F5+F6-C28+F7+F4+F8</f>
        <v>5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L1" zoomScale="98" zoomScaleNormal="98" workbookViewId="0">
      <pane ySplit="8" topLeftCell="A9" activePane="bottomLeft" state="frozen"/>
      <selection pane="bottomLeft" activeCell="S5" sqref="S5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220" t="s">
        <v>224</v>
      </c>
      <c r="B1" s="1220"/>
      <c r="C1" s="1220"/>
      <c r="D1" s="1220"/>
      <c r="E1" s="1220"/>
      <c r="F1" s="1220"/>
      <c r="G1" s="1220"/>
      <c r="H1" s="1220"/>
      <c r="I1" s="1220"/>
      <c r="J1" s="1220"/>
      <c r="K1" s="733">
        <v>1</v>
      </c>
      <c r="M1" s="1221" t="s">
        <v>240</v>
      </c>
      <c r="N1" s="1221"/>
      <c r="O1" s="1221"/>
      <c r="P1" s="1221"/>
      <c r="Q1" s="1221"/>
      <c r="R1" s="1221"/>
      <c r="S1" s="1221"/>
      <c r="T1" s="1221"/>
      <c r="U1" s="1221"/>
      <c r="V1" s="1221"/>
      <c r="W1" s="733">
        <v>1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320"/>
      <c r="C4" s="611"/>
      <c r="D4" s="245"/>
      <c r="E4" s="270"/>
      <c r="F4" s="243"/>
      <c r="G4" s="529"/>
      <c r="H4" s="240"/>
      <c r="I4" s="240"/>
      <c r="N4" s="320"/>
      <c r="O4" s="611"/>
      <c r="P4" s="245"/>
      <c r="Q4" s="270"/>
      <c r="R4" s="243"/>
      <c r="S4" s="529"/>
      <c r="T4" s="240"/>
      <c r="U4" s="240"/>
    </row>
    <row r="5" spans="1:23" ht="15.75" customHeight="1" thickTop="1" x14ac:dyDescent="0.25">
      <c r="A5" s="992"/>
      <c r="B5" s="73" t="s">
        <v>48</v>
      </c>
      <c r="C5" s="917"/>
      <c r="D5" s="135"/>
      <c r="E5" s="132"/>
      <c r="F5" s="73"/>
      <c r="G5" s="47">
        <f>F115</f>
        <v>13746.099999999997</v>
      </c>
      <c r="H5" s="159">
        <f>E5+E6-G5+E4</f>
        <v>4760.7800000000043</v>
      </c>
      <c r="M5" s="992"/>
      <c r="N5" s="73" t="s">
        <v>48</v>
      </c>
      <c r="O5" s="917"/>
      <c r="P5" s="135">
        <v>44707</v>
      </c>
      <c r="Q5" s="132">
        <v>16111.6</v>
      </c>
      <c r="R5" s="73">
        <v>592</v>
      </c>
      <c r="S5" s="47">
        <f>R115</f>
        <v>0</v>
      </c>
      <c r="T5" s="159">
        <f>Q5+Q6-S5+Q4</f>
        <v>16111.6</v>
      </c>
    </row>
    <row r="6" spans="1:23" ht="15.75" customHeight="1" x14ac:dyDescent="0.25">
      <c r="A6" s="993" t="s">
        <v>214</v>
      </c>
      <c r="B6" s="849" t="s">
        <v>93</v>
      </c>
      <c r="C6" s="161">
        <v>51.8</v>
      </c>
      <c r="D6" s="135">
        <v>44673</v>
      </c>
      <c r="E6" s="78">
        <v>18506.88</v>
      </c>
      <c r="F6" s="62">
        <v>680</v>
      </c>
      <c r="M6" s="993" t="s">
        <v>214</v>
      </c>
      <c r="N6" s="849" t="s">
        <v>93</v>
      </c>
      <c r="O6" s="161"/>
      <c r="P6" s="135"/>
      <c r="Q6" s="78"/>
      <c r="R6" s="62"/>
    </row>
    <row r="7" spans="1:23" ht="15.75" customHeight="1" thickBot="1" x14ac:dyDescent="0.3">
      <c r="A7" s="952"/>
      <c r="B7" s="163"/>
      <c r="C7" s="846"/>
      <c r="D7" s="847"/>
      <c r="E7" s="848"/>
      <c r="F7" s="736"/>
      <c r="M7" s="952"/>
      <c r="N7" s="163"/>
      <c r="O7" s="846"/>
      <c r="P7" s="847"/>
      <c r="Q7" s="848"/>
      <c r="R7" s="736"/>
    </row>
    <row r="8" spans="1:23" ht="16.5" thickTop="1" thickBot="1" x14ac:dyDescent="0.3">
      <c r="A8" s="240"/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32" t="s">
        <v>60</v>
      </c>
      <c r="I8" s="633" t="s">
        <v>61</v>
      </c>
      <c r="J8" s="633" t="s">
        <v>62</v>
      </c>
      <c r="K8" s="634" t="s">
        <v>63</v>
      </c>
      <c r="M8" s="240"/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632" t="s">
        <v>60</v>
      </c>
      <c r="U8" s="633" t="s">
        <v>61</v>
      </c>
      <c r="V8" s="633" t="s">
        <v>62</v>
      </c>
      <c r="W8" s="634" t="s">
        <v>63</v>
      </c>
    </row>
    <row r="9" spans="1:23" ht="15.75" thickTop="1" x14ac:dyDescent="0.25">
      <c r="A9" s="953" t="s">
        <v>32</v>
      </c>
      <c r="B9" s="2">
        <v>27.22</v>
      </c>
      <c r="C9" s="15">
        <v>7</v>
      </c>
      <c r="D9" s="389">
        <f t="shared" ref="D9:D72" si="0">C9*B9</f>
        <v>190.54</v>
      </c>
      <c r="E9" s="326">
        <v>44680</v>
      </c>
      <c r="F9" s="69">
        <f t="shared" ref="F9:F72" si="1">D9</f>
        <v>190.54</v>
      </c>
      <c r="G9" s="265" t="s">
        <v>206</v>
      </c>
      <c r="H9" s="266">
        <v>57</v>
      </c>
      <c r="I9" s="635">
        <f>E5-F9+E4+E6+E7</f>
        <v>18316.34</v>
      </c>
      <c r="J9" s="636">
        <f>F5-C9+F4+F6+F7</f>
        <v>673</v>
      </c>
      <c r="K9" s="637">
        <f>F9*H9</f>
        <v>10860.779999999999</v>
      </c>
      <c r="M9" s="953" t="s">
        <v>32</v>
      </c>
      <c r="N9" s="2">
        <v>27.22</v>
      </c>
      <c r="O9" s="15"/>
      <c r="P9" s="389">
        <f t="shared" ref="P9:P72" si="2">O9*N9</f>
        <v>0</v>
      </c>
      <c r="Q9" s="326"/>
      <c r="R9" s="69">
        <f t="shared" ref="R9:R72" si="3">P9</f>
        <v>0</v>
      </c>
      <c r="S9" s="265"/>
      <c r="T9" s="266"/>
      <c r="U9" s="635">
        <f>Q5-R9+Q4+Q6+Q7</f>
        <v>16111.6</v>
      </c>
      <c r="V9" s="636">
        <f>R5-O9+R4+R6+R7</f>
        <v>592</v>
      </c>
      <c r="W9" s="637">
        <f>R9*T9</f>
        <v>0</v>
      </c>
    </row>
    <row r="10" spans="1:23" x14ac:dyDescent="0.25">
      <c r="A10" s="954"/>
      <c r="B10" s="2">
        <v>27.22</v>
      </c>
      <c r="C10" s="15">
        <v>2</v>
      </c>
      <c r="D10" s="389">
        <f t="shared" si="0"/>
        <v>54.44</v>
      </c>
      <c r="E10" s="326">
        <v>44680</v>
      </c>
      <c r="F10" s="69">
        <f t="shared" si="1"/>
        <v>54.44</v>
      </c>
      <c r="G10" s="70" t="s">
        <v>208</v>
      </c>
      <c r="H10" s="71">
        <v>57</v>
      </c>
      <c r="I10" s="638">
        <f>I9-F10</f>
        <v>18261.900000000001</v>
      </c>
      <c r="J10" s="639">
        <f>J9-C10</f>
        <v>671</v>
      </c>
      <c r="K10" s="640">
        <f t="shared" ref="K10:K73" si="4">F10*H10</f>
        <v>3103.08</v>
      </c>
      <c r="M10" s="954"/>
      <c r="N10" s="2">
        <v>27.22</v>
      </c>
      <c r="O10" s="15"/>
      <c r="P10" s="389">
        <f t="shared" si="2"/>
        <v>0</v>
      </c>
      <c r="Q10" s="326"/>
      <c r="R10" s="69">
        <f t="shared" si="3"/>
        <v>0</v>
      </c>
      <c r="S10" s="70"/>
      <c r="T10" s="71"/>
      <c r="U10" s="638">
        <f>U9-R10</f>
        <v>16111.6</v>
      </c>
      <c r="V10" s="639">
        <f>V9-O10</f>
        <v>592</v>
      </c>
      <c r="W10" s="640">
        <f t="shared" ref="W10:W73" si="5">R10*T10</f>
        <v>0</v>
      </c>
    </row>
    <row r="11" spans="1:23" x14ac:dyDescent="0.25">
      <c r="A11" s="955"/>
      <c r="B11" s="2">
        <v>27.22</v>
      </c>
      <c r="C11" s="15">
        <v>1</v>
      </c>
      <c r="D11" s="389">
        <f t="shared" si="0"/>
        <v>27.22</v>
      </c>
      <c r="E11" s="326">
        <v>44681</v>
      </c>
      <c r="F11" s="69">
        <f t="shared" si="1"/>
        <v>27.22</v>
      </c>
      <c r="G11" s="265" t="s">
        <v>196</v>
      </c>
      <c r="H11" s="266">
        <v>57</v>
      </c>
      <c r="I11" s="638">
        <f t="shared" ref="I11:I74" si="6">I10-F11</f>
        <v>18234.68</v>
      </c>
      <c r="J11" s="639">
        <f t="shared" ref="J11" si="7">J10-C11</f>
        <v>670</v>
      </c>
      <c r="K11" s="640">
        <f t="shared" si="4"/>
        <v>1551.54</v>
      </c>
      <c r="M11" s="955"/>
      <c r="N11" s="2">
        <v>27.22</v>
      </c>
      <c r="O11" s="15"/>
      <c r="P11" s="389">
        <f t="shared" si="2"/>
        <v>0</v>
      </c>
      <c r="Q11" s="326"/>
      <c r="R11" s="69">
        <f t="shared" si="3"/>
        <v>0</v>
      </c>
      <c r="S11" s="265"/>
      <c r="T11" s="266"/>
      <c r="U11" s="638">
        <f t="shared" ref="U11:U74" si="8">U10-R11</f>
        <v>16111.6</v>
      </c>
      <c r="V11" s="639">
        <f t="shared" ref="V11" si="9">V10-O11</f>
        <v>592</v>
      </c>
      <c r="W11" s="640">
        <f t="shared" si="5"/>
        <v>0</v>
      </c>
    </row>
    <row r="12" spans="1:23" x14ac:dyDescent="0.25">
      <c r="A12" s="953" t="s">
        <v>33</v>
      </c>
      <c r="B12" s="2">
        <v>27.22</v>
      </c>
      <c r="C12" s="15">
        <v>6</v>
      </c>
      <c r="D12" s="389">
        <f t="shared" si="0"/>
        <v>163.32</v>
      </c>
      <c r="E12" s="326">
        <v>44681</v>
      </c>
      <c r="F12" s="69">
        <f t="shared" si="1"/>
        <v>163.32</v>
      </c>
      <c r="G12" s="265" t="s">
        <v>209</v>
      </c>
      <c r="H12" s="266">
        <v>57</v>
      </c>
      <c r="I12" s="638">
        <f t="shared" si="6"/>
        <v>18071.36</v>
      </c>
      <c r="J12" s="639">
        <f>J11-C12</f>
        <v>664</v>
      </c>
      <c r="K12" s="640">
        <f t="shared" si="4"/>
        <v>9309.24</v>
      </c>
      <c r="M12" s="953" t="s">
        <v>33</v>
      </c>
      <c r="N12" s="2">
        <v>27.22</v>
      </c>
      <c r="O12" s="15"/>
      <c r="P12" s="389">
        <f t="shared" si="2"/>
        <v>0</v>
      </c>
      <c r="Q12" s="326"/>
      <c r="R12" s="69">
        <f t="shared" si="3"/>
        <v>0</v>
      </c>
      <c r="S12" s="265"/>
      <c r="T12" s="266"/>
      <c r="U12" s="638">
        <f t="shared" si="8"/>
        <v>16111.6</v>
      </c>
      <c r="V12" s="639">
        <f>V11-O12</f>
        <v>592</v>
      </c>
      <c r="W12" s="640">
        <f t="shared" si="5"/>
        <v>0</v>
      </c>
    </row>
    <row r="13" spans="1:23" ht="15" customHeight="1" x14ac:dyDescent="0.25">
      <c r="A13" s="610"/>
      <c r="B13" s="317">
        <v>27.22</v>
      </c>
      <c r="C13" s="15">
        <v>32</v>
      </c>
      <c r="D13" s="389">
        <f t="shared" si="0"/>
        <v>871.04</v>
      </c>
      <c r="E13" s="326">
        <v>44681</v>
      </c>
      <c r="F13" s="69">
        <f t="shared" si="1"/>
        <v>871.04</v>
      </c>
      <c r="G13" s="70" t="s">
        <v>210</v>
      </c>
      <c r="H13" s="71">
        <v>57</v>
      </c>
      <c r="I13" s="638">
        <f t="shared" si="6"/>
        <v>17200.32</v>
      </c>
      <c r="J13" s="639">
        <f t="shared" ref="J13:J76" si="10">J12-C13</f>
        <v>632</v>
      </c>
      <c r="K13" s="640">
        <f t="shared" si="4"/>
        <v>49649.279999999999</v>
      </c>
      <c r="M13" s="610"/>
      <c r="N13" s="317">
        <v>27.22</v>
      </c>
      <c r="O13" s="15"/>
      <c r="P13" s="389">
        <f t="shared" si="2"/>
        <v>0</v>
      </c>
      <c r="Q13" s="326"/>
      <c r="R13" s="69">
        <f t="shared" si="3"/>
        <v>0</v>
      </c>
      <c r="S13" s="70"/>
      <c r="T13" s="71"/>
      <c r="U13" s="638">
        <f t="shared" si="8"/>
        <v>16111.6</v>
      </c>
      <c r="V13" s="639">
        <f t="shared" ref="V13:V76" si="11">V12-O13</f>
        <v>592</v>
      </c>
      <c r="W13" s="640">
        <f t="shared" si="5"/>
        <v>0</v>
      </c>
    </row>
    <row r="14" spans="1:23" x14ac:dyDescent="0.25">
      <c r="A14" s="610"/>
      <c r="B14" s="317">
        <v>27.22</v>
      </c>
      <c r="C14" s="15">
        <v>1</v>
      </c>
      <c r="D14" s="389">
        <f t="shared" si="0"/>
        <v>27.22</v>
      </c>
      <c r="E14" s="326">
        <v>44681</v>
      </c>
      <c r="F14" s="69">
        <f t="shared" si="1"/>
        <v>27.22</v>
      </c>
      <c r="G14" s="70" t="s">
        <v>211</v>
      </c>
      <c r="H14" s="71">
        <v>57</v>
      </c>
      <c r="I14" s="638">
        <f t="shared" si="6"/>
        <v>17173.099999999999</v>
      </c>
      <c r="J14" s="639">
        <f t="shared" si="10"/>
        <v>631</v>
      </c>
      <c r="K14" s="640">
        <f t="shared" si="4"/>
        <v>1551.54</v>
      </c>
      <c r="M14" s="610"/>
      <c r="N14" s="317">
        <v>27.22</v>
      </c>
      <c r="O14" s="15"/>
      <c r="P14" s="389">
        <f t="shared" si="2"/>
        <v>0</v>
      </c>
      <c r="Q14" s="326"/>
      <c r="R14" s="69">
        <f t="shared" si="3"/>
        <v>0</v>
      </c>
      <c r="S14" s="70"/>
      <c r="T14" s="71"/>
      <c r="U14" s="638">
        <f t="shared" si="8"/>
        <v>16111.6</v>
      </c>
      <c r="V14" s="639">
        <f t="shared" si="11"/>
        <v>592</v>
      </c>
      <c r="W14" s="640">
        <f t="shared" si="5"/>
        <v>0</v>
      </c>
    </row>
    <row r="15" spans="1:23" x14ac:dyDescent="0.25">
      <c r="A15" s="610"/>
      <c r="B15" s="317">
        <v>27.22</v>
      </c>
      <c r="C15" s="15">
        <v>4</v>
      </c>
      <c r="D15" s="389">
        <f t="shared" si="0"/>
        <v>108.88</v>
      </c>
      <c r="E15" s="326">
        <v>44681</v>
      </c>
      <c r="F15" s="69">
        <f t="shared" si="1"/>
        <v>108.88</v>
      </c>
      <c r="G15" s="70" t="s">
        <v>212</v>
      </c>
      <c r="H15" s="71">
        <v>57</v>
      </c>
      <c r="I15" s="638">
        <f t="shared" si="6"/>
        <v>17064.219999999998</v>
      </c>
      <c r="J15" s="639">
        <f t="shared" si="10"/>
        <v>627</v>
      </c>
      <c r="K15" s="640">
        <f t="shared" si="4"/>
        <v>6206.16</v>
      </c>
      <c r="M15" s="610"/>
      <c r="N15" s="317">
        <v>27.22</v>
      </c>
      <c r="O15" s="15"/>
      <c r="P15" s="389">
        <f t="shared" si="2"/>
        <v>0</v>
      </c>
      <c r="Q15" s="326"/>
      <c r="R15" s="69">
        <f t="shared" si="3"/>
        <v>0</v>
      </c>
      <c r="S15" s="70"/>
      <c r="T15" s="71"/>
      <c r="U15" s="638">
        <f t="shared" si="8"/>
        <v>16111.6</v>
      </c>
      <c r="V15" s="639">
        <f t="shared" si="11"/>
        <v>592</v>
      </c>
      <c r="W15" s="640">
        <f t="shared" si="5"/>
        <v>0</v>
      </c>
    </row>
    <row r="16" spans="1:23" x14ac:dyDescent="0.25">
      <c r="A16" s="610"/>
      <c r="B16" s="317">
        <v>27.22</v>
      </c>
      <c r="C16" s="15">
        <v>1</v>
      </c>
      <c r="D16" s="389">
        <f t="shared" si="0"/>
        <v>27.22</v>
      </c>
      <c r="E16" s="326">
        <v>44681</v>
      </c>
      <c r="F16" s="69">
        <f t="shared" si="1"/>
        <v>27.22</v>
      </c>
      <c r="G16" s="265" t="s">
        <v>213</v>
      </c>
      <c r="H16" s="266">
        <v>57</v>
      </c>
      <c r="I16" s="638">
        <f t="shared" si="6"/>
        <v>17036.999999999996</v>
      </c>
      <c r="J16" s="639">
        <f t="shared" si="10"/>
        <v>626</v>
      </c>
      <c r="K16" s="640">
        <f t="shared" si="4"/>
        <v>1551.54</v>
      </c>
      <c r="M16" s="610"/>
      <c r="N16" s="317">
        <v>27.22</v>
      </c>
      <c r="O16" s="15"/>
      <c r="P16" s="389">
        <f t="shared" si="2"/>
        <v>0</v>
      </c>
      <c r="Q16" s="326"/>
      <c r="R16" s="69">
        <f t="shared" si="3"/>
        <v>0</v>
      </c>
      <c r="S16" s="265"/>
      <c r="T16" s="266"/>
      <c r="U16" s="638">
        <f t="shared" si="8"/>
        <v>16111.6</v>
      </c>
      <c r="V16" s="639">
        <f t="shared" si="11"/>
        <v>592</v>
      </c>
      <c r="W16" s="640">
        <f t="shared" si="5"/>
        <v>0</v>
      </c>
    </row>
    <row r="17" spans="1:23" x14ac:dyDescent="0.25">
      <c r="A17" s="610"/>
      <c r="B17" s="317">
        <v>27.22</v>
      </c>
      <c r="C17" s="15">
        <v>1</v>
      </c>
      <c r="D17" s="1031">
        <f t="shared" si="0"/>
        <v>27.22</v>
      </c>
      <c r="E17" s="1032">
        <v>44683</v>
      </c>
      <c r="F17" s="1033">
        <f t="shared" si="1"/>
        <v>27.22</v>
      </c>
      <c r="G17" s="1034" t="s">
        <v>353</v>
      </c>
      <c r="H17" s="1035">
        <v>57</v>
      </c>
      <c r="I17" s="638">
        <f t="shared" si="6"/>
        <v>17009.779999999995</v>
      </c>
      <c r="J17" s="639">
        <f t="shared" si="10"/>
        <v>625</v>
      </c>
      <c r="K17" s="640">
        <f t="shared" si="4"/>
        <v>1551.54</v>
      </c>
      <c r="M17" s="610"/>
      <c r="N17" s="317">
        <v>27.22</v>
      </c>
      <c r="O17" s="15"/>
      <c r="P17" s="389">
        <f t="shared" si="2"/>
        <v>0</v>
      </c>
      <c r="Q17" s="326"/>
      <c r="R17" s="69">
        <f t="shared" si="3"/>
        <v>0</v>
      </c>
      <c r="S17" s="70"/>
      <c r="T17" s="71"/>
      <c r="U17" s="638">
        <f t="shared" si="8"/>
        <v>16111.6</v>
      </c>
      <c r="V17" s="639">
        <f t="shared" si="11"/>
        <v>592</v>
      </c>
      <c r="W17" s="640">
        <f t="shared" si="5"/>
        <v>0</v>
      </c>
    </row>
    <row r="18" spans="1:23" x14ac:dyDescent="0.25">
      <c r="A18" s="240"/>
      <c r="B18" s="2">
        <v>27.22</v>
      </c>
      <c r="C18" s="15">
        <v>5</v>
      </c>
      <c r="D18" s="1031">
        <f t="shared" si="0"/>
        <v>136.1</v>
      </c>
      <c r="E18" s="1036">
        <v>44683</v>
      </c>
      <c r="F18" s="1033">
        <f t="shared" si="1"/>
        <v>136.1</v>
      </c>
      <c r="G18" s="1034" t="s">
        <v>359</v>
      </c>
      <c r="H18" s="1035">
        <v>57</v>
      </c>
      <c r="I18" s="638">
        <f t="shared" si="6"/>
        <v>16873.679999999997</v>
      </c>
      <c r="J18" s="639">
        <f t="shared" si="10"/>
        <v>620</v>
      </c>
      <c r="K18" s="640">
        <f t="shared" si="4"/>
        <v>7757.7</v>
      </c>
      <c r="M18" s="240"/>
      <c r="N18" s="2">
        <v>27.22</v>
      </c>
      <c r="O18" s="15"/>
      <c r="P18" s="389">
        <f t="shared" si="2"/>
        <v>0</v>
      </c>
      <c r="Q18" s="324"/>
      <c r="R18" s="69">
        <f t="shared" si="3"/>
        <v>0</v>
      </c>
      <c r="S18" s="70"/>
      <c r="T18" s="71"/>
      <c r="U18" s="638">
        <f t="shared" si="8"/>
        <v>16111.6</v>
      </c>
      <c r="V18" s="639">
        <f t="shared" si="11"/>
        <v>592</v>
      </c>
      <c r="W18" s="640">
        <f t="shared" si="5"/>
        <v>0</v>
      </c>
    </row>
    <row r="19" spans="1:23" x14ac:dyDescent="0.25">
      <c r="A19" s="240"/>
      <c r="B19" s="2">
        <v>27.22</v>
      </c>
      <c r="C19" s="15">
        <v>1</v>
      </c>
      <c r="D19" s="1031">
        <f t="shared" si="0"/>
        <v>27.22</v>
      </c>
      <c r="E19" s="1032">
        <v>44684</v>
      </c>
      <c r="F19" s="1033">
        <f t="shared" si="1"/>
        <v>27.22</v>
      </c>
      <c r="G19" s="1034" t="s">
        <v>363</v>
      </c>
      <c r="H19" s="1035">
        <v>59</v>
      </c>
      <c r="I19" s="638">
        <f t="shared" si="6"/>
        <v>16846.459999999995</v>
      </c>
      <c r="J19" s="639">
        <f t="shared" si="10"/>
        <v>619</v>
      </c>
      <c r="K19" s="640">
        <f t="shared" si="4"/>
        <v>1605.98</v>
      </c>
      <c r="M19" s="240"/>
      <c r="N19" s="2">
        <v>27.22</v>
      </c>
      <c r="O19" s="15"/>
      <c r="P19" s="389">
        <f t="shared" si="2"/>
        <v>0</v>
      </c>
      <c r="Q19" s="326"/>
      <c r="R19" s="69">
        <f t="shared" si="3"/>
        <v>0</v>
      </c>
      <c r="S19" s="70"/>
      <c r="T19" s="71"/>
      <c r="U19" s="638">
        <f t="shared" si="8"/>
        <v>16111.6</v>
      </c>
      <c r="V19" s="639">
        <f t="shared" si="11"/>
        <v>592</v>
      </c>
      <c r="W19" s="640">
        <f t="shared" si="5"/>
        <v>0</v>
      </c>
    </row>
    <row r="20" spans="1:23" x14ac:dyDescent="0.25">
      <c r="A20" s="240"/>
      <c r="B20" s="2">
        <v>27.22</v>
      </c>
      <c r="C20" s="15">
        <v>2</v>
      </c>
      <c r="D20" s="1031">
        <f t="shared" si="0"/>
        <v>54.44</v>
      </c>
      <c r="E20" s="1032">
        <v>44684</v>
      </c>
      <c r="F20" s="1033">
        <f t="shared" si="1"/>
        <v>54.44</v>
      </c>
      <c r="G20" s="1034" t="s">
        <v>369</v>
      </c>
      <c r="H20" s="1035">
        <v>59</v>
      </c>
      <c r="I20" s="638">
        <f t="shared" si="6"/>
        <v>16792.019999999997</v>
      </c>
      <c r="J20" s="641">
        <f t="shared" si="10"/>
        <v>617</v>
      </c>
      <c r="K20" s="640">
        <f t="shared" si="4"/>
        <v>3211.96</v>
      </c>
      <c r="M20" s="240"/>
      <c r="N20" s="2">
        <v>27.22</v>
      </c>
      <c r="O20" s="15"/>
      <c r="P20" s="389">
        <f t="shared" si="2"/>
        <v>0</v>
      </c>
      <c r="Q20" s="326"/>
      <c r="R20" s="69">
        <f t="shared" si="3"/>
        <v>0</v>
      </c>
      <c r="S20" s="70"/>
      <c r="T20" s="71"/>
      <c r="U20" s="638">
        <f t="shared" si="8"/>
        <v>16111.6</v>
      </c>
      <c r="V20" s="641">
        <f t="shared" si="11"/>
        <v>592</v>
      </c>
      <c r="W20" s="640">
        <f t="shared" si="5"/>
        <v>0</v>
      </c>
    </row>
    <row r="21" spans="1:23" x14ac:dyDescent="0.25">
      <c r="A21" s="240"/>
      <c r="B21" s="2">
        <v>27.22</v>
      </c>
      <c r="C21" s="15">
        <v>1</v>
      </c>
      <c r="D21" s="1031">
        <f t="shared" si="0"/>
        <v>27.22</v>
      </c>
      <c r="E21" s="1036">
        <v>44685</v>
      </c>
      <c r="F21" s="1033">
        <f t="shared" si="1"/>
        <v>27.22</v>
      </c>
      <c r="G21" s="1034" t="s">
        <v>377</v>
      </c>
      <c r="H21" s="1035">
        <v>59</v>
      </c>
      <c r="I21" s="638">
        <f t="shared" si="6"/>
        <v>16764.799999999996</v>
      </c>
      <c r="J21" s="639">
        <f t="shared" si="10"/>
        <v>616</v>
      </c>
      <c r="K21" s="640">
        <f t="shared" si="4"/>
        <v>1605.98</v>
      </c>
      <c r="M21" s="240"/>
      <c r="N21" s="2">
        <v>27.22</v>
      </c>
      <c r="O21" s="15"/>
      <c r="P21" s="389">
        <f t="shared" si="2"/>
        <v>0</v>
      </c>
      <c r="Q21" s="324"/>
      <c r="R21" s="69">
        <f t="shared" si="3"/>
        <v>0</v>
      </c>
      <c r="S21" s="70"/>
      <c r="T21" s="71"/>
      <c r="U21" s="638">
        <f t="shared" si="8"/>
        <v>16111.6</v>
      </c>
      <c r="V21" s="639">
        <f t="shared" si="11"/>
        <v>592</v>
      </c>
      <c r="W21" s="640">
        <f t="shared" si="5"/>
        <v>0</v>
      </c>
    </row>
    <row r="22" spans="1:23" x14ac:dyDescent="0.25">
      <c r="A22" s="240" t="s">
        <v>22</v>
      </c>
      <c r="B22" s="2">
        <v>27.22</v>
      </c>
      <c r="C22" s="15">
        <v>1</v>
      </c>
      <c r="D22" s="1031">
        <f t="shared" si="0"/>
        <v>27.22</v>
      </c>
      <c r="E22" s="1036">
        <v>44685</v>
      </c>
      <c r="F22" s="1033">
        <f t="shared" si="1"/>
        <v>27.22</v>
      </c>
      <c r="G22" s="1034" t="s">
        <v>381</v>
      </c>
      <c r="H22" s="1035">
        <v>59</v>
      </c>
      <c r="I22" s="638">
        <f t="shared" si="6"/>
        <v>16737.579999999994</v>
      </c>
      <c r="J22" s="639">
        <f t="shared" si="10"/>
        <v>615</v>
      </c>
      <c r="K22" s="640">
        <f t="shared" si="4"/>
        <v>1605.98</v>
      </c>
      <c r="M22" s="240" t="s">
        <v>22</v>
      </c>
      <c r="N22" s="2">
        <v>27.22</v>
      </c>
      <c r="O22" s="15"/>
      <c r="P22" s="389">
        <f t="shared" si="2"/>
        <v>0</v>
      </c>
      <c r="Q22" s="324"/>
      <c r="R22" s="69">
        <f t="shared" si="3"/>
        <v>0</v>
      </c>
      <c r="S22" s="70"/>
      <c r="T22" s="71"/>
      <c r="U22" s="638">
        <f t="shared" si="8"/>
        <v>16111.6</v>
      </c>
      <c r="V22" s="639">
        <f t="shared" si="11"/>
        <v>592</v>
      </c>
      <c r="W22" s="640">
        <f t="shared" si="5"/>
        <v>0</v>
      </c>
    </row>
    <row r="23" spans="1:23" x14ac:dyDescent="0.25">
      <c r="A23" s="240"/>
      <c r="B23" s="2">
        <v>27.22</v>
      </c>
      <c r="C23" s="15">
        <v>24</v>
      </c>
      <c r="D23" s="1031">
        <f t="shared" si="0"/>
        <v>653.28</v>
      </c>
      <c r="E23" s="1036">
        <v>44685</v>
      </c>
      <c r="F23" s="1033">
        <f t="shared" si="1"/>
        <v>653.28</v>
      </c>
      <c r="G23" s="1034" t="s">
        <v>383</v>
      </c>
      <c r="H23" s="1035">
        <v>59</v>
      </c>
      <c r="I23" s="638">
        <f t="shared" si="6"/>
        <v>16084.299999999994</v>
      </c>
      <c r="J23" s="639">
        <f t="shared" si="10"/>
        <v>591</v>
      </c>
      <c r="K23" s="640">
        <f t="shared" si="4"/>
        <v>38543.519999999997</v>
      </c>
      <c r="M23" s="240"/>
      <c r="N23" s="2">
        <v>27.22</v>
      </c>
      <c r="O23" s="15"/>
      <c r="P23" s="389">
        <f t="shared" si="2"/>
        <v>0</v>
      </c>
      <c r="Q23" s="324"/>
      <c r="R23" s="69">
        <f t="shared" si="3"/>
        <v>0</v>
      </c>
      <c r="S23" s="70"/>
      <c r="T23" s="71"/>
      <c r="U23" s="638">
        <f t="shared" si="8"/>
        <v>16111.6</v>
      </c>
      <c r="V23" s="639">
        <f t="shared" si="11"/>
        <v>592</v>
      </c>
      <c r="W23" s="640">
        <f t="shared" si="5"/>
        <v>0</v>
      </c>
    </row>
    <row r="24" spans="1:23" x14ac:dyDescent="0.25">
      <c r="A24" s="240"/>
      <c r="B24" s="2">
        <v>27.22</v>
      </c>
      <c r="C24" s="15">
        <v>32</v>
      </c>
      <c r="D24" s="1031">
        <f t="shared" si="0"/>
        <v>871.04</v>
      </c>
      <c r="E24" s="1032">
        <v>44686</v>
      </c>
      <c r="F24" s="1033">
        <f t="shared" si="1"/>
        <v>871.04</v>
      </c>
      <c r="G24" s="1034" t="s">
        <v>396</v>
      </c>
      <c r="H24" s="1035">
        <v>59</v>
      </c>
      <c r="I24" s="638">
        <f t="shared" si="6"/>
        <v>15213.259999999995</v>
      </c>
      <c r="J24" s="639">
        <f t="shared" si="10"/>
        <v>559</v>
      </c>
      <c r="K24" s="640">
        <f t="shared" si="4"/>
        <v>51391.360000000001</v>
      </c>
      <c r="M24" s="240"/>
      <c r="N24" s="2">
        <v>27.22</v>
      </c>
      <c r="O24" s="15"/>
      <c r="P24" s="389">
        <f t="shared" si="2"/>
        <v>0</v>
      </c>
      <c r="Q24" s="326"/>
      <c r="R24" s="69">
        <f t="shared" si="3"/>
        <v>0</v>
      </c>
      <c r="S24" s="70"/>
      <c r="T24" s="71"/>
      <c r="U24" s="638">
        <f t="shared" si="8"/>
        <v>16111.6</v>
      </c>
      <c r="V24" s="639">
        <f t="shared" si="11"/>
        <v>592</v>
      </c>
      <c r="W24" s="640">
        <f t="shared" si="5"/>
        <v>0</v>
      </c>
    </row>
    <row r="25" spans="1:23" x14ac:dyDescent="0.25">
      <c r="A25" s="240"/>
      <c r="B25" s="2">
        <v>27.22</v>
      </c>
      <c r="C25" s="15">
        <v>2</v>
      </c>
      <c r="D25" s="1031">
        <f t="shared" si="0"/>
        <v>54.44</v>
      </c>
      <c r="E25" s="1036">
        <v>44687</v>
      </c>
      <c r="F25" s="1033">
        <f t="shared" si="1"/>
        <v>54.44</v>
      </c>
      <c r="G25" s="1034" t="s">
        <v>397</v>
      </c>
      <c r="H25" s="1035">
        <v>59</v>
      </c>
      <c r="I25" s="638">
        <f t="shared" si="6"/>
        <v>15158.819999999994</v>
      </c>
      <c r="J25" s="639">
        <f t="shared" si="10"/>
        <v>557</v>
      </c>
      <c r="K25" s="640">
        <f t="shared" si="4"/>
        <v>3211.96</v>
      </c>
      <c r="M25" s="240"/>
      <c r="N25" s="2">
        <v>27.22</v>
      </c>
      <c r="O25" s="15"/>
      <c r="P25" s="389">
        <f t="shared" si="2"/>
        <v>0</v>
      </c>
      <c r="Q25" s="324"/>
      <c r="R25" s="69">
        <f t="shared" si="3"/>
        <v>0</v>
      </c>
      <c r="S25" s="70"/>
      <c r="T25" s="71"/>
      <c r="U25" s="638">
        <f t="shared" si="8"/>
        <v>16111.6</v>
      </c>
      <c r="V25" s="639">
        <f t="shared" si="11"/>
        <v>592</v>
      </c>
      <c r="W25" s="640">
        <f t="shared" si="5"/>
        <v>0</v>
      </c>
    </row>
    <row r="26" spans="1:23" x14ac:dyDescent="0.25">
      <c r="A26" s="240"/>
      <c r="B26" s="2">
        <v>27.22</v>
      </c>
      <c r="C26" s="15">
        <v>5</v>
      </c>
      <c r="D26" s="1031">
        <f t="shared" si="0"/>
        <v>136.1</v>
      </c>
      <c r="E26" s="1032">
        <v>44687</v>
      </c>
      <c r="F26" s="1033">
        <f t="shared" si="1"/>
        <v>136.1</v>
      </c>
      <c r="G26" s="1034" t="s">
        <v>399</v>
      </c>
      <c r="H26" s="1035">
        <v>59</v>
      </c>
      <c r="I26" s="638">
        <f t="shared" si="6"/>
        <v>15022.719999999994</v>
      </c>
      <c r="J26" s="639">
        <f t="shared" si="10"/>
        <v>552</v>
      </c>
      <c r="K26" s="640">
        <f t="shared" si="4"/>
        <v>8029.9</v>
      </c>
      <c r="M26" s="240"/>
      <c r="N26" s="2">
        <v>27.22</v>
      </c>
      <c r="O26" s="15"/>
      <c r="P26" s="389">
        <f t="shared" si="2"/>
        <v>0</v>
      </c>
      <c r="Q26" s="326"/>
      <c r="R26" s="69">
        <f t="shared" si="3"/>
        <v>0</v>
      </c>
      <c r="S26" s="70"/>
      <c r="T26" s="71"/>
      <c r="U26" s="638">
        <f t="shared" si="8"/>
        <v>16111.6</v>
      </c>
      <c r="V26" s="639">
        <f t="shared" si="11"/>
        <v>592</v>
      </c>
      <c r="W26" s="640">
        <f t="shared" si="5"/>
        <v>0</v>
      </c>
    </row>
    <row r="27" spans="1:23" x14ac:dyDescent="0.25">
      <c r="A27" s="240"/>
      <c r="B27" s="2">
        <v>27.22</v>
      </c>
      <c r="C27" s="15">
        <v>10</v>
      </c>
      <c r="D27" s="1031">
        <f t="shared" si="0"/>
        <v>272.2</v>
      </c>
      <c r="E27" s="1032">
        <v>44687</v>
      </c>
      <c r="F27" s="1033">
        <f t="shared" si="1"/>
        <v>272.2</v>
      </c>
      <c r="G27" s="1034" t="s">
        <v>400</v>
      </c>
      <c r="H27" s="1035">
        <v>59</v>
      </c>
      <c r="I27" s="638">
        <f t="shared" si="6"/>
        <v>14750.519999999993</v>
      </c>
      <c r="J27" s="639">
        <f t="shared" si="10"/>
        <v>542</v>
      </c>
      <c r="K27" s="640">
        <f t="shared" si="4"/>
        <v>16059.8</v>
      </c>
      <c r="M27" s="240"/>
      <c r="N27" s="2">
        <v>27.22</v>
      </c>
      <c r="O27" s="15"/>
      <c r="P27" s="389">
        <f t="shared" si="2"/>
        <v>0</v>
      </c>
      <c r="Q27" s="326"/>
      <c r="R27" s="69">
        <f t="shared" si="3"/>
        <v>0</v>
      </c>
      <c r="S27" s="70"/>
      <c r="T27" s="71"/>
      <c r="U27" s="638">
        <f t="shared" si="8"/>
        <v>16111.6</v>
      </c>
      <c r="V27" s="639">
        <f t="shared" si="11"/>
        <v>592</v>
      </c>
      <c r="W27" s="640">
        <f t="shared" si="5"/>
        <v>0</v>
      </c>
    </row>
    <row r="28" spans="1:23" x14ac:dyDescent="0.25">
      <c r="A28" s="240"/>
      <c r="B28" s="2">
        <v>27.22</v>
      </c>
      <c r="C28" s="15">
        <v>9</v>
      </c>
      <c r="D28" s="1031">
        <f t="shared" si="0"/>
        <v>244.98</v>
      </c>
      <c r="E28" s="1032">
        <v>44688</v>
      </c>
      <c r="F28" s="1033">
        <f t="shared" si="1"/>
        <v>244.98</v>
      </c>
      <c r="G28" s="1034" t="s">
        <v>408</v>
      </c>
      <c r="H28" s="1035">
        <v>59</v>
      </c>
      <c r="I28" s="638">
        <f t="shared" si="6"/>
        <v>14505.539999999994</v>
      </c>
      <c r="J28" s="639">
        <f t="shared" si="10"/>
        <v>533</v>
      </c>
      <c r="K28" s="640">
        <f t="shared" si="4"/>
        <v>14453.82</v>
      </c>
      <c r="M28" s="240"/>
      <c r="N28" s="2">
        <v>27.22</v>
      </c>
      <c r="O28" s="15"/>
      <c r="P28" s="389">
        <f t="shared" si="2"/>
        <v>0</v>
      </c>
      <c r="Q28" s="326"/>
      <c r="R28" s="69">
        <f t="shared" si="3"/>
        <v>0</v>
      </c>
      <c r="S28" s="70"/>
      <c r="T28" s="71"/>
      <c r="U28" s="638">
        <f t="shared" si="8"/>
        <v>16111.6</v>
      </c>
      <c r="V28" s="639">
        <f t="shared" si="11"/>
        <v>592</v>
      </c>
      <c r="W28" s="640">
        <f t="shared" si="5"/>
        <v>0</v>
      </c>
    </row>
    <row r="29" spans="1:23" x14ac:dyDescent="0.25">
      <c r="A29" s="240"/>
      <c r="B29" s="2">
        <v>27.22</v>
      </c>
      <c r="C29" s="15">
        <v>10</v>
      </c>
      <c r="D29" s="1031">
        <f t="shared" si="0"/>
        <v>272.2</v>
      </c>
      <c r="E29" s="1032">
        <v>44688</v>
      </c>
      <c r="F29" s="1033">
        <f t="shared" si="1"/>
        <v>272.2</v>
      </c>
      <c r="G29" s="1034" t="s">
        <v>414</v>
      </c>
      <c r="H29" s="1035">
        <v>59</v>
      </c>
      <c r="I29" s="638">
        <f t="shared" si="6"/>
        <v>14233.339999999993</v>
      </c>
      <c r="J29" s="641">
        <f t="shared" si="10"/>
        <v>523</v>
      </c>
      <c r="K29" s="640">
        <f t="shared" si="4"/>
        <v>16059.8</v>
      </c>
      <c r="M29" s="240"/>
      <c r="N29" s="2">
        <v>27.22</v>
      </c>
      <c r="O29" s="15"/>
      <c r="P29" s="389">
        <f t="shared" si="2"/>
        <v>0</v>
      </c>
      <c r="Q29" s="326"/>
      <c r="R29" s="69">
        <f t="shared" si="3"/>
        <v>0</v>
      </c>
      <c r="S29" s="70"/>
      <c r="T29" s="71"/>
      <c r="U29" s="638">
        <f t="shared" si="8"/>
        <v>16111.6</v>
      </c>
      <c r="V29" s="641">
        <f t="shared" si="11"/>
        <v>592</v>
      </c>
      <c r="W29" s="640">
        <f t="shared" si="5"/>
        <v>0</v>
      </c>
    </row>
    <row r="30" spans="1:23" x14ac:dyDescent="0.25">
      <c r="A30" s="240"/>
      <c r="B30" s="2">
        <v>27.22</v>
      </c>
      <c r="C30" s="15">
        <v>24</v>
      </c>
      <c r="D30" s="1031">
        <f t="shared" si="0"/>
        <v>653.28</v>
      </c>
      <c r="E30" s="1032">
        <v>44688</v>
      </c>
      <c r="F30" s="1033">
        <f t="shared" si="1"/>
        <v>653.28</v>
      </c>
      <c r="G30" s="1037" t="s">
        <v>419</v>
      </c>
      <c r="H30" s="1038">
        <v>59</v>
      </c>
      <c r="I30" s="638">
        <f t="shared" si="6"/>
        <v>13580.059999999992</v>
      </c>
      <c r="J30" s="641">
        <f t="shared" si="10"/>
        <v>499</v>
      </c>
      <c r="K30" s="640">
        <f t="shared" si="4"/>
        <v>38543.519999999997</v>
      </c>
      <c r="M30" s="240"/>
      <c r="N30" s="2">
        <v>27.22</v>
      </c>
      <c r="O30" s="15"/>
      <c r="P30" s="389">
        <f t="shared" si="2"/>
        <v>0</v>
      </c>
      <c r="Q30" s="326"/>
      <c r="R30" s="69">
        <f t="shared" si="3"/>
        <v>0</v>
      </c>
      <c r="S30" s="265"/>
      <c r="T30" s="266"/>
      <c r="U30" s="638">
        <f t="shared" si="8"/>
        <v>16111.6</v>
      </c>
      <c r="V30" s="641">
        <f t="shared" si="11"/>
        <v>592</v>
      </c>
      <c r="W30" s="640">
        <f t="shared" si="5"/>
        <v>0</v>
      </c>
    </row>
    <row r="31" spans="1:23" x14ac:dyDescent="0.25">
      <c r="A31" s="240"/>
      <c r="B31" s="2">
        <v>27.22</v>
      </c>
      <c r="C31" s="15">
        <v>3</v>
      </c>
      <c r="D31" s="1031">
        <f t="shared" si="0"/>
        <v>81.66</v>
      </c>
      <c r="E31" s="1032">
        <v>44690</v>
      </c>
      <c r="F31" s="1033">
        <f t="shared" si="1"/>
        <v>81.66</v>
      </c>
      <c r="G31" s="1037" t="s">
        <v>423</v>
      </c>
      <c r="H31" s="1038">
        <v>59</v>
      </c>
      <c r="I31" s="638">
        <f t="shared" si="6"/>
        <v>13498.399999999992</v>
      </c>
      <c r="J31" s="641">
        <f t="shared" si="10"/>
        <v>496</v>
      </c>
      <c r="K31" s="640">
        <f t="shared" si="4"/>
        <v>4817.9399999999996</v>
      </c>
      <c r="M31" s="240"/>
      <c r="N31" s="2">
        <v>27.22</v>
      </c>
      <c r="O31" s="15"/>
      <c r="P31" s="389">
        <f t="shared" si="2"/>
        <v>0</v>
      </c>
      <c r="Q31" s="326"/>
      <c r="R31" s="69">
        <f t="shared" si="3"/>
        <v>0</v>
      </c>
      <c r="S31" s="265"/>
      <c r="T31" s="266"/>
      <c r="U31" s="638">
        <f t="shared" si="8"/>
        <v>16111.6</v>
      </c>
      <c r="V31" s="641">
        <f t="shared" si="11"/>
        <v>592</v>
      </c>
      <c r="W31" s="640">
        <f t="shared" si="5"/>
        <v>0</v>
      </c>
    </row>
    <row r="32" spans="1:23" x14ac:dyDescent="0.25">
      <c r="B32" s="2">
        <v>27.22</v>
      </c>
      <c r="C32" s="15">
        <v>3</v>
      </c>
      <c r="D32" s="1031">
        <f t="shared" si="0"/>
        <v>81.66</v>
      </c>
      <c r="E32" s="1032">
        <v>44690</v>
      </c>
      <c r="F32" s="1033">
        <f t="shared" si="1"/>
        <v>81.66</v>
      </c>
      <c r="G32" s="1037" t="s">
        <v>424</v>
      </c>
      <c r="H32" s="1038">
        <v>59</v>
      </c>
      <c r="I32" s="638">
        <f t="shared" si="6"/>
        <v>13416.739999999993</v>
      </c>
      <c r="J32" s="641">
        <f t="shared" si="10"/>
        <v>493</v>
      </c>
      <c r="K32" s="640">
        <f t="shared" si="4"/>
        <v>4817.9399999999996</v>
      </c>
      <c r="N32" s="2">
        <v>27.22</v>
      </c>
      <c r="O32" s="15"/>
      <c r="P32" s="389">
        <f t="shared" si="2"/>
        <v>0</v>
      </c>
      <c r="Q32" s="326"/>
      <c r="R32" s="69">
        <f t="shared" si="3"/>
        <v>0</v>
      </c>
      <c r="S32" s="265"/>
      <c r="T32" s="266"/>
      <c r="U32" s="638">
        <f t="shared" si="8"/>
        <v>16111.6</v>
      </c>
      <c r="V32" s="641">
        <f t="shared" si="11"/>
        <v>592</v>
      </c>
      <c r="W32" s="640">
        <f t="shared" si="5"/>
        <v>0</v>
      </c>
    </row>
    <row r="33" spans="2:23" x14ac:dyDescent="0.25">
      <c r="B33" s="2">
        <v>27.22</v>
      </c>
      <c r="C33" s="15">
        <v>2</v>
      </c>
      <c r="D33" s="1031">
        <f t="shared" si="0"/>
        <v>54.44</v>
      </c>
      <c r="E33" s="1032">
        <v>44690</v>
      </c>
      <c r="F33" s="1033">
        <f t="shared" si="1"/>
        <v>54.44</v>
      </c>
      <c r="G33" s="1037" t="s">
        <v>425</v>
      </c>
      <c r="H33" s="1038">
        <v>59</v>
      </c>
      <c r="I33" s="638">
        <f t="shared" si="6"/>
        <v>13362.299999999992</v>
      </c>
      <c r="J33" s="641">
        <f t="shared" si="10"/>
        <v>491</v>
      </c>
      <c r="K33" s="640">
        <f t="shared" si="4"/>
        <v>3211.96</v>
      </c>
      <c r="N33" s="2">
        <v>27.22</v>
      </c>
      <c r="O33" s="15"/>
      <c r="P33" s="389">
        <f t="shared" si="2"/>
        <v>0</v>
      </c>
      <c r="Q33" s="326"/>
      <c r="R33" s="69">
        <f t="shared" si="3"/>
        <v>0</v>
      </c>
      <c r="S33" s="265"/>
      <c r="T33" s="266"/>
      <c r="U33" s="638">
        <f t="shared" si="8"/>
        <v>16111.6</v>
      </c>
      <c r="V33" s="641">
        <f t="shared" si="11"/>
        <v>592</v>
      </c>
      <c r="W33" s="640">
        <f t="shared" si="5"/>
        <v>0</v>
      </c>
    </row>
    <row r="34" spans="2:23" x14ac:dyDescent="0.25">
      <c r="B34" s="2">
        <v>27.22</v>
      </c>
      <c r="C34" s="15">
        <v>2</v>
      </c>
      <c r="D34" s="1031">
        <f t="shared" si="0"/>
        <v>54.44</v>
      </c>
      <c r="E34" s="1032">
        <v>44690</v>
      </c>
      <c r="F34" s="1033">
        <f t="shared" si="1"/>
        <v>54.44</v>
      </c>
      <c r="G34" s="1034" t="s">
        <v>426</v>
      </c>
      <c r="H34" s="1035">
        <v>59</v>
      </c>
      <c r="I34" s="638">
        <f t="shared" si="6"/>
        <v>13307.859999999991</v>
      </c>
      <c r="J34" s="639">
        <f t="shared" si="10"/>
        <v>489</v>
      </c>
      <c r="K34" s="640">
        <f t="shared" si="4"/>
        <v>3211.96</v>
      </c>
      <c r="N34" s="2">
        <v>27.22</v>
      </c>
      <c r="O34" s="15"/>
      <c r="P34" s="389">
        <f t="shared" si="2"/>
        <v>0</v>
      </c>
      <c r="Q34" s="326"/>
      <c r="R34" s="69">
        <f t="shared" si="3"/>
        <v>0</v>
      </c>
      <c r="S34" s="70"/>
      <c r="T34" s="71"/>
      <c r="U34" s="638">
        <f t="shared" si="8"/>
        <v>16111.6</v>
      </c>
      <c r="V34" s="639">
        <f t="shared" si="11"/>
        <v>592</v>
      </c>
      <c r="W34" s="640">
        <f t="shared" si="5"/>
        <v>0</v>
      </c>
    </row>
    <row r="35" spans="2:23" x14ac:dyDescent="0.25">
      <c r="B35" s="2">
        <v>27.22</v>
      </c>
      <c r="C35" s="15">
        <v>2</v>
      </c>
      <c r="D35" s="1031">
        <f t="shared" si="0"/>
        <v>54.44</v>
      </c>
      <c r="E35" s="1032">
        <v>44690</v>
      </c>
      <c r="F35" s="1033">
        <f t="shared" si="1"/>
        <v>54.44</v>
      </c>
      <c r="G35" s="1034" t="s">
        <v>428</v>
      </c>
      <c r="H35" s="1035">
        <v>59</v>
      </c>
      <c r="I35" s="638">
        <f t="shared" si="6"/>
        <v>13253.419999999991</v>
      </c>
      <c r="J35" s="639">
        <f t="shared" si="10"/>
        <v>487</v>
      </c>
      <c r="K35" s="640">
        <f t="shared" si="4"/>
        <v>3211.96</v>
      </c>
      <c r="N35" s="2">
        <v>27.22</v>
      </c>
      <c r="O35" s="15"/>
      <c r="P35" s="389">
        <f t="shared" si="2"/>
        <v>0</v>
      </c>
      <c r="Q35" s="326"/>
      <c r="R35" s="69">
        <f t="shared" si="3"/>
        <v>0</v>
      </c>
      <c r="S35" s="70"/>
      <c r="T35" s="71"/>
      <c r="U35" s="638">
        <f t="shared" si="8"/>
        <v>16111.6</v>
      </c>
      <c r="V35" s="639">
        <f t="shared" si="11"/>
        <v>592</v>
      </c>
      <c r="W35" s="640">
        <f t="shared" si="5"/>
        <v>0</v>
      </c>
    </row>
    <row r="36" spans="2:23" x14ac:dyDescent="0.25">
      <c r="B36" s="2">
        <v>27.22</v>
      </c>
      <c r="C36" s="15">
        <v>1</v>
      </c>
      <c r="D36" s="1031">
        <f t="shared" si="0"/>
        <v>27.22</v>
      </c>
      <c r="E36" s="1032">
        <v>44690</v>
      </c>
      <c r="F36" s="1033">
        <f t="shared" si="1"/>
        <v>27.22</v>
      </c>
      <c r="G36" s="1034" t="s">
        <v>430</v>
      </c>
      <c r="H36" s="1035">
        <v>59</v>
      </c>
      <c r="I36" s="638">
        <f t="shared" si="6"/>
        <v>13226.199999999992</v>
      </c>
      <c r="J36" s="639">
        <f t="shared" si="10"/>
        <v>486</v>
      </c>
      <c r="K36" s="640">
        <f t="shared" si="4"/>
        <v>1605.98</v>
      </c>
      <c r="N36" s="2">
        <v>27.22</v>
      </c>
      <c r="O36" s="15"/>
      <c r="P36" s="389">
        <f t="shared" si="2"/>
        <v>0</v>
      </c>
      <c r="Q36" s="326"/>
      <c r="R36" s="69">
        <f t="shared" si="3"/>
        <v>0</v>
      </c>
      <c r="S36" s="70"/>
      <c r="T36" s="71"/>
      <c r="U36" s="638">
        <f t="shared" si="8"/>
        <v>16111.6</v>
      </c>
      <c r="V36" s="639">
        <f t="shared" si="11"/>
        <v>592</v>
      </c>
      <c r="W36" s="640">
        <f t="shared" si="5"/>
        <v>0</v>
      </c>
    </row>
    <row r="37" spans="2:23" x14ac:dyDescent="0.25">
      <c r="B37" s="2">
        <v>27.22</v>
      </c>
      <c r="C37" s="15">
        <v>32</v>
      </c>
      <c r="D37" s="1033">
        <f t="shared" si="0"/>
        <v>871.04</v>
      </c>
      <c r="E37" s="1039">
        <v>44691</v>
      </c>
      <c r="F37" s="1033">
        <f t="shared" si="1"/>
        <v>871.04</v>
      </c>
      <c r="G37" s="1034" t="s">
        <v>438</v>
      </c>
      <c r="H37" s="1035">
        <v>59</v>
      </c>
      <c r="I37" s="638">
        <f t="shared" si="6"/>
        <v>12355.159999999993</v>
      </c>
      <c r="J37" s="639">
        <f t="shared" si="10"/>
        <v>454</v>
      </c>
      <c r="K37" s="640">
        <f t="shared" si="4"/>
        <v>51391.360000000001</v>
      </c>
      <c r="N37" s="2">
        <v>27.22</v>
      </c>
      <c r="O37" s="15"/>
      <c r="P37" s="69">
        <f t="shared" si="2"/>
        <v>0</v>
      </c>
      <c r="Q37" s="325"/>
      <c r="R37" s="69">
        <f t="shared" si="3"/>
        <v>0</v>
      </c>
      <c r="S37" s="70"/>
      <c r="T37" s="71"/>
      <c r="U37" s="638">
        <f t="shared" si="8"/>
        <v>16111.6</v>
      </c>
      <c r="V37" s="639">
        <f t="shared" si="11"/>
        <v>592</v>
      </c>
      <c r="W37" s="640">
        <f t="shared" si="5"/>
        <v>0</v>
      </c>
    </row>
    <row r="38" spans="2:23" x14ac:dyDescent="0.25">
      <c r="B38" s="2">
        <v>27.22</v>
      </c>
      <c r="C38" s="15">
        <v>3</v>
      </c>
      <c r="D38" s="1033">
        <f t="shared" si="0"/>
        <v>81.66</v>
      </c>
      <c r="E38" s="1039">
        <v>44692</v>
      </c>
      <c r="F38" s="1033">
        <f t="shared" si="1"/>
        <v>81.66</v>
      </c>
      <c r="G38" s="1034" t="s">
        <v>447</v>
      </c>
      <c r="H38" s="1035">
        <v>59</v>
      </c>
      <c r="I38" s="638">
        <f t="shared" si="6"/>
        <v>12273.499999999993</v>
      </c>
      <c r="J38" s="639">
        <f t="shared" si="10"/>
        <v>451</v>
      </c>
      <c r="K38" s="640">
        <f t="shared" si="4"/>
        <v>4817.9399999999996</v>
      </c>
      <c r="N38" s="2">
        <v>27.22</v>
      </c>
      <c r="O38" s="15"/>
      <c r="P38" s="69">
        <f t="shared" si="2"/>
        <v>0</v>
      </c>
      <c r="Q38" s="325"/>
      <c r="R38" s="69">
        <f t="shared" si="3"/>
        <v>0</v>
      </c>
      <c r="S38" s="70"/>
      <c r="T38" s="71"/>
      <c r="U38" s="638">
        <f t="shared" si="8"/>
        <v>16111.6</v>
      </c>
      <c r="V38" s="639">
        <f t="shared" si="11"/>
        <v>592</v>
      </c>
      <c r="W38" s="640">
        <f t="shared" si="5"/>
        <v>0</v>
      </c>
    </row>
    <row r="39" spans="2:23" x14ac:dyDescent="0.25">
      <c r="B39" s="2">
        <v>27.22</v>
      </c>
      <c r="C39" s="15">
        <v>1</v>
      </c>
      <c r="D39" s="1033">
        <f t="shared" si="0"/>
        <v>27.22</v>
      </c>
      <c r="E39" s="1039">
        <v>44692</v>
      </c>
      <c r="F39" s="1033">
        <f t="shared" si="1"/>
        <v>27.22</v>
      </c>
      <c r="G39" s="1034" t="s">
        <v>452</v>
      </c>
      <c r="H39" s="1035">
        <v>59</v>
      </c>
      <c r="I39" s="638">
        <f t="shared" si="6"/>
        <v>12246.279999999993</v>
      </c>
      <c r="J39" s="639">
        <f t="shared" si="10"/>
        <v>450</v>
      </c>
      <c r="K39" s="640">
        <f t="shared" si="4"/>
        <v>1605.98</v>
      </c>
      <c r="N39" s="2">
        <v>27.22</v>
      </c>
      <c r="O39" s="15"/>
      <c r="P39" s="69">
        <f t="shared" si="2"/>
        <v>0</v>
      </c>
      <c r="Q39" s="325"/>
      <c r="R39" s="69">
        <f t="shared" si="3"/>
        <v>0</v>
      </c>
      <c r="S39" s="70"/>
      <c r="T39" s="71"/>
      <c r="U39" s="638">
        <f t="shared" si="8"/>
        <v>16111.6</v>
      </c>
      <c r="V39" s="639">
        <f t="shared" si="11"/>
        <v>592</v>
      </c>
      <c r="W39" s="640">
        <f t="shared" si="5"/>
        <v>0</v>
      </c>
    </row>
    <row r="40" spans="2:23" x14ac:dyDescent="0.25">
      <c r="B40" s="2">
        <v>27.22</v>
      </c>
      <c r="C40" s="15">
        <v>32</v>
      </c>
      <c r="D40" s="1033">
        <f t="shared" si="0"/>
        <v>871.04</v>
      </c>
      <c r="E40" s="1039">
        <v>44692</v>
      </c>
      <c r="F40" s="1033">
        <f t="shared" si="1"/>
        <v>871.04</v>
      </c>
      <c r="G40" s="1034" t="s">
        <v>461</v>
      </c>
      <c r="H40" s="1035">
        <v>59</v>
      </c>
      <c r="I40" s="638">
        <f t="shared" si="6"/>
        <v>11375.239999999994</v>
      </c>
      <c r="J40" s="639">
        <f t="shared" si="10"/>
        <v>418</v>
      </c>
      <c r="K40" s="640">
        <f t="shared" si="4"/>
        <v>51391.360000000001</v>
      </c>
      <c r="N40" s="2">
        <v>27.22</v>
      </c>
      <c r="O40" s="15"/>
      <c r="P40" s="69">
        <f t="shared" si="2"/>
        <v>0</v>
      </c>
      <c r="Q40" s="325"/>
      <c r="R40" s="69">
        <f t="shared" si="3"/>
        <v>0</v>
      </c>
      <c r="S40" s="70"/>
      <c r="T40" s="71"/>
      <c r="U40" s="638">
        <f t="shared" si="8"/>
        <v>16111.6</v>
      </c>
      <c r="V40" s="639">
        <f t="shared" si="11"/>
        <v>592</v>
      </c>
      <c r="W40" s="640">
        <f t="shared" si="5"/>
        <v>0</v>
      </c>
    </row>
    <row r="41" spans="2:23" x14ac:dyDescent="0.25">
      <c r="B41" s="2">
        <v>27.22</v>
      </c>
      <c r="C41" s="15">
        <v>2</v>
      </c>
      <c r="D41" s="1033">
        <f t="shared" si="0"/>
        <v>54.44</v>
      </c>
      <c r="E41" s="1039">
        <v>44693</v>
      </c>
      <c r="F41" s="1033">
        <f t="shared" si="1"/>
        <v>54.44</v>
      </c>
      <c r="G41" s="1034" t="s">
        <v>460</v>
      </c>
      <c r="H41" s="1035">
        <v>59</v>
      </c>
      <c r="I41" s="638">
        <f t="shared" si="6"/>
        <v>11320.799999999994</v>
      </c>
      <c r="J41" s="639">
        <f t="shared" si="10"/>
        <v>416</v>
      </c>
      <c r="K41" s="640">
        <f t="shared" si="4"/>
        <v>3211.96</v>
      </c>
      <c r="N41" s="2">
        <v>27.22</v>
      </c>
      <c r="O41" s="15"/>
      <c r="P41" s="69">
        <f t="shared" si="2"/>
        <v>0</v>
      </c>
      <c r="Q41" s="325"/>
      <c r="R41" s="69">
        <f t="shared" si="3"/>
        <v>0</v>
      </c>
      <c r="S41" s="70"/>
      <c r="T41" s="71"/>
      <c r="U41" s="638">
        <f t="shared" si="8"/>
        <v>16111.6</v>
      </c>
      <c r="V41" s="639">
        <f t="shared" si="11"/>
        <v>592</v>
      </c>
      <c r="W41" s="640">
        <f t="shared" si="5"/>
        <v>0</v>
      </c>
    </row>
    <row r="42" spans="2:23" x14ac:dyDescent="0.25">
      <c r="B42" s="2">
        <v>27.22</v>
      </c>
      <c r="C42" s="15">
        <v>1</v>
      </c>
      <c r="D42" s="1033">
        <f t="shared" si="0"/>
        <v>27.22</v>
      </c>
      <c r="E42" s="1039">
        <v>44693</v>
      </c>
      <c r="F42" s="1033">
        <f t="shared" si="1"/>
        <v>27.22</v>
      </c>
      <c r="G42" s="1034" t="s">
        <v>464</v>
      </c>
      <c r="H42" s="1035">
        <v>59</v>
      </c>
      <c r="I42" s="638">
        <f t="shared" si="6"/>
        <v>11293.579999999994</v>
      </c>
      <c r="J42" s="639">
        <f t="shared" si="10"/>
        <v>415</v>
      </c>
      <c r="K42" s="640">
        <f t="shared" si="4"/>
        <v>1605.98</v>
      </c>
      <c r="N42" s="2">
        <v>27.22</v>
      </c>
      <c r="O42" s="15"/>
      <c r="P42" s="69">
        <f t="shared" si="2"/>
        <v>0</v>
      </c>
      <c r="Q42" s="325"/>
      <c r="R42" s="69">
        <f t="shared" si="3"/>
        <v>0</v>
      </c>
      <c r="S42" s="70"/>
      <c r="T42" s="71"/>
      <c r="U42" s="638">
        <f t="shared" si="8"/>
        <v>16111.6</v>
      </c>
      <c r="V42" s="639">
        <f t="shared" si="11"/>
        <v>592</v>
      </c>
      <c r="W42" s="640">
        <f t="shared" si="5"/>
        <v>0</v>
      </c>
    </row>
    <row r="43" spans="2:23" x14ac:dyDescent="0.25">
      <c r="B43" s="2">
        <v>27.22</v>
      </c>
      <c r="C43" s="15">
        <v>1</v>
      </c>
      <c r="D43" s="1033">
        <f t="shared" si="0"/>
        <v>27.22</v>
      </c>
      <c r="E43" s="1039">
        <v>44693</v>
      </c>
      <c r="F43" s="1033">
        <f t="shared" si="1"/>
        <v>27.22</v>
      </c>
      <c r="G43" s="1034" t="s">
        <v>469</v>
      </c>
      <c r="H43" s="1035">
        <v>59</v>
      </c>
      <c r="I43" s="638">
        <f t="shared" si="6"/>
        <v>11266.359999999995</v>
      </c>
      <c r="J43" s="639">
        <f t="shared" si="10"/>
        <v>414</v>
      </c>
      <c r="K43" s="640">
        <f t="shared" si="4"/>
        <v>1605.98</v>
      </c>
      <c r="N43" s="2">
        <v>27.22</v>
      </c>
      <c r="O43" s="15"/>
      <c r="P43" s="69">
        <f t="shared" si="2"/>
        <v>0</v>
      </c>
      <c r="Q43" s="325"/>
      <c r="R43" s="69">
        <f t="shared" si="3"/>
        <v>0</v>
      </c>
      <c r="S43" s="70"/>
      <c r="T43" s="71"/>
      <c r="U43" s="638">
        <f t="shared" si="8"/>
        <v>16111.6</v>
      </c>
      <c r="V43" s="639">
        <f t="shared" si="11"/>
        <v>592</v>
      </c>
      <c r="W43" s="640">
        <f t="shared" si="5"/>
        <v>0</v>
      </c>
    </row>
    <row r="44" spans="2:23" x14ac:dyDescent="0.25">
      <c r="B44" s="2">
        <v>27.22</v>
      </c>
      <c r="C44" s="15">
        <v>4</v>
      </c>
      <c r="D44" s="1033">
        <f t="shared" si="0"/>
        <v>108.88</v>
      </c>
      <c r="E44" s="1039">
        <v>44694</v>
      </c>
      <c r="F44" s="1033">
        <f t="shared" si="1"/>
        <v>108.88</v>
      </c>
      <c r="G44" s="1034" t="s">
        <v>471</v>
      </c>
      <c r="H44" s="1035">
        <v>59</v>
      </c>
      <c r="I44" s="638">
        <f t="shared" si="6"/>
        <v>11157.479999999996</v>
      </c>
      <c r="J44" s="639">
        <f t="shared" si="10"/>
        <v>410</v>
      </c>
      <c r="K44" s="640">
        <f t="shared" si="4"/>
        <v>6423.92</v>
      </c>
      <c r="N44" s="2">
        <v>27.22</v>
      </c>
      <c r="O44" s="15"/>
      <c r="P44" s="69">
        <f t="shared" si="2"/>
        <v>0</v>
      </c>
      <c r="Q44" s="325"/>
      <c r="R44" s="69">
        <f t="shared" si="3"/>
        <v>0</v>
      </c>
      <c r="S44" s="70"/>
      <c r="T44" s="71"/>
      <c r="U44" s="638">
        <f t="shared" si="8"/>
        <v>16111.6</v>
      </c>
      <c r="V44" s="639">
        <f t="shared" si="11"/>
        <v>592</v>
      </c>
      <c r="W44" s="640">
        <f t="shared" si="5"/>
        <v>0</v>
      </c>
    </row>
    <row r="45" spans="2:23" x14ac:dyDescent="0.25">
      <c r="B45" s="2">
        <v>27.22</v>
      </c>
      <c r="C45" s="15">
        <v>3</v>
      </c>
      <c r="D45" s="1033">
        <f t="shared" si="0"/>
        <v>81.66</v>
      </c>
      <c r="E45" s="1039">
        <v>44694</v>
      </c>
      <c r="F45" s="1033">
        <f t="shared" si="1"/>
        <v>81.66</v>
      </c>
      <c r="G45" s="1034" t="s">
        <v>472</v>
      </c>
      <c r="H45" s="1035">
        <v>59</v>
      </c>
      <c r="I45" s="638">
        <f t="shared" si="6"/>
        <v>11075.819999999996</v>
      </c>
      <c r="J45" s="639">
        <f t="shared" si="10"/>
        <v>407</v>
      </c>
      <c r="K45" s="640">
        <f t="shared" si="4"/>
        <v>4817.9399999999996</v>
      </c>
      <c r="N45" s="2">
        <v>27.22</v>
      </c>
      <c r="O45" s="15"/>
      <c r="P45" s="69">
        <f t="shared" si="2"/>
        <v>0</v>
      </c>
      <c r="Q45" s="325"/>
      <c r="R45" s="69">
        <f t="shared" si="3"/>
        <v>0</v>
      </c>
      <c r="S45" s="70"/>
      <c r="T45" s="71"/>
      <c r="U45" s="638">
        <f t="shared" si="8"/>
        <v>16111.6</v>
      </c>
      <c r="V45" s="639">
        <f t="shared" si="11"/>
        <v>592</v>
      </c>
      <c r="W45" s="640">
        <f t="shared" si="5"/>
        <v>0</v>
      </c>
    </row>
    <row r="46" spans="2:23" x14ac:dyDescent="0.25">
      <c r="B46" s="2">
        <v>27.22</v>
      </c>
      <c r="C46" s="15">
        <v>10</v>
      </c>
      <c r="D46" s="1033">
        <f t="shared" si="0"/>
        <v>272.2</v>
      </c>
      <c r="E46" s="1039">
        <v>44694</v>
      </c>
      <c r="F46" s="1033">
        <f t="shared" si="1"/>
        <v>272.2</v>
      </c>
      <c r="G46" s="1034" t="s">
        <v>473</v>
      </c>
      <c r="H46" s="1035">
        <v>59</v>
      </c>
      <c r="I46" s="638">
        <f t="shared" si="6"/>
        <v>10803.619999999995</v>
      </c>
      <c r="J46" s="639">
        <f t="shared" si="10"/>
        <v>397</v>
      </c>
      <c r="K46" s="640">
        <f t="shared" si="4"/>
        <v>16059.8</v>
      </c>
      <c r="N46" s="2">
        <v>27.22</v>
      </c>
      <c r="O46" s="15"/>
      <c r="P46" s="69">
        <f t="shared" si="2"/>
        <v>0</v>
      </c>
      <c r="Q46" s="325"/>
      <c r="R46" s="69">
        <f t="shared" si="3"/>
        <v>0</v>
      </c>
      <c r="S46" s="70"/>
      <c r="T46" s="71"/>
      <c r="U46" s="638">
        <f t="shared" si="8"/>
        <v>16111.6</v>
      </c>
      <c r="V46" s="639">
        <f t="shared" si="11"/>
        <v>592</v>
      </c>
      <c r="W46" s="640">
        <f t="shared" si="5"/>
        <v>0</v>
      </c>
    </row>
    <row r="47" spans="2:23" x14ac:dyDescent="0.25">
      <c r="B47" s="2">
        <v>27.22</v>
      </c>
      <c r="C47" s="15">
        <v>1</v>
      </c>
      <c r="D47" s="1033">
        <f t="shared" si="0"/>
        <v>27.22</v>
      </c>
      <c r="E47" s="1039">
        <v>44694</v>
      </c>
      <c r="F47" s="1033">
        <f t="shared" si="1"/>
        <v>27.22</v>
      </c>
      <c r="G47" s="1034" t="s">
        <v>474</v>
      </c>
      <c r="H47" s="1035">
        <v>59</v>
      </c>
      <c r="I47" s="638">
        <f t="shared" si="6"/>
        <v>10776.399999999996</v>
      </c>
      <c r="J47" s="639">
        <f t="shared" si="10"/>
        <v>396</v>
      </c>
      <c r="K47" s="640">
        <f t="shared" si="4"/>
        <v>1605.98</v>
      </c>
      <c r="N47" s="2">
        <v>27.22</v>
      </c>
      <c r="O47" s="15"/>
      <c r="P47" s="69">
        <f t="shared" si="2"/>
        <v>0</v>
      </c>
      <c r="Q47" s="325"/>
      <c r="R47" s="69">
        <f t="shared" si="3"/>
        <v>0</v>
      </c>
      <c r="S47" s="70"/>
      <c r="T47" s="71"/>
      <c r="U47" s="638">
        <f t="shared" si="8"/>
        <v>16111.6</v>
      </c>
      <c r="V47" s="639">
        <f t="shared" si="11"/>
        <v>592</v>
      </c>
      <c r="W47" s="640">
        <f t="shared" si="5"/>
        <v>0</v>
      </c>
    </row>
    <row r="48" spans="2:23" x14ac:dyDescent="0.25">
      <c r="B48" s="2">
        <v>27.22</v>
      </c>
      <c r="C48" s="15">
        <v>1</v>
      </c>
      <c r="D48" s="1033">
        <f t="shared" si="0"/>
        <v>27.22</v>
      </c>
      <c r="E48" s="1039">
        <v>44695</v>
      </c>
      <c r="F48" s="1033">
        <f t="shared" si="1"/>
        <v>27.22</v>
      </c>
      <c r="G48" s="1034" t="s">
        <v>485</v>
      </c>
      <c r="H48" s="1035">
        <v>59</v>
      </c>
      <c r="I48" s="638">
        <f t="shared" si="6"/>
        <v>10749.179999999997</v>
      </c>
      <c r="J48" s="639">
        <f t="shared" si="10"/>
        <v>395</v>
      </c>
      <c r="K48" s="640">
        <f t="shared" si="4"/>
        <v>1605.98</v>
      </c>
      <c r="N48" s="2">
        <v>27.22</v>
      </c>
      <c r="O48" s="15"/>
      <c r="P48" s="69">
        <f t="shared" si="2"/>
        <v>0</v>
      </c>
      <c r="Q48" s="325"/>
      <c r="R48" s="69">
        <f t="shared" si="3"/>
        <v>0</v>
      </c>
      <c r="S48" s="70"/>
      <c r="T48" s="71"/>
      <c r="U48" s="638">
        <f t="shared" si="8"/>
        <v>16111.6</v>
      </c>
      <c r="V48" s="639">
        <f t="shared" si="11"/>
        <v>592</v>
      </c>
      <c r="W48" s="640">
        <f t="shared" si="5"/>
        <v>0</v>
      </c>
    </row>
    <row r="49" spans="1:23" x14ac:dyDescent="0.25">
      <c r="B49" s="2">
        <v>27.22</v>
      </c>
      <c r="C49" s="15">
        <v>32</v>
      </c>
      <c r="D49" s="1033">
        <f t="shared" si="0"/>
        <v>871.04</v>
      </c>
      <c r="E49" s="1039">
        <v>44695</v>
      </c>
      <c r="F49" s="1033">
        <f t="shared" si="1"/>
        <v>871.04</v>
      </c>
      <c r="G49" s="1034" t="s">
        <v>457</v>
      </c>
      <c r="H49" s="1038">
        <v>59</v>
      </c>
      <c r="I49" s="638">
        <f t="shared" si="6"/>
        <v>9878.1399999999958</v>
      </c>
      <c r="J49" s="639">
        <f t="shared" si="10"/>
        <v>363</v>
      </c>
      <c r="K49" s="640">
        <f t="shared" si="4"/>
        <v>51391.360000000001</v>
      </c>
      <c r="N49" s="2">
        <v>27.22</v>
      </c>
      <c r="O49" s="15"/>
      <c r="P49" s="69">
        <f t="shared" si="2"/>
        <v>0</v>
      </c>
      <c r="Q49" s="325"/>
      <c r="R49" s="69">
        <f t="shared" si="3"/>
        <v>0</v>
      </c>
      <c r="S49" s="70"/>
      <c r="T49" s="266"/>
      <c r="U49" s="638">
        <f t="shared" si="8"/>
        <v>16111.6</v>
      </c>
      <c r="V49" s="639">
        <f t="shared" si="11"/>
        <v>592</v>
      </c>
      <c r="W49" s="640">
        <f t="shared" si="5"/>
        <v>0</v>
      </c>
    </row>
    <row r="50" spans="1:23" x14ac:dyDescent="0.25">
      <c r="B50" s="2">
        <v>27.22</v>
      </c>
      <c r="C50" s="15">
        <v>5</v>
      </c>
      <c r="D50" s="1033">
        <f t="shared" si="0"/>
        <v>136.1</v>
      </c>
      <c r="E50" s="1039">
        <v>44695</v>
      </c>
      <c r="F50" s="1033">
        <f t="shared" si="1"/>
        <v>136.1</v>
      </c>
      <c r="G50" s="1034" t="s">
        <v>491</v>
      </c>
      <c r="H50" s="1035">
        <v>59</v>
      </c>
      <c r="I50" s="638">
        <f t="shared" si="6"/>
        <v>9742.0399999999954</v>
      </c>
      <c r="J50" s="639">
        <f t="shared" si="10"/>
        <v>358</v>
      </c>
      <c r="K50" s="640">
        <f t="shared" si="4"/>
        <v>8029.9</v>
      </c>
      <c r="N50" s="2">
        <v>27.22</v>
      </c>
      <c r="O50" s="15"/>
      <c r="P50" s="69">
        <f t="shared" si="2"/>
        <v>0</v>
      </c>
      <c r="Q50" s="325"/>
      <c r="R50" s="69">
        <f t="shared" si="3"/>
        <v>0</v>
      </c>
      <c r="S50" s="70"/>
      <c r="T50" s="71"/>
      <c r="U50" s="638">
        <f t="shared" si="8"/>
        <v>16111.6</v>
      </c>
      <c r="V50" s="639">
        <f t="shared" si="11"/>
        <v>592</v>
      </c>
      <c r="W50" s="640">
        <f t="shared" si="5"/>
        <v>0</v>
      </c>
    </row>
    <row r="51" spans="1:23" x14ac:dyDescent="0.25">
      <c r="B51" s="2">
        <v>27.22</v>
      </c>
      <c r="C51" s="15">
        <v>3</v>
      </c>
      <c r="D51" s="1033">
        <f t="shared" si="0"/>
        <v>81.66</v>
      </c>
      <c r="E51" s="1039">
        <v>44697</v>
      </c>
      <c r="F51" s="1033">
        <f t="shared" si="1"/>
        <v>81.66</v>
      </c>
      <c r="G51" s="1034" t="s">
        <v>508</v>
      </c>
      <c r="H51" s="1035">
        <v>59</v>
      </c>
      <c r="I51" s="638">
        <f t="shared" si="6"/>
        <v>9660.3799999999956</v>
      </c>
      <c r="J51" s="639">
        <f t="shared" si="10"/>
        <v>355</v>
      </c>
      <c r="K51" s="640">
        <f t="shared" si="4"/>
        <v>4817.9399999999996</v>
      </c>
      <c r="N51" s="2">
        <v>27.22</v>
      </c>
      <c r="O51" s="15"/>
      <c r="P51" s="69">
        <f t="shared" si="2"/>
        <v>0</v>
      </c>
      <c r="Q51" s="325"/>
      <c r="R51" s="69">
        <f t="shared" si="3"/>
        <v>0</v>
      </c>
      <c r="S51" s="70"/>
      <c r="T51" s="71"/>
      <c r="U51" s="638">
        <f t="shared" si="8"/>
        <v>16111.6</v>
      </c>
      <c r="V51" s="639">
        <f t="shared" si="11"/>
        <v>592</v>
      </c>
      <c r="W51" s="640">
        <f t="shared" si="5"/>
        <v>0</v>
      </c>
    </row>
    <row r="52" spans="1:23" x14ac:dyDescent="0.25">
      <c r="B52" s="2">
        <v>27.22</v>
      </c>
      <c r="C52" s="15">
        <v>28</v>
      </c>
      <c r="D52" s="1033">
        <f t="shared" si="0"/>
        <v>762.16</v>
      </c>
      <c r="E52" s="1039">
        <v>44697</v>
      </c>
      <c r="F52" s="1033">
        <f t="shared" si="1"/>
        <v>762.16</v>
      </c>
      <c r="G52" s="1034" t="s">
        <v>510</v>
      </c>
      <c r="H52" s="1035">
        <v>59</v>
      </c>
      <c r="I52" s="638">
        <f t="shared" si="6"/>
        <v>8898.2199999999957</v>
      </c>
      <c r="J52" s="639">
        <f t="shared" si="10"/>
        <v>327</v>
      </c>
      <c r="K52" s="640">
        <f t="shared" si="4"/>
        <v>44967.439999999995</v>
      </c>
      <c r="N52" s="2">
        <v>27.22</v>
      </c>
      <c r="O52" s="15"/>
      <c r="P52" s="69">
        <f t="shared" si="2"/>
        <v>0</v>
      </c>
      <c r="Q52" s="325"/>
      <c r="R52" s="69">
        <f t="shared" si="3"/>
        <v>0</v>
      </c>
      <c r="S52" s="70"/>
      <c r="T52" s="71"/>
      <c r="U52" s="638">
        <f t="shared" si="8"/>
        <v>16111.6</v>
      </c>
      <c r="V52" s="639">
        <f t="shared" si="11"/>
        <v>592</v>
      </c>
      <c r="W52" s="640">
        <f t="shared" si="5"/>
        <v>0</v>
      </c>
    </row>
    <row r="53" spans="1:23" x14ac:dyDescent="0.25">
      <c r="B53" s="2">
        <v>27.22</v>
      </c>
      <c r="C53" s="15">
        <v>3</v>
      </c>
      <c r="D53" s="1033">
        <f t="shared" si="0"/>
        <v>81.66</v>
      </c>
      <c r="E53" s="1039">
        <v>44698</v>
      </c>
      <c r="F53" s="1033">
        <f t="shared" si="1"/>
        <v>81.66</v>
      </c>
      <c r="G53" s="1034" t="s">
        <v>492</v>
      </c>
      <c r="H53" s="1035">
        <v>59</v>
      </c>
      <c r="I53" s="638">
        <f t="shared" si="6"/>
        <v>8816.5599999999959</v>
      </c>
      <c r="J53" s="639">
        <f t="shared" si="10"/>
        <v>324</v>
      </c>
      <c r="K53" s="640">
        <f t="shared" si="4"/>
        <v>4817.9399999999996</v>
      </c>
      <c r="N53" s="2">
        <v>27.22</v>
      </c>
      <c r="O53" s="15"/>
      <c r="P53" s="69">
        <f t="shared" si="2"/>
        <v>0</v>
      </c>
      <c r="Q53" s="325"/>
      <c r="R53" s="69">
        <f t="shared" si="3"/>
        <v>0</v>
      </c>
      <c r="S53" s="70"/>
      <c r="T53" s="71"/>
      <c r="U53" s="638">
        <f t="shared" si="8"/>
        <v>16111.6</v>
      </c>
      <c r="V53" s="639">
        <f t="shared" si="11"/>
        <v>592</v>
      </c>
      <c r="W53" s="640">
        <f t="shared" si="5"/>
        <v>0</v>
      </c>
    </row>
    <row r="54" spans="1:23" x14ac:dyDescent="0.25">
      <c r="B54" s="2">
        <v>27.22</v>
      </c>
      <c r="C54" s="15">
        <v>5</v>
      </c>
      <c r="D54" s="1033">
        <f t="shared" si="0"/>
        <v>136.1</v>
      </c>
      <c r="E54" s="1039">
        <v>44698</v>
      </c>
      <c r="F54" s="1033">
        <f t="shared" si="1"/>
        <v>136.1</v>
      </c>
      <c r="G54" s="1034" t="s">
        <v>501</v>
      </c>
      <c r="H54" s="1035">
        <v>59</v>
      </c>
      <c r="I54" s="638">
        <f t="shared" si="6"/>
        <v>8680.4599999999955</v>
      </c>
      <c r="J54" s="639">
        <f t="shared" si="10"/>
        <v>319</v>
      </c>
      <c r="K54" s="640">
        <f t="shared" si="4"/>
        <v>8029.9</v>
      </c>
      <c r="N54" s="2">
        <v>27.22</v>
      </c>
      <c r="O54" s="15"/>
      <c r="P54" s="69">
        <f t="shared" si="2"/>
        <v>0</v>
      </c>
      <c r="Q54" s="325"/>
      <c r="R54" s="69">
        <f t="shared" si="3"/>
        <v>0</v>
      </c>
      <c r="S54" s="70"/>
      <c r="T54" s="71"/>
      <c r="U54" s="638">
        <f t="shared" si="8"/>
        <v>16111.6</v>
      </c>
      <c r="V54" s="639">
        <f t="shared" si="11"/>
        <v>592</v>
      </c>
      <c r="W54" s="640">
        <f t="shared" si="5"/>
        <v>0</v>
      </c>
    </row>
    <row r="55" spans="1:23" x14ac:dyDescent="0.25">
      <c r="B55" s="2">
        <v>27.22</v>
      </c>
      <c r="C55" s="15">
        <v>3</v>
      </c>
      <c r="D55" s="1033">
        <f t="shared" si="0"/>
        <v>81.66</v>
      </c>
      <c r="E55" s="1039">
        <v>44699</v>
      </c>
      <c r="F55" s="1033">
        <f t="shared" si="1"/>
        <v>81.66</v>
      </c>
      <c r="G55" s="1034" t="s">
        <v>519</v>
      </c>
      <c r="H55" s="1035">
        <v>59</v>
      </c>
      <c r="I55" s="638">
        <f t="shared" si="6"/>
        <v>8598.7999999999956</v>
      </c>
      <c r="J55" s="639">
        <f t="shared" si="10"/>
        <v>316</v>
      </c>
      <c r="K55" s="640">
        <f t="shared" si="4"/>
        <v>4817.9399999999996</v>
      </c>
      <c r="N55" s="2">
        <v>27.22</v>
      </c>
      <c r="O55" s="15"/>
      <c r="P55" s="69">
        <f t="shared" si="2"/>
        <v>0</v>
      </c>
      <c r="Q55" s="325"/>
      <c r="R55" s="69">
        <f t="shared" si="3"/>
        <v>0</v>
      </c>
      <c r="S55" s="70"/>
      <c r="T55" s="71"/>
      <c r="U55" s="638">
        <f t="shared" si="8"/>
        <v>16111.6</v>
      </c>
      <c r="V55" s="639">
        <f t="shared" si="11"/>
        <v>592</v>
      </c>
      <c r="W55" s="640">
        <f t="shared" si="5"/>
        <v>0</v>
      </c>
    </row>
    <row r="56" spans="1:23" x14ac:dyDescent="0.25">
      <c r="B56" s="2">
        <v>27.22</v>
      </c>
      <c r="C56" s="15">
        <v>1</v>
      </c>
      <c r="D56" s="1033">
        <f t="shared" si="0"/>
        <v>27.22</v>
      </c>
      <c r="E56" s="1039">
        <v>44699</v>
      </c>
      <c r="F56" s="1033">
        <f t="shared" si="1"/>
        <v>27.22</v>
      </c>
      <c r="G56" s="1034" t="s">
        <v>520</v>
      </c>
      <c r="H56" s="1035">
        <v>59</v>
      </c>
      <c r="I56" s="638">
        <f t="shared" si="6"/>
        <v>8571.5799999999963</v>
      </c>
      <c r="J56" s="639">
        <f t="shared" si="10"/>
        <v>315</v>
      </c>
      <c r="K56" s="640">
        <f t="shared" si="4"/>
        <v>1605.98</v>
      </c>
      <c r="N56" s="2">
        <v>27.22</v>
      </c>
      <c r="O56" s="15"/>
      <c r="P56" s="69">
        <f t="shared" si="2"/>
        <v>0</v>
      </c>
      <c r="Q56" s="325"/>
      <c r="R56" s="69">
        <f t="shared" si="3"/>
        <v>0</v>
      </c>
      <c r="S56" s="70"/>
      <c r="T56" s="71"/>
      <c r="U56" s="638">
        <f t="shared" si="8"/>
        <v>16111.6</v>
      </c>
      <c r="V56" s="639">
        <f t="shared" si="11"/>
        <v>592</v>
      </c>
      <c r="W56" s="640">
        <f t="shared" si="5"/>
        <v>0</v>
      </c>
    </row>
    <row r="57" spans="1:23" x14ac:dyDescent="0.25">
      <c r="B57" s="2">
        <v>27.22</v>
      </c>
      <c r="C57" s="15">
        <v>32</v>
      </c>
      <c r="D57" s="1033">
        <f t="shared" si="0"/>
        <v>871.04</v>
      </c>
      <c r="E57" s="1039">
        <v>44699</v>
      </c>
      <c r="F57" s="1033">
        <f t="shared" si="1"/>
        <v>871.04</v>
      </c>
      <c r="G57" s="1034" t="s">
        <v>521</v>
      </c>
      <c r="H57" s="1035">
        <v>59</v>
      </c>
      <c r="I57" s="638">
        <f t="shared" si="6"/>
        <v>7700.5399999999963</v>
      </c>
      <c r="J57" s="639">
        <f t="shared" si="10"/>
        <v>283</v>
      </c>
      <c r="K57" s="640">
        <f t="shared" si="4"/>
        <v>51391.360000000001</v>
      </c>
      <c r="N57" s="2">
        <v>27.22</v>
      </c>
      <c r="O57" s="15"/>
      <c r="P57" s="69">
        <f t="shared" si="2"/>
        <v>0</v>
      </c>
      <c r="Q57" s="325"/>
      <c r="R57" s="69">
        <f t="shared" si="3"/>
        <v>0</v>
      </c>
      <c r="S57" s="70"/>
      <c r="T57" s="71"/>
      <c r="U57" s="638">
        <f t="shared" si="8"/>
        <v>16111.6</v>
      </c>
      <c r="V57" s="639">
        <f t="shared" si="11"/>
        <v>592</v>
      </c>
      <c r="W57" s="640">
        <f t="shared" si="5"/>
        <v>0</v>
      </c>
    </row>
    <row r="58" spans="1:23" x14ac:dyDescent="0.25">
      <c r="B58" s="2">
        <v>27.22</v>
      </c>
      <c r="C58" s="15">
        <v>10</v>
      </c>
      <c r="D58" s="1033">
        <f t="shared" si="0"/>
        <v>272.2</v>
      </c>
      <c r="E58" s="1039">
        <v>44699</v>
      </c>
      <c r="F58" s="1033">
        <f t="shared" si="1"/>
        <v>272.2</v>
      </c>
      <c r="G58" s="1034" t="s">
        <v>522</v>
      </c>
      <c r="H58" s="1035">
        <v>59</v>
      </c>
      <c r="I58" s="638">
        <f t="shared" si="6"/>
        <v>7428.3399999999965</v>
      </c>
      <c r="J58" s="639">
        <f t="shared" si="10"/>
        <v>273</v>
      </c>
      <c r="K58" s="640">
        <f t="shared" si="4"/>
        <v>16059.8</v>
      </c>
      <c r="N58" s="2">
        <v>27.22</v>
      </c>
      <c r="O58" s="15"/>
      <c r="P58" s="69">
        <f t="shared" si="2"/>
        <v>0</v>
      </c>
      <c r="Q58" s="325"/>
      <c r="R58" s="69">
        <f t="shared" si="3"/>
        <v>0</v>
      </c>
      <c r="S58" s="70"/>
      <c r="T58" s="71"/>
      <c r="U58" s="638">
        <f t="shared" si="8"/>
        <v>16111.6</v>
      </c>
      <c r="V58" s="639">
        <f t="shared" si="11"/>
        <v>592</v>
      </c>
      <c r="W58" s="640">
        <f t="shared" si="5"/>
        <v>0</v>
      </c>
    </row>
    <row r="59" spans="1:23" x14ac:dyDescent="0.25">
      <c r="B59" s="2">
        <v>27.22</v>
      </c>
      <c r="C59" s="15">
        <v>1</v>
      </c>
      <c r="D59" s="1033">
        <f t="shared" si="0"/>
        <v>27.22</v>
      </c>
      <c r="E59" s="1039">
        <v>44699</v>
      </c>
      <c r="F59" s="1033">
        <f t="shared" si="1"/>
        <v>27.22</v>
      </c>
      <c r="G59" s="1034" t="s">
        <v>523</v>
      </c>
      <c r="H59" s="1035">
        <v>59</v>
      </c>
      <c r="I59" s="638">
        <f t="shared" si="6"/>
        <v>7401.1199999999963</v>
      </c>
      <c r="J59" s="639">
        <f t="shared" si="10"/>
        <v>272</v>
      </c>
      <c r="K59" s="640">
        <f t="shared" si="4"/>
        <v>1605.98</v>
      </c>
      <c r="N59" s="2">
        <v>27.22</v>
      </c>
      <c r="O59" s="15"/>
      <c r="P59" s="69">
        <f t="shared" si="2"/>
        <v>0</v>
      </c>
      <c r="Q59" s="325"/>
      <c r="R59" s="69">
        <f t="shared" si="3"/>
        <v>0</v>
      </c>
      <c r="S59" s="70"/>
      <c r="T59" s="71"/>
      <c r="U59" s="638">
        <f t="shared" si="8"/>
        <v>16111.6</v>
      </c>
      <c r="V59" s="639">
        <f t="shared" si="11"/>
        <v>592</v>
      </c>
      <c r="W59" s="640">
        <f t="shared" si="5"/>
        <v>0</v>
      </c>
    </row>
    <row r="60" spans="1:23" ht="15.75" thickBot="1" x14ac:dyDescent="0.3">
      <c r="A60" s="120"/>
      <c r="B60" s="2">
        <v>27.22</v>
      </c>
      <c r="C60" s="15">
        <v>32</v>
      </c>
      <c r="D60" s="1033">
        <f t="shared" si="0"/>
        <v>871.04</v>
      </c>
      <c r="E60" s="1039">
        <v>44699</v>
      </c>
      <c r="F60" s="1033">
        <f t="shared" si="1"/>
        <v>871.04</v>
      </c>
      <c r="G60" s="1034" t="s">
        <v>533</v>
      </c>
      <c r="H60" s="1035">
        <v>59</v>
      </c>
      <c r="I60" s="638">
        <f t="shared" si="6"/>
        <v>6530.0799999999963</v>
      </c>
      <c r="J60" s="639">
        <f t="shared" si="10"/>
        <v>240</v>
      </c>
      <c r="K60" s="640">
        <f t="shared" si="4"/>
        <v>51391.360000000001</v>
      </c>
      <c r="M60" s="120"/>
      <c r="N60" s="2">
        <v>27.22</v>
      </c>
      <c r="O60" s="15"/>
      <c r="P60" s="69">
        <f t="shared" si="2"/>
        <v>0</v>
      </c>
      <c r="Q60" s="325"/>
      <c r="R60" s="69">
        <f t="shared" si="3"/>
        <v>0</v>
      </c>
      <c r="S60" s="70"/>
      <c r="T60" s="71"/>
      <c r="U60" s="638">
        <f t="shared" si="8"/>
        <v>16111.6</v>
      </c>
      <c r="V60" s="639">
        <f t="shared" si="11"/>
        <v>592</v>
      </c>
      <c r="W60" s="640">
        <f t="shared" si="5"/>
        <v>0</v>
      </c>
    </row>
    <row r="61" spans="1:23" ht="15.75" thickTop="1" x14ac:dyDescent="0.25">
      <c r="A61" s="317"/>
      <c r="B61" s="2">
        <v>27.22</v>
      </c>
      <c r="C61" s="15">
        <v>32</v>
      </c>
      <c r="D61" s="1033">
        <f t="shared" si="0"/>
        <v>871.04</v>
      </c>
      <c r="E61" s="1039">
        <v>44701</v>
      </c>
      <c r="F61" s="1033">
        <f t="shared" si="1"/>
        <v>871.04</v>
      </c>
      <c r="G61" s="1034" t="s">
        <v>543</v>
      </c>
      <c r="H61" s="1035">
        <v>59</v>
      </c>
      <c r="I61" s="638">
        <f t="shared" si="6"/>
        <v>5659.0399999999963</v>
      </c>
      <c r="J61" s="639">
        <f t="shared" si="10"/>
        <v>208</v>
      </c>
      <c r="K61" s="640">
        <f t="shared" si="4"/>
        <v>51391.360000000001</v>
      </c>
      <c r="M61" s="317"/>
      <c r="N61" s="2">
        <v>27.22</v>
      </c>
      <c r="O61" s="15"/>
      <c r="P61" s="69">
        <f t="shared" si="2"/>
        <v>0</v>
      </c>
      <c r="Q61" s="325"/>
      <c r="R61" s="69">
        <f t="shared" si="3"/>
        <v>0</v>
      </c>
      <c r="S61" s="70"/>
      <c r="T61" s="71"/>
      <c r="U61" s="638">
        <f t="shared" si="8"/>
        <v>16111.6</v>
      </c>
      <c r="V61" s="639">
        <f t="shared" si="11"/>
        <v>592</v>
      </c>
      <c r="W61" s="640">
        <f t="shared" si="5"/>
        <v>0</v>
      </c>
    </row>
    <row r="62" spans="1:23" x14ac:dyDescent="0.25">
      <c r="A62" s="317"/>
      <c r="B62" s="2">
        <v>27.22</v>
      </c>
      <c r="C62" s="15">
        <v>5</v>
      </c>
      <c r="D62" s="1033">
        <f t="shared" si="0"/>
        <v>136.1</v>
      </c>
      <c r="E62" s="1039">
        <v>44702</v>
      </c>
      <c r="F62" s="1033">
        <f t="shared" si="1"/>
        <v>136.1</v>
      </c>
      <c r="G62" s="1034" t="s">
        <v>546</v>
      </c>
      <c r="H62" s="1035">
        <v>59</v>
      </c>
      <c r="I62" s="638">
        <f t="shared" si="6"/>
        <v>5522.939999999996</v>
      </c>
      <c r="J62" s="639">
        <f t="shared" si="10"/>
        <v>203</v>
      </c>
      <c r="K62" s="640">
        <f t="shared" si="4"/>
        <v>8029.9</v>
      </c>
      <c r="M62" s="317"/>
      <c r="N62" s="2">
        <v>27.22</v>
      </c>
      <c r="O62" s="15"/>
      <c r="P62" s="69">
        <f t="shared" si="2"/>
        <v>0</v>
      </c>
      <c r="Q62" s="325"/>
      <c r="R62" s="69">
        <f t="shared" si="3"/>
        <v>0</v>
      </c>
      <c r="S62" s="70"/>
      <c r="T62" s="71"/>
      <c r="U62" s="638">
        <f t="shared" si="8"/>
        <v>16111.6</v>
      </c>
      <c r="V62" s="639">
        <f t="shared" si="11"/>
        <v>592</v>
      </c>
      <c r="W62" s="640">
        <f t="shared" si="5"/>
        <v>0</v>
      </c>
    </row>
    <row r="63" spans="1:23" x14ac:dyDescent="0.25">
      <c r="A63" s="317"/>
      <c r="B63" s="2">
        <v>27.22</v>
      </c>
      <c r="C63" s="15">
        <v>28</v>
      </c>
      <c r="D63" s="1033">
        <f t="shared" si="0"/>
        <v>762.16</v>
      </c>
      <c r="E63" s="1039">
        <v>44702</v>
      </c>
      <c r="F63" s="1033">
        <f t="shared" si="1"/>
        <v>762.16</v>
      </c>
      <c r="G63" s="1034" t="s">
        <v>554</v>
      </c>
      <c r="H63" s="1035">
        <v>59</v>
      </c>
      <c r="I63" s="638">
        <f t="shared" si="6"/>
        <v>4760.7799999999961</v>
      </c>
      <c r="J63" s="639">
        <f t="shared" si="10"/>
        <v>175</v>
      </c>
      <c r="K63" s="640">
        <f t="shared" si="4"/>
        <v>44967.439999999995</v>
      </c>
      <c r="M63" s="317"/>
      <c r="N63" s="2">
        <v>27.22</v>
      </c>
      <c r="O63" s="15"/>
      <c r="P63" s="69">
        <f t="shared" si="2"/>
        <v>0</v>
      </c>
      <c r="Q63" s="325"/>
      <c r="R63" s="69">
        <f t="shared" si="3"/>
        <v>0</v>
      </c>
      <c r="S63" s="70"/>
      <c r="T63" s="71"/>
      <c r="U63" s="638">
        <f t="shared" si="8"/>
        <v>16111.6</v>
      </c>
      <c r="V63" s="639">
        <f t="shared" si="11"/>
        <v>592</v>
      </c>
      <c r="W63" s="640">
        <f t="shared" si="5"/>
        <v>0</v>
      </c>
    </row>
    <row r="64" spans="1:23" x14ac:dyDescent="0.25">
      <c r="A64" s="317"/>
      <c r="B64" s="2">
        <v>27.22</v>
      </c>
      <c r="C64" s="15"/>
      <c r="D64" s="1033">
        <f t="shared" si="0"/>
        <v>0</v>
      </c>
      <c r="E64" s="1039"/>
      <c r="F64" s="1033">
        <f t="shared" si="1"/>
        <v>0</v>
      </c>
      <c r="G64" s="1034"/>
      <c r="H64" s="1035"/>
      <c r="I64" s="638">
        <f t="shared" si="6"/>
        <v>4760.7799999999961</v>
      </c>
      <c r="J64" s="639">
        <f t="shared" si="10"/>
        <v>175</v>
      </c>
      <c r="K64" s="640">
        <f t="shared" si="4"/>
        <v>0</v>
      </c>
      <c r="M64" s="317"/>
      <c r="N64" s="2">
        <v>27.22</v>
      </c>
      <c r="O64" s="15"/>
      <c r="P64" s="69">
        <f t="shared" si="2"/>
        <v>0</v>
      </c>
      <c r="Q64" s="325"/>
      <c r="R64" s="69">
        <f t="shared" si="3"/>
        <v>0</v>
      </c>
      <c r="S64" s="70"/>
      <c r="T64" s="71"/>
      <c r="U64" s="638">
        <f t="shared" si="8"/>
        <v>16111.6</v>
      </c>
      <c r="V64" s="639">
        <f t="shared" si="11"/>
        <v>592</v>
      </c>
      <c r="W64" s="640">
        <f t="shared" si="5"/>
        <v>0</v>
      </c>
    </row>
    <row r="65" spans="1:23" x14ac:dyDescent="0.25">
      <c r="A65" s="317"/>
      <c r="B65" s="2">
        <v>27.22</v>
      </c>
      <c r="C65" s="15"/>
      <c r="D65" s="1033">
        <f t="shared" si="0"/>
        <v>0</v>
      </c>
      <c r="E65" s="1039"/>
      <c r="F65" s="1033">
        <f t="shared" si="1"/>
        <v>0</v>
      </c>
      <c r="G65" s="1034"/>
      <c r="H65" s="1035"/>
      <c r="I65" s="638">
        <f t="shared" si="6"/>
        <v>4760.7799999999961</v>
      </c>
      <c r="J65" s="639">
        <f t="shared" si="10"/>
        <v>175</v>
      </c>
      <c r="K65" s="640">
        <f t="shared" si="4"/>
        <v>0</v>
      </c>
      <c r="M65" s="317"/>
      <c r="N65" s="2">
        <v>27.22</v>
      </c>
      <c r="O65" s="15"/>
      <c r="P65" s="69">
        <f t="shared" si="2"/>
        <v>0</v>
      </c>
      <c r="Q65" s="325"/>
      <c r="R65" s="69">
        <f t="shared" si="3"/>
        <v>0</v>
      </c>
      <c r="S65" s="70"/>
      <c r="T65" s="71"/>
      <c r="U65" s="638">
        <f t="shared" si="8"/>
        <v>16111.6</v>
      </c>
      <c r="V65" s="639">
        <f t="shared" si="11"/>
        <v>592</v>
      </c>
      <c r="W65" s="640">
        <f t="shared" si="5"/>
        <v>0</v>
      </c>
    </row>
    <row r="66" spans="1:23" x14ac:dyDescent="0.25">
      <c r="A66" s="317"/>
      <c r="B66" s="2">
        <v>27.22</v>
      </c>
      <c r="C66" s="15"/>
      <c r="D66" s="1033">
        <f t="shared" si="0"/>
        <v>0</v>
      </c>
      <c r="E66" s="1039"/>
      <c r="F66" s="1033">
        <f t="shared" si="1"/>
        <v>0</v>
      </c>
      <c r="G66" s="1034"/>
      <c r="H66" s="1035"/>
      <c r="I66" s="638">
        <f t="shared" si="6"/>
        <v>4760.7799999999961</v>
      </c>
      <c r="J66" s="639">
        <f t="shared" si="10"/>
        <v>175</v>
      </c>
      <c r="K66" s="640">
        <f t="shared" si="4"/>
        <v>0</v>
      </c>
      <c r="M66" s="317"/>
      <c r="N66" s="2">
        <v>27.22</v>
      </c>
      <c r="O66" s="15"/>
      <c r="P66" s="69">
        <f t="shared" si="2"/>
        <v>0</v>
      </c>
      <c r="Q66" s="325"/>
      <c r="R66" s="69">
        <f t="shared" si="3"/>
        <v>0</v>
      </c>
      <c r="S66" s="70"/>
      <c r="T66" s="71"/>
      <c r="U66" s="638">
        <f t="shared" si="8"/>
        <v>16111.6</v>
      </c>
      <c r="V66" s="639">
        <f t="shared" si="11"/>
        <v>592</v>
      </c>
      <c r="W66" s="640">
        <f t="shared" si="5"/>
        <v>0</v>
      </c>
    </row>
    <row r="67" spans="1:23" x14ac:dyDescent="0.25">
      <c r="A67" s="317"/>
      <c r="B67" s="2">
        <v>27.22</v>
      </c>
      <c r="C67" s="15"/>
      <c r="D67" s="1033">
        <f t="shared" si="0"/>
        <v>0</v>
      </c>
      <c r="E67" s="1039"/>
      <c r="F67" s="1033">
        <f t="shared" si="1"/>
        <v>0</v>
      </c>
      <c r="G67" s="1034"/>
      <c r="H67" s="1035"/>
      <c r="I67" s="638">
        <f t="shared" si="6"/>
        <v>4760.7799999999961</v>
      </c>
      <c r="J67" s="639">
        <f t="shared" si="10"/>
        <v>175</v>
      </c>
      <c r="K67" s="640">
        <f t="shared" si="4"/>
        <v>0</v>
      </c>
      <c r="M67" s="317"/>
      <c r="N67" s="2">
        <v>27.22</v>
      </c>
      <c r="O67" s="15"/>
      <c r="P67" s="69">
        <f t="shared" si="2"/>
        <v>0</v>
      </c>
      <c r="Q67" s="325"/>
      <c r="R67" s="69">
        <f t="shared" si="3"/>
        <v>0</v>
      </c>
      <c r="S67" s="70"/>
      <c r="T67" s="71"/>
      <c r="U67" s="638">
        <f t="shared" si="8"/>
        <v>16111.6</v>
      </c>
      <c r="V67" s="639">
        <f t="shared" si="11"/>
        <v>592</v>
      </c>
      <c r="W67" s="640">
        <f t="shared" si="5"/>
        <v>0</v>
      </c>
    </row>
    <row r="68" spans="1:23" x14ac:dyDescent="0.25">
      <c r="A68" s="317"/>
      <c r="B68" s="2">
        <v>27.22</v>
      </c>
      <c r="C68" s="15"/>
      <c r="D68" s="1033">
        <f t="shared" si="0"/>
        <v>0</v>
      </c>
      <c r="E68" s="1039"/>
      <c r="F68" s="1033">
        <f t="shared" si="1"/>
        <v>0</v>
      </c>
      <c r="G68" s="1034"/>
      <c r="H68" s="1035"/>
      <c r="I68" s="638">
        <f t="shared" si="6"/>
        <v>4760.7799999999961</v>
      </c>
      <c r="J68" s="639">
        <f t="shared" si="10"/>
        <v>175</v>
      </c>
      <c r="K68" s="640">
        <f t="shared" si="4"/>
        <v>0</v>
      </c>
      <c r="M68" s="317"/>
      <c r="N68" s="2">
        <v>27.22</v>
      </c>
      <c r="O68" s="15"/>
      <c r="P68" s="69">
        <f t="shared" si="2"/>
        <v>0</v>
      </c>
      <c r="Q68" s="325"/>
      <c r="R68" s="69">
        <f t="shared" si="3"/>
        <v>0</v>
      </c>
      <c r="S68" s="70"/>
      <c r="T68" s="71"/>
      <c r="U68" s="638">
        <f t="shared" si="8"/>
        <v>16111.6</v>
      </c>
      <c r="V68" s="639">
        <f t="shared" si="11"/>
        <v>592</v>
      </c>
      <c r="W68" s="640">
        <f t="shared" si="5"/>
        <v>0</v>
      </c>
    </row>
    <row r="69" spans="1:23" x14ac:dyDescent="0.25">
      <c r="A69" s="317"/>
      <c r="B69" s="2">
        <v>27.22</v>
      </c>
      <c r="C69" s="15"/>
      <c r="D69" s="1033">
        <f t="shared" si="0"/>
        <v>0</v>
      </c>
      <c r="E69" s="1039"/>
      <c r="F69" s="1033">
        <f t="shared" si="1"/>
        <v>0</v>
      </c>
      <c r="G69" s="1034"/>
      <c r="H69" s="1035"/>
      <c r="I69" s="638">
        <f t="shared" si="6"/>
        <v>4760.7799999999961</v>
      </c>
      <c r="J69" s="639">
        <f t="shared" si="10"/>
        <v>175</v>
      </c>
      <c r="K69" s="640">
        <f t="shared" si="4"/>
        <v>0</v>
      </c>
      <c r="M69" s="317"/>
      <c r="N69" s="2">
        <v>27.22</v>
      </c>
      <c r="O69" s="15"/>
      <c r="P69" s="69">
        <f t="shared" si="2"/>
        <v>0</v>
      </c>
      <c r="Q69" s="325"/>
      <c r="R69" s="69">
        <f t="shared" si="3"/>
        <v>0</v>
      </c>
      <c r="S69" s="70"/>
      <c r="T69" s="71"/>
      <c r="U69" s="638">
        <f t="shared" si="8"/>
        <v>16111.6</v>
      </c>
      <c r="V69" s="639">
        <f t="shared" si="11"/>
        <v>592</v>
      </c>
      <c r="W69" s="640">
        <f t="shared" si="5"/>
        <v>0</v>
      </c>
    </row>
    <row r="70" spans="1:23" x14ac:dyDescent="0.25">
      <c r="A70" s="317"/>
      <c r="B70" s="2">
        <v>27.22</v>
      </c>
      <c r="C70" s="15"/>
      <c r="D70" s="69">
        <f t="shared" si="0"/>
        <v>0</v>
      </c>
      <c r="E70" s="325"/>
      <c r="F70" s="264">
        <f t="shared" si="1"/>
        <v>0</v>
      </c>
      <c r="G70" s="265"/>
      <c r="H70" s="266"/>
      <c r="I70" s="638">
        <f t="shared" si="6"/>
        <v>4760.7799999999961</v>
      </c>
      <c r="J70" s="641">
        <f t="shared" si="10"/>
        <v>175</v>
      </c>
      <c r="K70" s="640">
        <f t="shared" si="4"/>
        <v>0</v>
      </c>
      <c r="M70" s="317"/>
      <c r="N70" s="2">
        <v>27.22</v>
      </c>
      <c r="O70" s="15"/>
      <c r="P70" s="69">
        <f t="shared" si="2"/>
        <v>0</v>
      </c>
      <c r="Q70" s="325"/>
      <c r="R70" s="264">
        <f t="shared" si="3"/>
        <v>0</v>
      </c>
      <c r="S70" s="265"/>
      <c r="T70" s="266"/>
      <c r="U70" s="638">
        <f t="shared" si="8"/>
        <v>16111.6</v>
      </c>
      <c r="V70" s="641">
        <f t="shared" si="11"/>
        <v>592</v>
      </c>
      <c r="W70" s="640">
        <f t="shared" si="5"/>
        <v>0</v>
      </c>
    </row>
    <row r="71" spans="1:23" x14ac:dyDescent="0.25">
      <c r="A71" s="317"/>
      <c r="B71" s="2">
        <v>27.22</v>
      </c>
      <c r="C71" s="15"/>
      <c r="D71" s="69">
        <f t="shared" si="0"/>
        <v>0</v>
      </c>
      <c r="E71" s="325"/>
      <c r="F71" s="264">
        <f t="shared" si="1"/>
        <v>0</v>
      </c>
      <c r="G71" s="265"/>
      <c r="H71" s="266"/>
      <c r="I71" s="638">
        <f t="shared" si="6"/>
        <v>4760.7799999999961</v>
      </c>
      <c r="J71" s="641">
        <f t="shared" si="10"/>
        <v>175</v>
      </c>
      <c r="K71" s="640">
        <f t="shared" si="4"/>
        <v>0</v>
      </c>
      <c r="M71" s="317"/>
      <c r="N71" s="2">
        <v>27.22</v>
      </c>
      <c r="O71" s="15"/>
      <c r="P71" s="69">
        <f t="shared" si="2"/>
        <v>0</v>
      </c>
      <c r="Q71" s="325"/>
      <c r="R71" s="264">
        <f t="shared" si="3"/>
        <v>0</v>
      </c>
      <c r="S71" s="265"/>
      <c r="T71" s="266"/>
      <c r="U71" s="638">
        <f t="shared" si="8"/>
        <v>16111.6</v>
      </c>
      <c r="V71" s="641">
        <f t="shared" si="11"/>
        <v>592</v>
      </c>
      <c r="W71" s="640">
        <f t="shared" si="5"/>
        <v>0</v>
      </c>
    </row>
    <row r="72" spans="1:23" x14ac:dyDescent="0.25">
      <c r="A72" s="317"/>
      <c r="B72" s="2">
        <v>27.22</v>
      </c>
      <c r="C72" s="15"/>
      <c r="D72" s="69">
        <f t="shared" si="0"/>
        <v>0</v>
      </c>
      <c r="E72" s="325"/>
      <c r="F72" s="264">
        <f t="shared" si="1"/>
        <v>0</v>
      </c>
      <c r="G72" s="265"/>
      <c r="H72" s="266"/>
      <c r="I72" s="638">
        <f t="shared" si="6"/>
        <v>4760.7799999999961</v>
      </c>
      <c r="J72" s="641">
        <f t="shared" si="10"/>
        <v>175</v>
      </c>
      <c r="K72" s="640">
        <f t="shared" si="4"/>
        <v>0</v>
      </c>
      <c r="M72" s="317"/>
      <c r="N72" s="2">
        <v>27.22</v>
      </c>
      <c r="O72" s="15"/>
      <c r="P72" s="69">
        <f t="shared" si="2"/>
        <v>0</v>
      </c>
      <c r="Q72" s="325"/>
      <c r="R72" s="264">
        <f t="shared" si="3"/>
        <v>0</v>
      </c>
      <c r="S72" s="265"/>
      <c r="T72" s="266"/>
      <c r="U72" s="638">
        <f t="shared" si="8"/>
        <v>16111.6</v>
      </c>
      <c r="V72" s="641">
        <f t="shared" si="11"/>
        <v>592</v>
      </c>
      <c r="W72" s="640">
        <f t="shared" si="5"/>
        <v>0</v>
      </c>
    </row>
    <row r="73" spans="1:23" x14ac:dyDescent="0.25">
      <c r="A73" s="317"/>
      <c r="B73" s="2">
        <v>27.22</v>
      </c>
      <c r="C73" s="15"/>
      <c r="D73" s="69">
        <f t="shared" ref="D73:D114" si="12">C73*B73</f>
        <v>0</v>
      </c>
      <c r="E73" s="325"/>
      <c r="F73" s="264">
        <f t="shared" ref="F73:F114" si="13">D73</f>
        <v>0</v>
      </c>
      <c r="G73" s="265"/>
      <c r="H73" s="266"/>
      <c r="I73" s="638">
        <f t="shared" si="6"/>
        <v>4760.7799999999961</v>
      </c>
      <c r="J73" s="641">
        <f t="shared" si="10"/>
        <v>175</v>
      </c>
      <c r="K73" s="640">
        <f t="shared" si="4"/>
        <v>0</v>
      </c>
      <c r="M73" s="317"/>
      <c r="N73" s="2">
        <v>27.22</v>
      </c>
      <c r="O73" s="15"/>
      <c r="P73" s="69">
        <f t="shared" ref="P73:P114" si="14">O73*N73</f>
        <v>0</v>
      </c>
      <c r="Q73" s="325"/>
      <c r="R73" s="264">
        <f t="shared" ref="R73:R114" si="15">P73</f>
        <v>0</v>
      </c>
      <c r="S73" s="265"/>
      <c r="T73" s="266"/>
      <c r="U73" s="638">
        <f t="shared" si="8"/>
        <v>16111.6</v>
      </c>
      <c r="V73" s="641">
        <f t="shared" si="11"/>
        <v>592</v>
      </c>
      <c r="W73" s="640">
        <f t="shared" si="5"/>
        <v>0</v>
      </c>
    </row>
    <row r="74" spans="1:23" x14ac:dyDescent="0.25">
      <c r="A74" s="317"/>
      <c r="B74" s="2">
        <v>27.22</v>
      </c>
      <c r="C74" s="15"/>
      <c r="D74" s="69">
        <f t="shared" si="12"/>
        <v>0</v>
      </c>
      <c r="E74" s="325"/>
      <c r="F74" s="264">
        <f t="shared" si="13"/>
        <v>0</v>
      </c>
      <c r="G74" s="265"/>
      <c r="H74" s="266"/>
      <c r="I74" s="638">
        <f t="shared" si="6"/>
        <v>4760.7799999999961</v>
      </c>
      <c r="J74" s="641">
        <f t="shared" si="10"/>
        <v>175</v>
      </c>
      <c r="K74" s="640">
        <f t="shared" ref="K74:K114" si="16">F74*H74</f>
        <v>0</v>
      </c>
      <c r="M74" s="317"/>
      <c r="N74" s="2">
        <v>27.22</v>
      </c>
      <c r="O74" s="15"/>
      <c r="P74" s="69">
        <f t="shared" si="14"/>
        <v>0</v>
      </c>
      <c r="Q74" s="325"/>
      <c r="R74" s="264">
        <f t="shared" si="15"/>
        <v>0</v>
      </c>
      <c r="S74" s="265"/>
      <c r="T74" s="266"/>
      <c r="U74" s="638">
        <f t="shared" si="8"/>
        <v>16111.6</v>
      </c>
      <c r="V74" s="641">
        <f t="shared" si="11"/>
        <v>592</v>
      </c>
      <c r="W74" s="640">
        <f t="shared" ref="W74:W114" si="17">R74*T74</f>
        <v>0</v>
      </c>
    </row>
    <row r="75" spans="1:23" x14ac:dyDescent="0.25">
      <c r="A75" s="317"/>
      <c r="B75" s="2">
        <v>27.22</v>
      </c>
      <c r="C75" s="15"/>
      <c r="D75" s="69">
        <f t="shared" si="12"/>
        <v>0</v>
      </c>
      <c r="E75" s="325"/>
      <c r="F75" s="264">
        <f t="shared" si="13"/>
        <v>0</v>
      </c>
      <c r="G75" s="265"/>
      <c r="H75" s="266"/>
      <c r="I75" s="638">
        <f t="shared" ref="I75:I113" si="18">I74-F75</f>
        <v>4760.7799999999961</v>
      </c>
      <c r="J75" s="641">
        <f t="shared" si="10"/>
        <v>175</v>
      </c>
      <c r="K75" s="640">
        <f t="shared" si="16"/>
        <v>0</v>
      </c>
      <c r="M75" s="317"/>
      <c r="N75" s="2">
        <v>27.22</v>
      </c>
      <c r="O75" s="15"/>
      <c r="P75" s="69">
        <f t="shared" si="14"/>
        <v>0</v>
      </c>
      <c r="Q75" s="325"/>
      <c r="R75" s="264">
        <f t="shared" si="15"/>
        <v>0</v>
      </c>
      <c r="S75" s="265"/>
      <c r="T75" s="266"/>
      <c r="U75" s="638">
        <f t="shared" ref="U75:U113" si="19">U74-R75</f>
        <v>16111.6</v>
      </c>
      <c r="V75" s="641">
        <f t="shared" si="11"/>
        <v>592</v>
      </c>
      <c r="W75" s="640">
        <f t="shared" si="17"/>
        <v>0</v>
      </c>
    </row>
    <row r="76" spans="1:23" x14ac:dyDescent="0.25">
      <c r="A76" s="317"/>
      <c r="B76" s="2">
        <v>27.22</v>
      </c>
      <c r="C76" s="15"/>
      <c r="D76" s="69">
        <f t="shared" si="12"/>
        <v>0</v>
      </c>
      <c r="E76" s="325"/>
      <c r="F76" s="69">
        <f t="shared" si="13"/>
        <v>0</v>
      </c>
      <c r="G76" s="70"/>
      <c r="H76" s="71"/>
      <c r="I76" s="638">
        <f t="shared" si="18"/>
        <v>4760.7799999999961</v>
      </c>
      <c r="J76" s="639">
        <f t="shared" si="10"/>
        <v>175</v>
      </c>
      <c r="K76" s="640">
        <f t="shared" si="16"/>
        <v>0</v>
      </c>
      <c r="M76" s="317"/>
      <c r="N76" s="2">
        <v>27.22</v>
      </c>
      <c r="O76" s="15"/>
      <c r="P76" s="69">
        <f t="shared" si="14"/>
        <v>0</v>
      </c>
      <c r="Q76" s="325"/>
      <c r="R76" s="69">
        <f t="shared" si="15"/>
        <v>0</v>
      </c>
      <c r="S76" s="70"/>
      <c r="T76" s="71"/>
      <c r="U76" s="638">
        <f t="shared" si="19"/>
        <v>16111.6</v>
      </c>
      <c r="V76" s="639">
        <f t="shared" si="11"/>
        <v>592</v>
      </c>
      <c r="W76" s="640">
        <f t="shared" si="17"/>
        <v>0</v>
      </c>
    </row>
    <row r="77" spans="1:23" x14ac:dyDescent="0.25">
      <c r="A77" s="317"/>
      <c r="B77" s="2">
        <v>27.22</v>
      </c>
      <c r="C77" s="15"/>
      <c r="D77" s="69">
        <f t="shared" si="12"/>
        <v>0</v>
      </c>
      <c r="E77" s="325"/>
      <c r="F77" s="69">
        <f t="shared" si="13"/>
        <v>0</v>
      </c>
      <c r="G77" s="70"/>
      <c r="H77" s="71"/>
      <c r="I77" s="638">
        <f t="shared" si="18"/>
        <v>4760.7799999999961</v>
      </c>
      <c r="J77" s="639">
        <f t="shared" ref="J77:J113" si="20">J76-C77</f>
        <v>175</v>
      </c>
      <c r="K77" s="640">
        <f t="shared" si="16"/>
        <v>0</v>
      </c>
      <c r="M77" s="317"/>
      <c r="N77" s="2">
        <v>27.22</v>
      </c>
      <c r="O77" s="15"/>
      <c r="P77" s="69">
        <f t="shared" si="14"/>
        <v>0</v>
      </c>
      <c r="Q77" s="325"/>
      <c r="R77" s="69">
        <f t="shared" si="15"/>
        <v>0</v>
      </c>
      <c r="S77" s="70"/>
      <c r="T77" s="71"/>
      <c r="U77" s="638">
        <f t="shared" si="19"/>
        <v>16111.6</v>
      </c>
      <c r="V77" s="639">
        <f t="shared" ref="V77:V113" si="21">V76-O77</f>
        <v>592</v>
      </c>
      <c r="W77" s="640">
        <f t="shared" si="17"/>
        <v>0</v>
      </c>
    </row>
    <row r="78" spans="1:23" x14ac:dyDescent="0.25">
      <c r="A78" s="317"/>
      <c r="B78" s="2">
        <v>27.22</v>
      </c>
      <c r="C78" s="15"/>
      <c r="D78" s="69">
        <f t="shared" si="12"/>
        <v>0</v>
      </c>
      <c r="E78" s="325"/>
      <c r="F78" s="69">
        <f t="shared" si="13"/>
        <v>0</v>
      </c>
      <c r="G78" s="70"/>
      <c r="H78" s="71"/>
      <c r="I78" s="638">
        <f t="shared" si="18"/>
        <v>4760.7799999999961</v>
      </c>
      <c r="J78" s="639">
        <f t="shared" si="20"/>
        <v>175</v>
      </c>
      <c r="K78" s="640">
        <f t="shared" si="16"/>
        <v>0</v>
      </c>
      <c r="M78" s="317"/>
      <c r="N78" s="2">
        <v>27.22</v>
      </c>
      <c r="O78" s="15"/>
      <c r="P78" s="69">
        <f t="shared" si="14"/>
        <v>0</v>
      </c>
      <c r="Q78" s="325"/>
      <c r="R78" s="69">
        <f t="shared" si="15"/>
        <v>0</v>
      </c>
      <c r="S78" s="70"/>
      <c r="T78" s="71"/>
      <c r="U78" s="638">
        <f t="shared" si="19"/>
        <v>16111.6</v>
      </c>
      <c r="V78" s="639">
        <f t="shared" si="21"/>
        <v>592</v>
      </c>
      <c r="W78" s="640">
        <f t="shared" si="17"/>
        <v>0</v>
      </c>
    </row>
    <row r="79" spans="1:23" x14ac:dyDescent="0.25">
      <c r="A79" s="317"/>
      <c r="B79" s="2">
        <v>27.22</v>
      </c>
      <c r="C79" s="15"/>
      <c r="D79" s="69">
        <f t="shared" si="12"/>
        <v>0</v>
      </c>
      <c r="E79" s="325"/>
      <c r="F79" s="69">
        <f t="shared" si="13"/>
        <v>0</v>
      </c>
      <c r="G79" s="70"/>
      <c r="H79" s="71"/>
      <c r="I79" s="638">
        <f t="shared" si="18"/>
        <v>4760.7799999999961</v>
      </c>
      <c r="J79" s="639">
        <f t="shared" si="20"/>
        <v>175</v>
      </c>
      <c r="K79" s="640">
        <f t="shared" si="16"/>
        <v>0</v>
      </c>
      <c r="M79" s="317"/>
      <c r="N79" s="2">
        <v>27.22</v>
      </c>
      <c r="O79" s="15"/>
      <c r="P79" s="69">
        <f t="shared" si="14"/>
        <v>0</v>
      </c>
      <c r="Q79" s="325"/>
      <c r="R79" s="69">
        <f t="shared" si="15"/>
        <v>0</v>
      </c>
      <c r="S79" s="70"/>
      <c r="T79" s="71"/>
      <c r="U79" s="638">
        <f t="shared" si="19"/>
        <v>16111.6</v>
      </c>
      <c r="V79" s="639">
        <f t="shared" si="21"/>
        <v>592</v>
      </c>
      <c r="W79" s="640">
        <f t="shared" si="17"/>
        <v>0</v>
      </c>
    </row>
    <row r="80" spans="1:23" x14ac:dyDescent="0.25">
      <c r="A80" s="317"/>
      <c r="B80" s="2">
        <v>27.22</v>
      </c>
      <c r="C80" s="15"/>
      <c r="D80" s="69">
        <f t="shared" si="12"/>
        <v>0</v>
      </c>
      <c r="E80" s="325"/>
      <c r="F80" s="69">
        <f t="shared" si="13"/>
        <v>0</v>
      </c>
      <c r="G80" s="70"/>
      <c r="H80" s="71"/>
      <c r="I80" s="638">
        <f t="shared" si="18"/>
        <v>4760.7799999999961</v>
      </c>
      <c r="J80" s="639">
        <f t="shared" si="20"/>
        <v>175</v>
      </c>
      <c r="K80" s="640">
        <f t="shared" si="16"/>
        <v>0</v>
      </c>
      <c r="M80" s="317"/>
      <c r="N80" s="2">
        <v>27.22</v>
      </c>
      <c r="O80" s="15"/>
      <c r="P80" s="69">
        <f t="shared" si="14"/>
        <v>0</v>
      </c>
      <c r="Q80" s="325"/>
      <c r="R80" s="69">
        <f t="shared" si="15"/>
        <v>0</v>
      </c>
      <c r="S80" s="70"/>
      <c r="T80" s="71"/>
      <c r="U80" s="638">
        <f t="shared" si="19"/>
        <v>16111.6</v>
      </c>
      <c r="V80" s="639">
        <f t="shared" si="21"/>
        <v>592</v>
      </c>
      <c r="W80" s="640">
        <f t="shared" si="17"/>
        <v>0</v>
      </c>
    </row>
    <row r="81" spans="1:23" x14ac:dyDescent="0.25">
      <c r="A81" s="317"/>
      <c r="B81" s="2">
        <v>27.22</v>
      </c>
      <c r="C81" s="15"/>
      <c r="D81" s="69">
        <f t="shared" si="12"/>
        <v>0</v>
      </c>
      <c r="E81" s="325"/>
      <c r="F81" s="69">
        <f t="shared" si="13"/>
        <v>0</v>
      </c>
      <c r="G81" s="70"/>
      <c r="H81" s="71"/>
      <c r="I81" s="638">
        <f t="shared" si="18"/>
        <v>4760.7799999999961</v>
      </c>
      <c r="J81" s="639">
        <f t="shared" si="20"/>
        <v>175</v>
      </c>
      <c r="K81" s="640">
        <f t="shared" si="16"/>
        <v>0</v>
      </c>
      <c r="M81" s="317"/>
      <c r="N81" s="2">
        <v>27.22</v>
      </c>
      <c r="O81" s="15"/>
      <c r="P81" s="69">
        <f t="shared" si="14"/>
        <v>0</v>
      </c>
      <c r="Q81" s="325"/>
      <c r="R81" s="69">
        <f t="shared" si="15"/>
        <v>0</v>
      </c>
      <c r="S81" s="70"/>
      <c r="T81" s="71"/>
      <c r="U81" s="638">
        <f t="shared" si="19"/>
        <v>16111.6</v>
      </c>
      <c r="V81" s="639">
        <f t="shared" si="21"/>
        <v>592</v>
      </c>
      <c r="W81" s="640">
        <f t="shared" si="17"/>
        <v>0</v>
      </c>
    </row>
    <row r="82" spans="1:23" x14ac:dyDescent="0.25">
      <c r="A82" s="317"/>
      <c r="B82" s="2">
        <v>27.22</v>
      </c>
      <c r="C82" s="15"/>
      <c r="D82" s="69">
        <f t="shared" si="12"/>
        <v>0</v>
      </c>
      <c r="E82" s="325"/>
      <c r="F82" s="69">
        <f t="shared" si="13"/>
        <v>0</v>
      </c>
      <c r="G82" s="70"/>
      <c r="H82" s="71"/>
      <c r="I82" s="638">
        <f t="shared" si="18"/>
        <v>4760.7799999999961</v>
      </c>
      <c r="J82" s="639">
        <f t="shared" si="20"/>
        <v>175</v>
      </c>
      <c r="K82" s="640">
        <f t="shared" si="16"/>
        <v>0</v>
      </c>
      <c r="M82" s="317"/>
      <c r="N82" s="2">
        <v>27.22</v>
      </c>
      <c r="O82" s="15"/>
      <c r="P82" s="69">
        <f t="shared" si="14"/>
        <v>0</v>
      </c>
      <c r="Q82" s="325"/>
      <c r="R82" s="69">
        <f t="shared" si="15"/>
        <v>0</v>
      </c>
      <c r="S82" s="70"/>
      <c r="T82" s="71"/>
      <c r="U82" s="638">
        <f t="shared" si="19"/>
        <v>16111.6</v>
      </c>
      <c r="V82" s="639">
        <f t="shared" si="21"/>
        <v>592</v>
      </c>
      <c r="W82" s="640">
        <f t="shared" si="17"/>
        <v>0</v>
      </c>
    </row>
    <row r="83" spans="1:23" x14ac:dyDescent="0.25">
      <c r="A83" s="317"/>
      <c r="B83" s="2">
        <v>27.22</v>
      </c>
      <c r="C83" s="15"/>
      <c r="D83" s="69">
        <f t="shared" si="12"/>
        <v>0</v>
      </c>
      <c r="E83" s="325"/>
      <c r="F83" s="69">
        <f t="shared" si="13"/>
        <v>0</v>
      </c>
      <c r="G83" s="70"/>
      <c r="H83" s="71"/>
      <c r="I83" s="638">
        <f t="shared" si="18"/>
        <v>4760.7799999999961</v>
      </c>
      <c r="J83" s="639">
        <f t="shared" si="20"/>
        <v>175</v>
      </c>
      <c r="K83" s="640">
        <f t="shared" si="16"/>
        <v>0</v>
      </c>
      <c r="M83" s="317"/>
      <c r="N83" s="2">
        <v>27.22</v>
      </c>
      <c r="O83" s="15"/>
      <c r="P83" s="69">
        <f t="shared" si="14"/>
        <v>0</v>
      </c>
      <c r="Q83" s="325"/>
      <c r="R83" s="69">
        <f t="shared" si="15"/>
        <v>0</v>
      </c>
      <c r="S83" s="70"/>
      <c r="T83" s="71"/>
      <c r="U83" s="638">
        <f t="shared" si="19"/>
        <v>16111.6</v>
      </c>
      <c r="V83" s="639">
        <f t="shared" si="21"/>
        <v>592</v>
      </c>
      <c r="W83" s="640">
        <f t="shared" si="17"/>
        <v>0</v>
      </c>
    </row>
    <row r="84" spans="1:23" x14ac:dyDescent="0.25">
      <c r="A84" s="317"/>
      <c r="B84" s="2">
        <v>27.22</v>
      </c>
      <c r="C84" s="15"/>
      <c r="D84" s="69">
        <f t="shared" si="12"/>
        <v>0</v>
      </c>
      <c r="E84" s="325"/>
      <c r="F84" s="69">
        <f t="shared" si="13"/>
        <v>0</v>
      </c>
      <c r="G84" s="70"/>
      <c r="H84" s="71"/>
      <c r="I84" s="638">
        <f t="shared" si="18"/>
        <v>4760.7799999999961</v>
      </c>
      <c r="J84" s="639">
        <f t="shared" si="20"/>
        <v>175</v>
      </c>
      <c r="K84" s="640">
        <f t="shared" si="16"/>
        <v>0</v>
      </c>
      <c r="M84" s="317"/>
      <c r="N84" s="2">
        <v>27.22</v>
      </c>
      <c r="O84" s="15"/>
      <c r="P84" s="69">
        <f t="shared" si="14"/>
        <v>0</v>
      </c>
      <c r="Q84" s="325"/>
      <c r="R84" s="69">
        <f t="shared" si="15"/>
        <v>0</v>
      </c>
      <c r="S84" s="70"/>
      <c r="T84" s="71"/>
      <c r="U84" s="638">
        <f t="shared" si="19"/>
        <v>16111.6</v>
      </c>
      <c r="V84" s="639">
        <f t="shared" si="21"/>
        <v>592</v>
      </c>
      <c r="W84" s="640">
        <f t="shared" si="17"/>
        <v>0</v>
      </c>
    </row>
    <row r="85" spans="1:23" x14ac:dyDescent="0.25">
      <c r="A85" s="317"/>
      <c r="B85" s="2">
        <v>27.22</v>
      </c>
      <c r="C85" s="15"/>
      <c r="D85" s="69">
        <f t="shared" si="12"/>
        <v>0</v>
      </c>
      <c r="E85" s="325"/>
      <c r="F85" s="69">
        <f t="shared" si="13"/>
        <v>0</v>
      </c>
      <c r="G85" s="70"/>
      <c r="H85" s="71"/>
      <c r="I85" s="638">
        <f t="shared" si="18"/>
        <v>4760.7799999999961</v>
      </c>
      <c r="J85" s="639">
        <f t="shared" si="20"/>
        <v>175</v>
      </c>
      <c r="K85" s="640">
        <f t="shared" si="16"/>
        <v>0</v>
      </c>
      <c r="M85" s="317"/>
      <c r="N85" s="2">
        <v>27.22</v>
      </c>
      <c r="O85" s="15"/>
      <c r="P85" s="69">
        <f t="shared" si="14"/>
        <v>0</v>
      </c>
      <c r="Q85" s="325"/>
      <c r="R85" s="69">
        <f t="shared" si="15"/>
        <v>0</v>
      </c>
      <c r="S85" s="70"/>
      <c r="T85" s="71"/>
      <c r="U85" s="638">
        <f t="shared" si="19"/>
        <v>16111.6</v>
      </c>
      <c r="V85" s="639">
        <f t="shared" si="21"/>
        <v>592</v>
      </c>
      <c r="W85" s="640">
        <f t="shared" si="17"/>
        <v>0</v>
      </c>
    </row>
    <row r="86" spans="1:23" x14ac:dyDescent="0.25">
      <c r="A86" s="317"/>
      <c r="B86" s="2">
        <v>27.22</v>
      </c>
      <c r="C86" s="15"/>
      <c r="D86" s="69">
        <f t="shared" si="12"/>
        <v>0</v>
      </c>
      <c r="E86" s="325"/>
      <c r="F86" s="69">
        <f t="shared" si="13"/>
        <v>0</v>
      </c>
      <c r="G86" s="70"/>
      <c r="H86" s="71"/>
      <c r="I86" s="638">
        <f t="shared" si="18"/>
        <v>4760.7799999999961</v>
      </c>
      <c r="J86" s="639">
        <f t="shared" si="20"/>
        <v>175</v>
      </c>
      <c r="K86" s="640">
        <f t="shared" si="16"/>
        <v>0</v>
      </c>
      <c r="M86" s="317"/>
      <c r="N86" s="2">
        <v>27.22</v>
      </c>
      <c r="O86" s="15"/>
      <c r="P86" s="69">
        <f t="shared" si="14"/>
        <v>0</v>
      </c>
      <c r="Q86" s="325"/>
      <c r="R86" s="69">
        <f t="shared" si="15"/>
        <v>0</v>
      </c>
      <c r="S86" s="70"/>
      <c r="T86" s="71"/>
      <c r="U86" s="638">
        <f t="shared" si="19"/>
        <v>16111.6</v>
      </c>
      <c r="V86" s="639">
        <f t="shared" si="21"/>
        <v>592</v>
      </c>
      <c r="W86" s="640">
        <f t="shared" si="17"/>
        <v>0</v>
      </c>
    </row>
    <row r="87" spans="1:23" x14ac:dyDescent="0.25">
      <c r="A87" s="317"/>
      <c r="B87" s="2">
        <v>27.22</v>
      </c>
      <c r="C87" s="15"/>
      <c r="D87" s="69">
        <f t="shared" si="12"/>
        <v>0</v>
      </c>
      <c r="E87" s="325"/>
      <c r="F87" s="69">
        <f t="shared" si="13"/>
        <v>0</v>
      </c>
      <c r="G87" s="70"/>
      <c r="H87" s="71"/>
      <c r="I87" s="638">
        <f t="shared" si="18"/>
        <v>4760.7799999999961</v>
      </c>
      <c r="J87" s="639">
        <f t="shared" si="20"/>
        <v>175</v>
      </c>
      <c r="K87" s="640">
        <f t="shared" si="16"/>
        <v>0</v>
      </c>
      <c r="M87" s="317"/>
      <c r="N87" s="2">
        <v>27.22</v>
      </c>
      <c r="O87" s="15"/>
      <c r="P87" s="69">
        <f t="shared" si="14"/>
        <v>0</v>
      </c>
      <c r="Q87" s="325"/>
      <c r="R87" s="69">
        <f t="shared" si="15"/>
        <v>0</v>
      </c>
      <c r="S87" s="70"/>
      <c r="T87" s="71"/>
      <c r="U87" s="638">
        <f t="shared" si="19"/>
        <v>16111.6</v>
      </c>
      <c r="V87" s="639">
        <f t="shared" si="21"/>
        <v>592</v>
      </c>
      <c r="W87" s="640">
        <f t="shared" si="17"/>
        <v>0</v>
      </c>
    </row>
    <row r="88" spans="1:23" x14ac:dyDescent="0.25">
      <c r="A88" s="317"/>
      <c r="B88" s="2">
        <v>27.22</v>
      </c>
      <c r="C88" s="15"/>
      <c r="D88" s="69">
        <f t="shared" si="12"/>
        <v>0</v>
      </c>
      <c r="E88" s="325"/>
      <c r="F88" s="69">
        <f t="shared" si="13"/>
        <v>0</v>
      </c>
      <c r="G88" s="70"/>
      <c r="H88" s="71"/>
      <c r="I88" s="638">
        <f t="shared" si="18"/>
        <v>4760.7799999999961</v>
      </c>
      <c r="J88" s="639">
        <f t="shared" si="20"/>
        <v>175</v>
      </c>
      <c r="K88" s="640">
        <f t="shared" si="16"/>
        <v>0</v>
      </c>
      <c r="M88" s="317"/>
      <c r="N88" s="2">
        <v>27.22</v>
      </c>
      <c r="O88" s="15"/>
      <c r="P88" s="69">
        <f t="shared" si="14"/>
        <v>0</v>
      </c>
      <c r="Q88" s="325"/>
      <c r="R88" s="69">
        <f t="shared" si="15"/>
        <v>0</v>
      </c>
      <c r="S88" s="70"/>
      <c r="T88" s="71"/>
      <c r="U88" s="638">
        <f t="shared" si="19"/>
        <v>16111.6</v>
      </c>
      <c r="V88" s="639">
        <f t="shared" si="21"/>
        <v>592</v>
      </c>
      <c r="W88" s="640">
        <f t="shared" si="17"/>
        <v>0</v>
      </c>
    </row>
    <row r="89" spans="1:23" x14ac:dyDescent="0.25">
      <c r="A89" s="317"/>
      <c r="B89" s="2">
        <v>27.22</v>
      </c>
      <c r="C89" s="15"/>
      <c r="D89" s="69">
        <f t="shared" si="12"/>
        <v>0</v>
      </c>
      <c r="E89" s="325"/>
      <c r="F89" s="69">
        <f t="shared" si="13"/>
        <v>0</v>
      </c>
      <c r="G89" s="70"/>
      <c r="H89" s="71"/>
      <c r="I89" s="638">
        <f t="shared" si="18"/>
        <v>4760.7799999999961</v>
      </c>
      <c r="J89" s="639">
        <f t="shared" si="20"/>
        <v>175</v>
      </c>
      <c r="K89" s="640">
        <f t="shared" si="16"/>
        <v>0</v>
      </c>
      <c r="M89" s="317"/>
      <c r="N89" s="2">
        <v>27.22</v>
      </c>
      <c r="O89" s="15"/>
      <c r="P89" s="69">
        <f t="shared" si="14"/>
        <v>0</v>
      </c>
      <c r="Q89" s="325"/>
      <c r="R89" s="69">
        <f t="shared" si="15"/>
        <v>0</v>
      </c>
      <c r="S89" s="70"/>
      <c r="T89" s="71"/>
      <c r="U89" s="638">
        <f t="shared" si="19"/>
        <v>16111.6</v>
      </c>
      <c r="V89" s="639">
        <f t="shared" si="21"/>
        <v>592</v>
      </c>
      <c r="W89" s="640">
        <f t="shared" si="17"/>
        <v>0</v>
      </c>
    </row>
    <row r="90" spans="1:23" x14ac:dyDescent="0.25">
      <c r="A90" s="317"/>
      <c r="B90" s="2">
        <v>27.22</v>
      </c>
      <c r="C90" s="15"/>
      <c r="D90" s="69">
        <f t="shared" si="12"/>
        <v>0</v>
      </c>
      <c r="E90" s="325"/>
      <c r="F90" s="69">
        <f t="shared" si="13"/>
        <v>0</v>
      </c>
      <c r="G90" s="70"/>
      <c r="H90" s="71"/>
      <c r="I90" s="638">
        <f t="shared" si="18"/>
        <v>4760.7799999999961</v>
      </c>
      <c r="J90" s="639">
        <f t="shared" si="20"/>
        <v>175</v>
      </c>
      <c r="K90" s="640">
        <f t="shared" si="16"/>
        <v>0</v>
      </c>
      <c r="M90" s="317"/>
      <c r="N90" s="2">
        <v>27.22</v>
      </c>
      <c r="O90" s="15"/>
      <c r="P90" s="69">
        <f t="shared" si="14"/>
        <v>0</v>
      </c>
      <c r="Q90" s="325"/>
      <c r="R90" s="69">
        <f t="shared" si="15"/>
        <v>0</v>
      </c>
      <c r="S90" s="70"/>
      <c r="T90" s="71"/>
      <c r="U90" s="638">
        <f t="shared" si="19"/>
        <v>16111.6</v>
      </c>
      <c r="V90" s="639">
        <f t="shared" si="21"/>
        <v>592</v>
      </c>
      <c r="W90" s="640">
        <f t="shared" si="17"/>
        <v>0</v>
      </c>
    </row>
    <row r="91" spans="1:23" x14ac:dyDescent="0.25">
      <c r="A91" s="317"/>
      <c r="B91" s="2">
        <v>27.22</v>
      </c>
      <c r="C91" s="15"/>
      <c r="D91" s="69">
        <f t="shared" si="12"/>
        <v>0</v>
      </c>
      <c r="E91" s="325"/>
      <c r="F91" s="69">
        <f t="shared" si="13"/>
        <v>0</v>
      </c>
      <c r="G91" s="70"/>
      <c r="H91" s="71"/>
      <c r="I91" s="638">
        <f t="shared" si="18"/>
        <v>4760.7799999999961</v>
      </c>
      <c r="J91" s="639">
        <f t="shared" si="20"/>
        <v>175</v>
      </c>
      <c r="K91" s="640">
        <f t="shared" si="16"/>
        <v>0</v>
      </c>
      <c r="M91" s="317"/>
      <c r="N91" s="2">
        <v>27.22</v>
      </c>
      <c r="O91" s="15"/>
      <c r="P91" s="69">
        <f t="shared" si="14"/>
        <v>0</v>
      </c>
      <c r="Q91" s="325"/>
      <c r="R91" s="69">
        <f t="shared" si="15"/>
        <v>0</v>
      </c>
      <c r="S91" s="70"/>
      <c r="T91" s="71"/>
      <c r="U91" s="638">
        <f t="shared" si="19"/>
        <v>16111.6</v>
      </c>
      <c r="V91" s="639">
        <f t="shared" si="21"/>
        <v>592</v>
      </c>
      <c r="W91" s="640">
        <f t="shared" si="17"/>
        <v>0</v>
      </c>
    </row>
    <row r="92" spans="1:23" x14ac:dyDescent="0.25">
      <c r="A92" s="317"/>
      <c r="B92" s="2">
        <v>27.22</v>
      </c>
      <c r="C92" s="15"/>
      <c r="D92" s="69">
        <f t="shared" si="12"/>
        <v>0</v>
      </c>
      <c r="E92" s="325"/>
      <c r="F92" s="69">
        <f t="shared" si="13"/>
        <v>0</v>
      </c>
      <c r="G92" s="70"/>
      <c r="H92" s="71"/>
      <c r="I92" s="638">
        <f t="shared" si="18"/>
        <v>4760.7799999999961</v>
      </c>
      <c r="J92" s="639">
        <f t="shared" si="20"/>
        <v>175</v>
      </c>
      <c r="K92" s="640">
        <f t="shared" si="16"/>
        <v>0</v>
      </c>
      <c r="M92" s="317"/>
      <c r="N92" s="2">
        <v>27.22</v>
      </c>
      <c r="O92" s="15"/>
      <c r="P92" s="69">
        <f t="shared" si="14"/>
        <v>0</v>
      </c>
      <c r="Q92" s="325"/>
      <c r="R92" s="69">
        <f t="shared" si="15"/>
        <v>0</v>
      </c>
      <c r="S92" s="70"/>
      <c r="T92" s="71"/>
      <c r="U92" s="638">
        <f t="shared" si="19"/>
        <v>16111.6</v>
      </c>
      <c r="V92" s="639">
        <f t="shared" si="21"/>
        <v>592</v>
      </c>
      <c r="W92" s="640">
        <f t="shared" si="17"/>
        <v>0</v>
      </c>
    </row>
    <row r="93" spans="1:23" x14ac:dyDescent="0.25">
      <c r="A93" s="317"/>
      <c r="B93" s="2">
        <v>27.22</v>
      </c>
      <c r="C93" s="15"/>
      <c r="D93" s="69">
        <f t="shared" si="12"/>
        <v>0</v>
      </c>
      <c r="E93" s="325"/>
      <c r="F93" s="69">
        <f t="shared" si="13"/>
        <v>0</v>
      </c>
      <c r="G93" s="70"/>
      <c r="H93" s="71"/>
      <c r="I93" s="638">
        <f t="shared" si="18"/>
        <v>4760.7799999999961</v>
      </c>
      <c r="J93" s="639">
        <f t="shared" si="20"/>
        <v>175</v>
      </c>
      <c r="K93" s="640">
        <f t="shared" si="16"/>
        <v>0</v>
      </c>
      <c r="M93" s="317"/>
      <c r="N93" s="2">
        <v>27.22</v>
      </c>
      <c r="O93" s="15"/>
      <c r="P93" s="69">
        <f t="shared" si="14"/>
        <v>0</v>
      </c>
      <c r="Q93" s="325"/>
      <c r="R93" s="69">
        <f t="shared" si="15"/>
        <v>0</v>
      </c>
      <c r="S93" s="70"/>
      <c r="T93" s="71"/>
      <c r="U93" s="638">
        <f t="shared" si="19"/>
        <v>16111.6</v>
      </c>
      <c r="V93" s="639">
        <f t="shared" si="21"/>
        <v>592</v>
      </c>
      <c r="W93" s="640">
        <f t="shared" si="17"/>
        <v>0</v>
      </c>
    </row>
    <row r="94" spans="1:23" x14ac:dyDescent="0.25">
      <c r="A94" s="317"/>
      <c r="B94" s="2">
        <v>27.22</v>
      </c>
      <c r="C94" s="15"/>
      <c r="D94" s="69">
        <f t="shared" si="12"/>
        <v>0</v>
      </c>
      <c r="E94" s="325"/>
      <c r="F94" s="69">
        <f t="shared" si="13"/>
        <v>0</v>
      </c>
      <c r="G94" s="70"/>
      <c r="H94" s="71"/>
      <c r="I94" s="638">
        <f t="shared" si="18"/>
        <v>4760.7799999999961</v>
      </c>
      <c r="J94" s="639">
        <f t="shared" si="20"/>
        <v>175</v>
      </c>
      <c r="K94" s="640">
        <f t="shared" si="16"/>
        <v>0</v>
      </c>
      <c r="M94" s="317"/>
      <c r="N94" s="2">
        <v>27.22</v>
      </c>
      <c r="O94" s="15"/>
      <c r="P94" s="69">
        <f t="shared" si="14"/>
        <v>0</v>
      </c>
      <c r="Q94" s="325"/>
      <c r="R94" s="69">
        <f t="shared" si="15"/>
        <v>0</v>
      </c>
      <c r="S94" s="70"/>
      <c r="T94" s="71"/>
      <c r="U94" s="638">
        <f t="shared" si="19"/>
        <v>16111.6</v>
      </c>
      <c r="V94" s="639">
        <f t="shared" si="21"/>
        <v>592</v>
      </c>
      <c r="W94" s="640">
        <f t="shared" si="17"/>
        <v>0</v>
      </c>
    </row>
    <row r="95" spans="1:23" x14ac:dyDescent="0.25">
      <c r="A95" s="317"/>
      <c r="B95" s="2">
        <v>27.22</v>
      </c>
      <c r="C95" s="15"/>
      <c r="D95" s="69">
        <f t="shared" si="12"/>
        <v>0</v>
      </c>
      <c r="E95" s="325"/>
      <c r="F95" s="69">
        <f t="shared" si="13"/>
        <v>0</v>
      </c>
      <c r="G95" s="70"/>
      <c r="H95" s="71"/>
      <c r="I95" s="638">
        <f t="shared" si="18"/>
        <v>4760.7799999999961</v>
      </c>
      <c r="J95" s="639">
        <f t="shared" si="20"/>
        <v>175</v>
      </c>
      <c r="K95" s="640">
        <f t="shared" si="16"/>
        <v>0</v>
      </c>
      <c r="M95" s="317"/>
      <c r="N95" s="2">
        <v>27.22</v>
      </c>
      <c r="O95" s="15"/>
      <c r="P95" s="69">
        <f t="shared" si="14"/>
        <v>0</v>
      </c>
      <c r="Q95" s="325"/>
      <c r="R95" s="69">
        <f t="shared" si="15"/>
        <v>0</v>
      </c>
      <c r="S95" s="70"/>
      <c r="T95" s="71"/>
      <c r="U95" s="638">
        <f t="shared" si="19"/>
        <v>16111.6</v>
      </c>
      <c r="V95" s="639">
        <f t="shared" si="21"/>
        <v>592</v>
      </c>
      <c r="W95" s="640">
        <f t="shared" si="17"/>
        <v>0</v>
      </c>
    </row>
    <row r="96" spans="1:23" x14ac:dyDescent="0.25">
      <c r="A96" s="317"/>
      <c r="B96" s="2">
        <v>27.22</v>
      </c>
      <c r="C96" s="15"/>
      <c r="D96" s="69">
        <f t="shared" si="12"/>
        <v>0</v>
      </c>
      <c r="E96" s="325"/>
      <c r="F96" s="69">
        <f t="shared" si="13"/>
        <v>0</v>
      </c>
      <c r="G96" s="70"/>
      <c r="H96" s="71"/>
      <c r="I96" s="638">
        <f t="shared" si="18"/>
        <v>4760.7799999999961</v>
      </c>
      <c r="J96" s="639">
        <f t="shared" si="20"/>
        <v>175</v>
      </c>
      <c r="K96" s="640">
        <f t="shared" si="16"/>
        <v>0</v>
      </c>
      <c r="M96" s="317"/>
      <c r="N96" s="2">
        <v>27.22</v>
      </c>
      <c r="O96" s="15"/>
      <c r="P96" s="69">
        <f t="shared" si="14"/>
        <v>0</v>
      </c>
      <c r="Q96" s="325"/>
      <c r="R96" s="69">
        <f t="shared" si="15"/>
        <v>0</v>
      </c>
      <c r="S96" s="70"/>
      <c r="T96" s="71"/>
      <c r="U96" s="638">
        <f t="shared" si="19"/>
        <v>16111.6</v>
      </c>
      <c r="V96" s="639">
        <f t="shared" si="21"/>
        <v>592</v>
      </c>
      <c r="W96" s="640">
        <f t="shared" si="17"/>
        <v>0</v>
      </c>
    </row>
    <row r="97" spans="1:23" x14ac:dyDescent="0.25">
      <c r="A97" s="317"/>
      <c r="B97" s="2">
        <v>27.22</v>
      </c>
      <c r="C97" s="15"/>
      <c r="D97" s="69">
        <f t="shared" si="12"/>
        <v>0</v>
      </c>
      <c r="E97" s="325"/>
      <c r="F97" s="69">
        <f t="shared" si="13"/>
        <v>0</v>
      </c>
      <c r="G97" s="70"/>
      <c r="H97" s="71"/>
      <c r="I97" s="638">
        <f t="shared" si="18"/>
        <v>4760.7799999999961</v>
      </c>
      <c r="J97" s="639">
        <f t="shared" si="20"/>
        <v>175</v>
      </c>
      <c r="K97" s="640">
        <f t="shared" si="16"/>
        <v>0</v>
      </c>
      <c r="M97" s="317"/>
      <c r="N97" s="2">
        <v>27.22</v>
      </c>
      <c r="O97" s="15"/>
      <c r="P97" s="69">
        <f t="shared" si="14"/>
        <v>0</v>
      </c>
      <c r="Q97" s="325"/>
      <c r="R97" s="69">
        <f t="shared" si="15"/>
        <v>0</v>
      </c>
      <c r="S97" s="70"/>
      <c r="T97" s="71"/>
      <c r="U97" s="638">
        <f t="shared" si="19"/>
        <v>16111.6</v>
      </c>
      <c r="V97" s="639">
        <f t="shared" si="21"/>
        <v>592</v>
      </c>
      <c r="W97" s="640">
        <f t="shared" si="17"/>
        <v>0</v>
      </c>
    </row>
    <row r="98" spans="1:23" x14ac:dyDescent="0.25">
      <c r="A98" s="317"/>
      <c r="B98" s="2">
        <v>27.22</v>
      </c>
      <c r="C98" s="15"/>
      <c r="D98" s="69">
        <f t="shared" si="12"/>
        <v>0</v>
      </c>
      <c r="E98" s="325"/>
      <c r="F98" s="69">
        <f t="shared" si="13"/>
        <v>0</v>
      </c>
      <c r="G98" s="70"/>
      <c r="H98" s="71"/>
      <c r="I98" s="638">
        <f t="shared" si="18"/>
        <v>4760.7799999999961</v>
      </c>
      <c r="J98" s="639">
        <f t="shared" si="20"/>
        <v>175</v>
      </c>
      <c r="K98" s="640">
        <f t="shared" si="16"/>
        <v>0</v>
      </c>
      <c r="M98" s="317"/>
      <c r="N98" s="2">
        <v>27.22</v>
      </c>
      <c r="O98" s="15"/>
      <c r="P98" s="69">
        <f t="shared" si="14"/>
        <v>0</v>
      </c>
      <c r="Q98" s="325"/>
      <c r="R98" s="69">
        <f t="shared" si="15"/>
        <v>0</v>
      </c>
      <c r="S98" s="70"/>
      <c r="T98" s="71"/>
      <c r="U98" s="638">
        <f t="shared" si="19"/>
        <v>16111.6</v>
      </c>
      <c r="V98" s="639">
        <f t="shared" si="21"/>
        <v>592</v>
      </c>
      <c r="W98" s="640">
        <f t="shared" si="17"/>
        <v>0</v>
      </c>
    </row>
    <row r="99" spans="1:23" x14ac:dyDescent="0.25">
      <c r="A99" s="317"/>
      <c r="B99" s="2">
        <v>27.22</v>
      </c>
      <c r="C99" s="15"/>
      <c r="D99" s="69">
        <f t="shared" si="12"/>
        <v>0</v>
      </c>
      <c r="E99" s="325"/>
      <c r="F99" s="69">
        <f t="shared" si="13"/>
        <v>0</v>
      </c>
      <c r="G99" s="70"/>
      <c r="H99" s="71"/>
      <c r="I99" s="638">
        <f t="shared" si="18"/>
        <v>4760.7799999999961</v>
      </c>
      <c r="J99" s="639">
        <f t="shared" si="20"/>
        <v>175</v>
      </c>
      <c r="K99" s="640">
        <f t="shared" si="16"/>
        <v>0</v>
      </c>
      <c r="M99" s="317"/>
      <c r="N99" s="2">
        <v>27.22</v>
      </c>
      <c r="O99" s="15"/>
      <c r="P99" s="69">
        <f t="shared" si="14"/>
        <v>0</v>
      </c>
      <c r="Q99" s="325"/>
      <c r="R99" s="69">
        <f t="shared" si="15"/>
        <v>0</v>
      </c>
      <c r="S99" s="70"/>
      <c r="T99" s="71"/>
      <c r="U99" s="638">
        <f t="shared" si="19"/>
        <v>16111.6</v>
      </c>
      <c r="V99" s="639">
        <f t="shared" si="21"/>
        <v>592</v>
      </c>
      <c r="W99" s="640">
        <f t="shared" si="17"/>
        <v>0</v>
      </c>
    </row>
    <row r="100" spans="1:23" x14ac:dyDescent="0.25">
      <c r="A100" s="317"/>
      <c r="B100" s="2">
        <v>27.22</v>
      </c>
      <c r="C100" s="15"/>
      <c r="D100" s="69">
        <f t="shared" si="12"/>
        <v>0</v>
      </c>
      <c r="E100" s="325"/>
      <c r="F100" s="69">
        <f t="shared" si="13"/>
        <v>0</v>
      </c>
      <c r="G100" s="70"/>
      <c r="H100" s="71"/>
      <c r="I100" s="638">
        <f t="shared" si="18"/>
        <v>4760.7799999999961</v>
      </c>
      <c r="J100" s="639">
        <f t="shared" si="20"/>
        <v>175</v>
      </c>
      <c r="K100" s="640">
        <f t="shared" si="16"/>
        <v>0</v>
      </c>
      <c r="M100" s="317"/>
      <c r="N100" s="2">
        <v>27.22</v>
      </c>
      <c r="O100" s="15"/>
      <c r="P100" s="69">
        <f t="shared" si="14"/>
        <v>0</v>
      </c>
      <c r="Q100" s="325"/>
      <c r="R100" s="69">
        <f t="shared" si="15"/>
        <v>0</v>
      </c>
      <c r="S100" s="70"/>
      <c r="T100" s="71"/>
      <c r="U100" s="638">
        <f t="shared" si="19"/>
        <v>16111.6</v>
      </c>
      <c r="V100" s="639">
        <f t="shared" si="21"/>
        <v>592</v>
      </c>
      <c r="W100" s="640">
        <f t="shared" si="17"/>
        <v>0</v>
      </c>
    </row>
    <row r="101" spans="1:23" x14ac:dyDescent="0.25">
      <c r="A101" s="317"/>
      <c r="B101" s="2">
        <v>27.22</v>
      </c>
      <c r="C101" s="15"/>
      <c r="D101" s="69">
        <f t="shared" si="12"/>
        <v>0</v>
      </c>
      <c r="E101" s="325"/>
      <c r="F101" s="69">
        <f t="shared" si="13"/>
        <v>0</v>
      </c>
      <c r="G101" s="70"/>
      <c r="H101" s="71"/>
      <c r="I101" s="638">
        <f t="shared" si="18"/>
        <v>4760.7799999999961</v>
      </c>
      <c r="J101" s="639">
        <f t="shared" si="20"/>
        <v>175</v>
      </c>
      <c r="K101" s="640">
        <f t="shared" si="16"/>
        <v>0</v>
      </c>
      <c r="M101" s="317"/>
      <c r="N101" s="2">
        <v>27.22</v>
      </c>
      <c r="O101" s="15"/>
      <c r="P101" s="69">
        <f t="shared" si="14"/>
        <v>0</v>
      </c>
      <c r="Q101" s="325"/>
      <c r="R101" s="69">
        <f t="shared" si="15"/>
        <v>0</v>
      </c>
      <c r="S101" s="70"/>
      <c r="T101" s="71"/>
      <c r="U101" s="638">
        <f t="shared" si="19"/>
        <v>16111.6</v>
      </c>
      <c r="V101" s="639">
        <f t="shared" si="21"/>
        <v>592</v>
      </c>
      <c r="W101" s="640">
        <f t="shared" si="17"/>
        <v>0</v>
      </c>
    </row>
    <row r="102" spans="1:23" x14ac:dyDescent="0.25">
      <c r="A102" s="317"/>
      <c r="B102" s="2">
        <v>27.22</v>
      </c>
      <c r="C102" s="15"/>
      <c r="D102" s="69">
        <f t="shared" si="12"/>
        <v>0</v>
      </c>
      <c r="E102" s="325"/>
      <c r="F102" s="69">
        <f t="shared" si="13"/>
        <v>0</v>
      </c>
      <c r="G102" s="70"/>
      <c r="H102" s="71"/>
      <c r="I102" s="638">
        <f t="shared" si="18"/>
        <v>4760.7799999999961</v>
      </c>
      <c r="J102" s="639">
        <f t="shared" si="20"/>
        <v>175</v>
      </c>
      <c r="K102" s="640">
        <f t="shared" si="16"/>
        <v>0</v>
      </c>
      <c r="M102" s="317"/>
      <c r="N102" s="2">
        <v>27.22</v>
      </c>
      <c r="O102" s="15"/>
      <c r="P102" s="69">
        <f t="shared" si="14"/>
        <v>0</v>
      </c>
      <c r="Q102" s="325"/>
      <c r="R102" s="69">
        <f t="shared" si="15"/>
        <v>0</v>
      </c>
      <c r="S102" s="70"/>
      <c r="T102" s="71"/>
      <c r="U102" s="638">
        <f t="shared" si="19"/>
        <v>16111.6</v>
      </c>
      <c r="V102" s="639">
        <f t="shared" si="21"/>
        <v>592</v>
      </c>
      <c r="W102" s="640">
        <f t="shared" si="17"/>
        <v>0</v>
      </c>
    </row>
    <row r="103" spans="1:23" x14ac:dyDescent="0.25">
      <c r="A103" s="317"/>
      <c r="B103" s="2">
        <v>27.22</v>
      </c>
      <c r="C103" s="15"/>
      <c r="D103" s="69">
        <f t="shared" si="12"/>
        <v>0</v>
      </c>
      <c r="E103" s="325"/>
      <c r="F103" s="69">
        <f t="shared" si="13"/>
        <v>0</v>
      </c>
      <c r="G103" s="70"/>
      <c r="H103" s="71"/>
      <c r="I103" s="638">
        <f t="shared" si="18"/>
        <v>4760.7799999999961</v>
      </c>
      <c r="J103" s="639">
        <f t="shared" si="20"/>
        <v>175</v>
      </c>
      <c r="K103" s="640">
        <f t="shared" si="16"/>
        <v>0</v>
      </c>
      <c r="M103" s="317"/>
      <c r="N103" s="2">
        <v>27.22</v>
      </c>
      <c r="O103" s="15"/>
      <c r="P103" s="69">
        <f t="shared" si="14"/>
        <v>0</v>
      </c>
      <c r="Q103" s="325"/>
      <c r="R103" s="69">
        <f t="shared" si="15"/>
        <v>0</v>
      </c>
      <c r="S103" s="70"/>
      <c r="T103" s="71"/>
      <c r="U103" s="638">
        <f t="shared" si="19"/>
        <v>16111.6</v>
      </c>
      <c r="V103" s="639">
        <f t="shared" si="21"/>
        <v>592</v>
      </c>
      <c r="W103" s="640">
        <f t="shared" si="17"/>
        <v>0</v>
      </c>
    </row>
    <row r="104" spans="1:23" x14ac:dyDescent="0.25">
      <c r="A104" s="317"/>
      <c r="B104" s="2">
        <v>27.22</v>
      </c>
      <c r="C104" s="15"/>
      <c r="D104" s="69">
        <f t="shared" si="12"/>
        <v>0</v>
      </c>
      <c r="E104" s="325"/>
      <c r="F104" s="69">
        <f t="shared" si="13"/>
        <v>0</v>
      </c>
      <c r="G104" s="70"/>
      <c r="H104" s="71"/>
      <c r="I104" s="638">
        <f t="shared" si="18"/>
        <v>4760.7799999999961</v>
      </c>
      <c r="J104" s="639">
        <f t="shared" si="20"/>
        <v>175</v>
      </c>
      <c r="K104" s="640">
        <f t="shared" si="16"/>
        <v>0</v>
      </c>
      <c r="M104" s="317"/>
      <c r="N104" s="2">
        <v>27.22</v>
      </c>
      <c r="O104" s="15"/>
      <c r="P104" s="69">
        <f t="shared" si="14"/>
        <v>0</v>
      </c>
      <c r="Q104" s="325"/>
      <c r="R104" s="69">
        <f t="shared" si="15"/>
        <v>0</v>
      </c>
      <c r="S104" s="70"/>
      <c r="T104" s="71"/>
      <c r="U104" s="638">
        <f t="shared" si="19"/>
        <v>16111.6</v>
      </c>
      <c r="V104" s="639">
        <f t="shared" si="21"/>
        <v>592</v>
      </c>
      <c r="W104" s="640">
        <f t="shared" si="17"/>
        <v>0</v>
      </c>
    </row>
    <row r="105" spans="1:23" x14ac:dyDescent="0.25">
      <c r="A105" s="317"/>
      <c r="B105" s="2">
        <v>27.22</v>
      </c>
      <c r="C105" s="15"/>
      <c r="D105" s="69">
        <f t="shared" si="12"/>
        <v>0</v>
      </c>
      <c r="E105" s="325"/>
      <c r="F105" s="69">
        <f t="shared" si="13"/>
        <v>0</v>
      </c>
      <c r="G105" s="70"/>
      <c r="H105" s="71"/>
      <c r="I105" s="638">
        <f t="shared" si="18"/>
        <v>4760.7799999999961</v>
      </c>
      <c r="J105" s="639">
        <f t="shared" si="20"/>
        <v>175</v>
      </c>
      <c r="K105" s="640">
        <f t="shared" si="16"/>
        <v>0</v>
      </c>
      <c r="M105" s="317"/>
      <c r="N105" s="2">
        <v>27.22</v>
      </c>
      <c r="O105" s="15"/>
      <c r="P105" s="69">
        <f t="shared" si="14"/>
        <v>0</v>
      </c>
      <c r="Q105" s="325"/>
      <c r="R105" s="69">
        <f t="shared" si="15"/>
        <v>0</v>
      </c>
      <c r="S105" s="70"/>
      <c r="T105" s="71"/>
      <c r="U105" s="638">
        <f t="shared" si="19"/>
        <v>16111.6</v>
      </c>
      <c r="V105" s="639">
        <f t="shared" si="21"/>
        <v>592</v>
      </c>
      <c r="W105" s="640">
        <f t="shared" si="17"/>
        <v>0</v>
      </c>
    </row>
    <row r="106" spans="1:23" x14ac:dyDescent="0.25">
      <c r="A106" s="317"/>
      <c r="B106" s="2">
        <v>27.22</v>
      </c>
      <c r="C106" s="15"/>
      <c r="D106" s="69">
        <f t="shared" si="12"/>
        <v>0</v>
      </c>
      <c r="E106" s="325"/>
      <c r="F106" s="69">
        <f t="shared" si="13"/>
        <v>0</v>
      </c>
      <c r="G106" s="70"/>
      <c r="H106" s="71"/>
      <c r="I106" s="638">
        <f t="shared" si="18"/>
        <v>4760.7799999999961</v>
      </c>
      <c r="J106" s="639">
        <f t="shared" si="20"/>
        <v>175</v>
      </c>
      <c r="K106" s="640">
        <f t="shared" si="16"/>
        <v>0</v>
      </c>
      <c r="M106" s="317"/>
      <c r="N106" s="2">
        <v>27.22</v>
      </c>
      <c r="O106" s="15"/>
      <c r="P106" s="69">
        <f t="shared" si="14"/>
        <v>0</v>
      </c>
      <c r="Q106" s="325"/>
      <c r="R106" s="69">
        <f t="shared" si="15"/>
        <v>0</v>
      </c>
      <c r="S106" s="70"/>
      <c r="T106" s="71"/>
      <c r="U106" s="638">
        <f t="shared" si="19"/>
        <v>16111.6</v>
      </c>
      <c r="V106" s="639">
        <f t="shared" si="21"/>
        <v>592</v>
      </c>
      <c r="W106" s="640">
        <f t="shared" si="17"/>
        <v>0</v>
      </c>
    </row>
    <row r="107" spans="1:23" x14ac:dyDescent="0.25">
      <c r="A107" s="317"/>
      <c r="B107" s="2">
        <v>27.22</v>
      </c>
      <c r="C107" s="15"/>
      <c r="D107" s="69">
        <f t="shared" si="12"/>
        <v>0</v>
      </c>
      <c r="E107" s="325"/>
      <c r="F107" s="69">
        <f t="shared" si="13"/>
        <v>0</v>
      </c>
      <c r="G107" s="70"/>
      <c r="H107" s="71"/>
      <c r="I107" s="638">
        <f t="shared" si="18"/>
        <v>4760.7799999999961</v>
      </c>
      <c r="J107" s="639">
        <f t="shared" si="20"/>
        <v>175</v>
      </c>
      <c r="K107" s="640">
        <f t="shared" si="16"/>
        <v>0</v>
      </c>
      <c r="M107" s="317"/>
      <c r="N107" s="2">
        <v>27.22</v>
      </c>
      <c r="O107" s="15"/>
      <c r="P107" s="69">
        <f t="shared" si="14"/>
        <v>0</v>
      </c>
      <c r="Q107" s="325"/>
      <c r="R107" s="69">
        <f t="shared" si="15"/>
        <v>0</v>
      </c>
      <c r="S107" s="70"/>
      <c r="T107" s="71"/>
      <c r="U107" s="638">
        <f t="shared" si="19"/>
        <v>16111.6</v>
      </c>
      <c r="V107" s="639">
        <f t="shared" si="21"/>
        <v>592</v>
      </c>
      <c r="W107" s="640">
        <f t="shared" si="17"/>
        <v>0</v>
      </c>
    </row>
    <row r="108" spans="1:23" x14ac:dyDescent="0.25">
      <c r="A108" s="317"/>
      <c r="B108" s="2">
        <v>27.22</v>
      </c>
      <c r="C108" s="15"/>
      <c r="D108" s="69">
        <f t="shared" si="12"/>
        <v>0</v>
      </c>
      <c r="E108" s="325"/>
      <c r="F108" s="69">
        <f t="shared" si="13"/>
        <v>0</v>
      </c>
      <c r="G108" s="70"/>
      <c r="H108" s="71"/>
      <c r="I108" s="638">
        <f t="shared" si="18"/>
        <v>4760.7799999999961</v>
      </c>
      <c r="J108" s="639">
        <f t="shared" si="20"/>
        <v>175</v>
      </c>
      <c r="K108" s="640">
        <f t="shared" si="16"/>
        <v>0</v>
      </c>
      <c r="M108" s="317"/>
      <c r="N108" s="2">
        <v>27.22</v>
      </c>
      <c r="O108" s="15"/>
      <c r="P108" s="69">
        <f t="shared" si="14"/>
        <v>0</v>
      </c>
      <c r="Q108" s="325"/>
      <c r="R108" s="69">
        <f t="shared" si="15"/>
        <v>0</v>
      </c>
      <c r="S108" s="70"/>
      <c r="T108" s="71"/>
      <c r="U108" s="638">
        <f t="shared" si="19"/>
        <v>16111.6</v>
      </c>
      <c r="V108" s="639">
        <f t="shared" si="21"/>
        <v>592</v>
      </c>
      <c r="W108" s="640">
        <f t="shared" si="17"/>
        <v>0</v>
      </c>
    </row>
    <row r="109" spans="1:23" x14ac:dyDescent="0.25">
      <c r="A109" s="317"/>
      <c r="B109" s="2">
        <v>27.22</v>
      </c>
      <c r="C109" s="15"/>
      <c r="D109" s="69">
        <f t="shared" si="12"/>
        <v>0</v>
      </c>
      <c r="E109" s="325"/>
      <c r="F109" s="69">
        <f t="shared" si="13"/>
        <v>0</v>
      </c>
      <c r="G109" s="70"/>
      <c r="H109" s="71"/>
      <c r="I109" s="638">
        <f t="shared" si="18"/>
        <v>4760.7799999999961</v>
      </c>
      <c r="J109" s="639">
        <f t="shared" si="20"/>
        <v>175</v>
      </c>
      <c r="K109" s="640">
        <f t="shared" si="16"/>
        <v>0</v>
      </c>
      <c r="M109" s="317"/>
      <c r="N109" s="2">
        <v>27.22</v>
      </c>
      <c r="O109" s="15"/>
      <c r="P109" s="69">
        <f t="shared" si="14"/>
        <v>0</v>
      </c>
      <c r="Q109" s="325"/>
      <c r="R109" s="69">
        <f t="shared" si="15"/>
        <v>0</v>
      </c>
      <c r="S109" s="70"/>
      <c r="T109" s="71"/>
      <c r="U109" s="638">
        <f t="shared" si="19"/>
        <v>16111.6</v>
      </c>
      <c r="V109" s="639">
        <f t="shared" si="21"/>
        <v>592</v>
      </c>
      <c r="W109" s="640">
        <f t="shared" si="17"/>
        <v>0</v>
      </c>
    </row>
    <row r="110" spans="1:23" x14ac:dyDescent="0.25">
      <c r="A110" s="317"/>
      <c r="B110" s="2">
        <v>27.22</v>
      </c>
      <c r="C110" s="15"/>
      <c r="D110" s="69">
        <f t="shared" si="12"/>
        <v>0</v>
      </c>
      <c r="E110" s="325"/>
      <c r="F110" s="69">
        <f t="shared" si="13"/>
        <v>0</v>
      </c>
      <c r="G110" s="70"/>
      <c r="H110" s="71"/>
      <c r="I110" s="638">
        <f t="shared" si="18"/>
        <v>4760.7799999999961</v>
      </c>
      <c r="J110" s="639">
        <f t="shared" si="20"/>
        <v>175</v>
      </c>
      <c r="K110" s="640">
        <f t="shared" si="16"/>
        <v>0</v>
      </c>
      <c r="M110" s="317"/>
      <c r="N110" s="2">
        <v>27.22</v>
      </c>
      <c r="O110" s="15"/>
      <c r="P110" s="69">
        <f t="shared" si="14"/>
        <v>0</v>
      </c>
      <c r="Q110" s="325"/>
      <c r="R110" s="69">
        <f t="shared" si="15"/>
        <v>0</v>
      </c>
      <c r="S110" s="70"/>
      <c r="T110" s="71"/>
      <c r="U110" s="638">
        <f t="shared" si="19"/>
        <v>16111.6</v>
      </c>
      <c r="V110" s="639">
        <f t="shared" si="21"/>
        <v>592</v>
      </c>
      <c r="W110" s="640">
        <f t="shared" si="17"/>
        <v>0</v>
      </c>
    </row>
    <row r="111" spans="1:23" x14ac:dyDescent="0.25">
      <c r="A111" s="317"/>
      <c r="B111" s="2">
        <v>27.22</v>
      </c>
      <c r="C111" s="15"/>
      <c r="D111" s="69">
        <f t="shared" si="12"/>
        <v>0</v>
      </c>
      <c r="E111" s="325"/>
      <c r="F111" s="69">
        <f t="shared" si="13"/>
        <v>0</v>
      </c>
      <c r="G111" s="70"/>
      <c r="H111" s="71"/>
      <c r="I111" s="638">
        <f t="shared" si="18"/>
        <v>4760.7799999999961</v>
      </c>
      <c r="J111" s="639">
        <f t="shared" si="20"/>
        <v>175</v>
      </c>
      <c r="K111" s="640">
        <f t="shared" si="16"/>
        <v>0</v>
      </c>
      <c r="M111" s="317"/>
      <c r="N111" s="2">
        <v>27.22</v>
      </c>
      <c r="O111" s="15"/>
      <c r="P111" s="69">
        <f t="shared" si="14"/>
        <v>0</v>
      </c>
      <c r="Q111" s="325"/>
      <c r="R111" s="69">
        <f t="shared" si="15"/>
        <v>0</v>
      </c>
      <c r="S111" s="70"/>
      <c r="T111" s="71"/>
      <c r="U111" s="638">
        <f t="shared" si="19"/>
        <v>16111.6</v>
      </c>
      <c r="V111" s="639">
        <f t="shared" si="21"/>
        <v>592</v>
      </c>
      <c r="W111" s="640">
        <f t="shared" si="17"/>
        <v>0</v>
      </c>
    </row>
    <row r="112" spans="1:23" x14ac:dyDescent="0.25">
      <c r="A112" s="317"/>
      <c r="B112" s="2">
        <v>27.22</v>
      </c>
      <c r="C112" s="15"/>
      <c r="D112" s="69">
        <f t="shared" si="12"/>
        <v>0</v>
      </c>
      <c r="E112" s="325"/>
      <c r="F112" s="69">
        <f t="shared" si="13"/>
        <v>0</v>
      </c>
      <c r="G112" s="70"/>
      <c r="H112" s="71"/>
      <c r="I112" s="638">
        <f t="shared" si="18"/>
        <v>4760.7799999999961</v>
      </c>
      <c r="J112" s="639">
        <f t="shared" si="20"/>
        <v>175</v>
      </c>
      <c r="K112" s="640">
        <f t="shared" si="16"/>
        <v>0</v>
      </c>
      <c r="M112" s="317"/>
      <c r="N112" s="2">
        <v>27.22</v>
      </c>
      <c r="O112" s="15"/>
      <c r="P112" s="69">
        <f t="shared" si="14"/>
        <v>0</v>
      </c>
      <c r="Q112" s="325"/>
      <c r="R112" s="69">
        <f t="shared" si="15"/>
        <v>0</v>
      </c>
      <c r="S112" s="70"/>
      <c r="T112" s="71"/>
      <c r="U112" s="638">
        <f t="shared" si="19"/>
        <v>16111.6</v>
      </c>
      <c r="V112" s="639">
        <f t="shared" si="21"/>
        <v>592</v>
      </c>
      <c r="W112" s="640">
        <f t="shared" si="17"/>
        <v>0</v>
      </c>
    </row>
    <row r="113" spans="1:23" ht="15.75" thickBot="1" x14ac:dyDescent="0.3">
      <c r="A113">
        <f>SUM(A59:A60)</f>
        <v>0</v>
      </c>
      <c r="B113" s="2">
        <v>27.22</v>
      </c>
      <c r="C113" s="15"/>
      <c r="D113" s="69">
        <f t="shared" si="12"/>
        <v>0</v>
      </c>
      <c r="E113" s="325"/>
      <c r="F113" s="69">
        <f t="shared" si="13"/>
        <v>0</v>
      </c>
      <c r="G113" s="70"/>
      <c r="H113" s="71"/>
      <c r="I113" s="638">
        <f t="shared" si="18"/>
        <v>4760.7799999999961</v>
      </c>
      <c r="J113" s="639">
        <f t="shared" si="20"/>
        <v>175</v>
      </c>
      <c r="K113" s="642">
        <f t="shared" si="16"/>
        <v>0</v>
      </c>
      <c r="M113">
        <f>SUM(M59:M60)</f>
        <v>0</v>
      </c>
      <c r="N113" s="2">
        <v>27.22</v>
      </c>
      <c r="O113" s="15"/>
      <c r="P113" s="69">
        <f t="shared" si="14"/>
        <v>0</v>
      </c>
      <c r="Q113" s="325"/>
      <c r="R113" s="69">
        <f t="shared" si="15"/>
        <v>0</v>
      </c>
      <c r="S113" s="70"/>
      <c r="T113" s="71"/>
      <c r="U113" s="638">
        <f t="shared" si="19"/>
        <v>16111.6</v>
      </c>
      <c r="V113" s="639">
        <f t="shared" si="21"/>
        <v>592</v>
      </c>
      <c r="W113" s="642">
        <f t="shared" si="17"/>
        <v>0</v>
      </c>
    </row>
    <row r="114" spans="1:23" ht="16.5" thickTop="1" thickBot="1" x14ac:dyDescent="0.3">
      <c r="B114" s="2">
        <v>27.22</v>
      </c>
      <c r="C114" s="36"/>
      <c r="D114" s="69">
        <f t="shared" si="12"/>
        <v>0</v>
      </c>
      <c r="E114" s="162"/>
      <c r="F114" s="155">
        <f t="shared" si="13"/>
        <v>0</v>
      </c>
      <c r="G114" s="139"/>
      <c r="H114" s="71"/>
      <c r="K114" s="71">
        <f t="shared" si="16"/>
        <v>0</v>
      </c>
      <c r="N114" s="2">
        <v>27.22</v>
      </c>
      <c r="O114" s="36"/>
      <c r="P114" s="69">
        <f t="shared" si="14"/>
        <v>0</v>
      </c>
      <c r="Q114" s="162"/>
      <c r="R114" s="155">
        <f t="shared" si="15"/>
        <v>0</v>
      </c>
      <c r="S114" s="139"/>
      <c r="T114" s="71"/>
      <c r="W114" s="71">
        <f t="shared" si="17"/>
        <v>0</v>
      </c>
    </row>
    <row r="115" spans="1:23" x14ac:dyDescent="0.25">
      <c r="C115" s="53">
        <f>SUM(C9:C114)</f>
        <v>505</v>
      </c>
      <c r="D115" s="6">
        <f>SUM(D9:D114)</f>
        <v>13746.099999999997</v>
      </c>
      <c r="F115" s="6">
        <f>SUM(F9:F114)</f>
        <v>13746.099999999997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175</v>
      </c>
      <c r="P118" s="45" t="s">
        <v>4</v>
      </c>
      <c r="Q118" s="56">
        <f>R5-O115+R4+R6</f>
        <v>592</v>
      </c>
    </row>
    <row r="119" spans="1:23" ht="15.75" thickBot="1" x14ac:dyDescent="0.3"/>
    <row r="120" spans="1:23" ht="15.75" thickBot="1" x14ac:dyDescent="0.3">
      <c r="C120" s="1200" t="s">
        <v>11</v>
      </c>
      <c r="D120" s="1201"/>
      <c r="E120" s="57">
        <f>E4+E5+E6-F115</f>
        <v>4760.7800000000043</v>
      </c>
      <c r="G120" s="47"/>
      <c r="H120" s="91"/>
      <c r="O120" s="1200" t="s">
        <v>11</v>
      </c>
      <c r="P120" s="1201"/>
      <c r="Q120" s="57">
        <f>Q4+Q5+Q6-R115</f>
        <v>16111.6</v>
      </c>
      <c r="S120" s="47"/>
      <c r="T120" s="91"/>
    </row>
  </sheetData>
  <mergeCells count="4">
    <mergeCell ref="A1:J1"/>
    <mergeCell ref="C120:D120"/>
    <mergeCell ref="M1:V1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9" activePane="bottomLeft" state="frozen"/>
      <selection activeCell="B1" sqref="B1"/>
      <selection pane="bottomLeft" activeCell="F5" sqref="F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02" t="s">
        <v>240</v>
      </c>
      <c r="B1" s="1202"/>
      <c r="C1" s="1202"/>
      <c r="D1" s="1202"/>
      <c r="E1" s="1202"/>
      <c r="F1" s="1202"/>
      <c r="G1" s="120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40"/>
      <c r="B4" s="296"/>
      <c r="C4" s="322"/>
      <c r="D4" s="248"/>
      <c r="E4" s="308"/>
      <c r="F4" s="243"/>
      <c r="G4" s="73"/>
    </row>
    <row r="5" spans="1:9" ht="15.75" customHeight="1" x14ac:dyDescent="0.25">
      <c r="A5" s="1196" t="s">
        <v>557</v>
      </c>
      <c r="B5" s="461" t="s">
        <v>69</v>
      </c>
      <c r="C5" s="249">
        <v>67</v>
      </c>
      <c r="D5" s="248">
        <v>44698</v>
      </c>
      <c r="E5" s="308">
        <v>1004.21</v>
      </c>
      <c r="F5" s="243">
        <v>67</v>
      </c>
      <c r="G5" s="262">
        <f>F55</f>
        <v>0</v>
      </c>
      <c r="H5" s="7">
        <f>E5-G5+E4+E6+E7</f>
        <v>1004.21</v>
      </c>
    </row>
    <row r="6" spans="1:9" ht="15" customHeight="1" x14ac:dyDescent="0.25">
      <c r="A6" s="1196"/>
      <c r="B6" s="462" t="s">
        <v>70</v>
      </c>
      <c r="C6" s="249"/>
      <c r="D6" s="274"/>
      <c r="E6" s="259"/>
      <c r="F6" s="253"/>
      <c r="G6" s="240"/>
    </row>
    <row r="7" spans="1:9" ht="15.75" thickBot="1" x14ac:dyDescent="0.3">
      <c r="A7" s="240"/>
      <c r="B7" s="243"/>
      <c r="C7" s="249"/>
      <c r="D7" s="274"/>
      <c r="E7" s="275"/>
      <c r="F7" s="24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95">
        <f>F4+F5+F6+F7-C9</f>
        <v>67</v>
      </c>
      <c r="C9" s="53"/>
      <c r="D9" s="264"/>
      <c r="E9" s="739"/>
      <c r="F9" s="264">
        <f t="shared" ref="F9:F54" si="0">D9</f>
        <v>0</v>
      </c>
      <c r="G9" s="265"/>
      <c r="H9" s="266"/>
      <c r="I9" s="259">
        <f>E6+E5+E4-F9+E7</f>
        <v>1004.21</v>
      </c>
    </row>
    <row r="10" spans="1:9" x14ac:dyDescent="0.25">
      <c r="A10" s="77"/>
      <c r="B10" s="195">
        <f t="shared" ref="B10:B53" si="1">B9-C10</f>
        <v>67</v>
      </c>
      <c r="C10" s="53"/>
      <c r="D10" s="264"/>
      <c r="E10" s="739"/>
      <c r="F10" s="264">
        <f t="shared" si="0"/>
        <v>0</v>
      </c>
      <c r="G10" s="265"/>
      <c r="H10" s="266"/>
      <c r="I10" s="259">
        <f t="shared" ref="I10:I54" si="2">I9-F10</f>
        <v>1004.21</v>
      </c>
    </row>
    <row r="11" spans="1:9" x14ac:dyDescent="0.25">
      <c r="A11" s="12"/>
      <c r="B11" s="195">
        <f t="shared" si="1"/>
        <v>67</v>
      </c>
      <c r="C11" s="53"/>
      <c r="D11" s="264"/>
      <c r="E11" s="739"/>
      <c r="F11" s="264">
        <f t="shared" si="0"/>
        <v>0</v>
      </c>
      <c r="G11" s="265"/>
      <c r="H11" s="266"/>
      <c r="I11" s="259">
        <f t="shared" si="2"/>
        <v>1004.21</v>
      </c>
    </row>
    <row r="12" spans="1:9" x14ac:dyDescent="0.25">
      <c r="A12" s="55" t="s">
        <v>33</v>
      </c>
      <c r="B12" s="195">
        <f t="shared" si="1"/>
        <v>67</v>
      </c>
      <c r="C12" s="53"/>
      <c r="D12" s="264"/>
      <c r="E12" s="739"/>
      <c r="F12" s="264">
        <f t="shared" si="0"/>
        <v>0</v>
      </c>
      <c r="G12" s="265"/>
      <c r="H12" s="266"/>
      <c r="I12" s="259">
        <f t="shared" si="2"/>
        <v>1004.21</v>
      </c>
    </row>
    <row r="13" spans="1:9" x14ac:dyDescent="0.25">
      <c r="A13" s="77"/>
      <c r="B13" s="195">
        <f t="shared" si="1"/>
        <v>67</v>
      </c>
      <c r="C13" s="53"/>
      <c r="D13" s="264"/>
      <c r="E13" s="739"/>
      <c r="F13" s="264">
        <f t="shared" si="0"/>
        <v>0</v>
      </c>
      <c r="G13" s="265"/>
      <c r="H13" s="266"/>
      <c r="I13" s="259">
        <f t="shared" si="2"/>
        <v>1004.21</v>
      </c>
    </row>
    <row r="14" spans="1:9" x14ac:dyDescent="0.25">
      <c r="A14" s="12"/>
      <c r="B14" s="195">
        <f t="shared" si="1"/>
        <v>67</v>
      </c>
      <c r="C14" s="53"/>
      <c r="D14" s="264"/>
      <c r="E14" s="739"/>
      <c r="F14" s="264">
        <f t="shared" si="0"/>
        <v>0</v>
      </c>
      <c r="G14" s="265"/>
      <c r="H14" s="266"/>
      <c r="I14" s="259">
        <f t="shared" si="2"/>
        <v>1004.21</v>
      </c>
    </row>
    <row r="15" spans="1:9" x14ac:dyDescent="0.25">
      <c r="B15" s="195">
        <f t="shared" si="1"/>
        <v>67</v>
      </c>
      <c r="C15" s="53"/>
      <c r="D15" s="264"/>
      <c r="E15" s="739"/>
      <c r="F15" s="264">
        <f t="shared" si="0"/>
        <v>0</v>
      </c>
      <c r="G15" s="265"/>
      <c r="H15" s="266"/>
      <c r="I15" s="259">
        <f t="shared" si="2"/>
        <v>1004.21</v>
      </c>
    </row>
    <row r="16" spans="1:9" x14ac:dyDescent="0.25">
      <c r="B16" s="195">
        <f t="shared" si="1"/>
        <v>67</v>
      </c>
      <c r="C16" s="53"/>
      <c r="D16" s="264"/>
      <c r="E16" s="739"/>
      <c r="F16" s="264">
        <f t="shared" si="0"/>
        <v>0</v>
      </c>
      <c r="G16" s="265"/>
      <c r="H16" s="266"/>
      <c r="I16" s="259">
        <f t="shared" si="2"/>
        <v>1004.21</v>
      </c>
    </row>
    <row r="17" spans="2:9" x14ac:dyDescent="0.25">
      <c r="B17" s="195">
        <f t="shared" si="1"/>
        <v>67</v>
      </c>
      <c r="C17" s="53"/>
      <c r="D17" s="264"/>
      <c r="E17" s="739"/>
      <c r="F17" s="264">
        <f t="shared" si="0"/>
        <v>0</v>
      </c>
      <c r="G17" s="265"/>
      <c r="H17" s="266"/>
      <c r="I17" s="259">
        <f t="shared" si="2"/>
        <v>1004.21</v>
      </c>
    </row>
    <row r="18" spans="2:9" x14ac:dyDescent="0.25">
      <c r="B18" s="195">
        <f t="shared" si="1"/>
        <v>67</v>
      </c>
      <c r="C18" s="53"/>
      <c r="D18" s="264"/>
      <c r="E18" s="739"/>
      <c r="F18" s="264">
        <f t="shared" si="0"/>
        <v>0</v>
      </c>
      <c r="G18" s="265"/>
      <c r="H18" s="266"/>
      <c r="I18" s="259">
        <f t="shared" si="2"/>
        <v>1004.21</v>
      </c>
    </row>
    <row r="19" spans="2:9" x14ac:dyDescent="0.25">
      <c r="B19" s="195">
        <f t="shared" si="1"/>
        <v>67</v>
      </c>
      <c r="C19" s="53"/>
      <c r="D19" s="264"/>
      <c r="E19" s="739"/>
      <c r="F19" s="264">
        <f t="shared" si="0"/>
        <v>0</v>
      </c>
      <c r="G19" s="265"/>
      <c r="H19" s="266"/>
      <c r="I19" s="259">
        <f t="shared" si="2"/>
        <v>1004.21</v>
      </c>
    </row>
    <row r="20" spans="2:9" x14ac:dyDescent="0.25">
      <c r="B20" s="195">
        <f t="shared" si="1"/>
        <v>67</v>
      </c>
      <c r="C20" s="53"/>
      <c r="D20" s="264"/>
      <c r="E20" s="739"/>
      <c r="F20" s="264">
        <f t="shared" si="0"/>
        <v>0</v>
      </c>
      <c r="G20" s="265"/>
      <c r="H20" s="266"/>
      <c r="I20" s="259">
        <f t="shared" si="2"/>
        <v>1004.21</v>
      </c>
    </row>
    <row r="21" spans="2:9" x14ac:dyDescent="0.25">
      <c r="B21" s="195">
        <f t="shared" si="1"/>
        <v>67</v>
      </c>
      <c r="C21" s="53"/>
      <c r="D21" s="264"/>
      <c r="E21" s="739"/>
      <c r="F21" s="264">
        <f t="shared" si="0"/>
        <v>0</v>
      </c>
      <c r="G21" s="265"/>
      <c r="H21" s="266"/>
      <c r="I21" s="259">
        <f t="shared" si="2"/>
        <v>1004.21</v>
      </c>
    </row>
    <row r="22" spans="2:9" x14ac:dyDescent="0.25">
      <c r="B22" s="195">
        <f t="shared" si="1"/>
        <v>67</v>
      </c>
      <c r="C22" s="53"/>
      <c r="D22" s="264"/>
      <c r="E22" s="739"/>
      <c r="F22" s="264">
        <f t="shared" si="0"/>
        <v>0</v>
      </c>
      <c r="G22" s="265"/>
      <c r="H22" s="266"/>
      <c r="I22" s="259">
        <f t="shared" si="2"/>
        <v>1004.21</v>
      </c>
    </row>
    <row r="23" spans="2:9" x14ac:dyDescent="0.25">
      <c r="B23" s="195">
        <f t="shared" si="1"/>
        <v>67</v>
      </c>
      <c r="C23" s="53"/>
      <c r="D23" s="264"/>
      <c r="E23" s="739"/>
      <c r="F23" s="264">
        <f t="shared" si="0"/>
        <v>0</v>
      </c>
      <c r="G23" s="265"/>
      <c r="H23" s="266"/>
      <c r="I23" s="259">
        <f t="shared" si="2"/>
        <v>1004.21</v>
      </c>
    </row>
    <row r="24" spans="2:9" x14ac:dyDescent="0.25">
      <c r="B24" s="195">
        <f t="shared" si="1"/>
        <v>67</v>
      </c>
      <c r="C24" s="53"/>
      <c r="D24" s="264"/>
      <c r="E24" s="739"/>
      <c r="F24" s="264">
        <f t="shared" si="0"/>
        <v>0</v>
      </c>
      <c r="G24" s="265"/>
      <c r="H24" s="266"/>
      <c r="I24" s="259">
        <f t="shared" si="2"/>
        <v>1004.21</v>
      </c>
    </row>
    <row r="25" spans="2:9" x14ac:dyDescent="0.25">
      <c r="B25" s="195">
        <f t="shared" si="1"/>
        <v>67</v>
      </c>
      <c r="C25" s="53"/>
      <c r="D25" s="264"/>
      <c r="E25" s="739"/>
      <c r="F25" s="264">
        <f t="shared" si="0"/>
        <v>0</v>
      </c>
      <c r="G25" s="265"/>
      <c r="H25" s="266"/>
      <c r="I25" s="259">
        <f t="shared" si="2"/>
        <v>1004.21</v>
      </c>
    </row>
    <row r="26" spans="2:9" x14ac:dyDescent="0.25">
      <c r="B26" s="195">
        <f t="shared" si="1"/>
        <v>67</v>
      </c>
      <c r="C26" s="53"/>
      <c r="D26" s="264"/>
      <c r="E26" s="739"/>
      <c r="F26" s="264">
        <f t="shared" si="0"/>
        <v>0</v>
      </c>
      <c r="G26" s="265"/>
      <c r="H26" s="266"/>
      <c r="I26" s="259">
        <f t="shared" si="2"/>
        <v>1004.21</v>
      </c>
    </row>
    <row r="27" spans="2:9" x14ac:dyDescent="0.25">
      <c r="B27" s="195">
        <f t="shared" si="1"/>
        <v>67</v>
      </c>
      <c r="C27" s="53"/>
      <c r="D27" s="264"/>
      <c r="E27" s="739"/>
      <c r="F27" s="264">
        <f t="shared" si="0"/>
        <v>0</v>
      </c>
      <c r="G27" s="265"/>
      <c r="H27" s="266"/>
      <c r="I27" s="259">
        <f t="shared" si="2"/>
        <v>1004.21</v>
      </c>
    </row>
    <row r="28" spans="2:9" x14ac:dyDescent="0.25">
      <c r="B28" s="195">
        <f t="shared" si="1"/>
        <v>67</v>
      </c>
      <c r="C28" s="53"/>
      <c r="D28" s="264"/>
      <c r="E28" s="739"/>
      <c r="F28" s="264">
        <f t="shared" si="0"/>
        <v>0</v>
      </c>
      <c r="G28" s="265"/>
      <c r="H28" s="266"/>
      <c r="I28" s="259">
        <f t="shared" si="2"/>
        <v>1004.21</v>
      </c>
    </row>
    <row r="29" spans="2:9" x14ac:dyDescent="0.25">
      <c r="B29" s="195">
        <f t="shared" si="1"/>
        <v>67</v>
      </c>
      <c r="C29" s="53"/>
      <c r="D29" s="264"/>
      <c r="E29" s="739"/>
      <c r="F29" s="264">
        <f t="shared" si="0"/>
        <v>0</v>
      </c>
      <c r="G29" s="265"/>
      <c r="H29" s="266"/>
      <c r="I29" s="259">
        <f t="shared" si="2"/>
        <v>1004.21</v>
      </c>
    </row>
    <row r="30" spans="2:9" x14ac:dyDescent="0.25">
      <c r="B30" s="195">
        <f t="shared" si="1"/>
        <v>67</v>
      </c>
      <c r="C30" s="53"/>
      <c r="D30" s="264"/>
      <c r="E30" s="739"/>
      <c r="F30" s="264">
        <f t="shared" si="0"/>
        <v>0</v>
      </c>
      <c r="G30" s="265"/>
      <c r="H30" s="266"/>
      <c r="I30" s="259">
        <f t="shared" si="2"/>
        <v>1004.21</v>
      </c>
    </row>
    <row r="31" spans="2:9" x14ac:dyDescent="0.25">
      <c r="B31" s="195">
        <f t="shared" si="1"/>
        <v>67</v>
      </c>
      <c r="C31" s="15"/>
      <c r="D31" s="264"/>
      <c r="E31" s="739"/>
      <c r="F31" s="264">
        <f t="shared" si="0"/>
        <v>0</v>
      </c>
      <c r="G31" s="265"/>
      <c r="H31" s="266"/>
      <c r="I31" s="259">
        <f t="shared" si="2"/>
        <v>1004.21</v>
      </c>
    </row>
    <row r="32" spans="2:9" x14ac:dyDescent="0.25">
      <c r="B32" s="195">
        <f t="shared" si="1"/>
        <v>67</v>
      </c>
      <c r="C32" s="15"/>
      <c r="D32" s="264"/>
      <c r="E32" s="739"/>
      <c r="F32" s="264">
        <f t="shared" si="0"/>
        <v>0</v>
      </c>
      <c r="G32" s="265"/>
      <c r="H32" s="266"/>
      <c r="I32" s="259">
        <f t="shared" si="2"/>
        <v>1004.21</v>
      </c>
    </row>
    <row r="33" spans="2:9" x14ac:dyDescent="0.25">
      <c r="B33" s="195">
        <f t="shared" si="1"/>
        <v>67</v>
      </c>
      <c r="C33" s="15"/>
      <c r="D33" s="264"/>
      <c r="E33" s="739"/>
      <c r="F33" s="264">
        <f t="shared" si="0"/>
        <v>0</v>
      </c>
      <c r="G33" s="265"/>
      <c r="H33" s="266"/>
      <c r="I33" s="259">
        <f t="shared" si="2"/>
        <v>1004.21</v>
      </c>
    </row>
    <row r="34" spans="2:9" x14ac:dyDescent="0.25">
      <c r="B34" s="195">
        <f t="shared" si="1"/>
        <v>67</v>
      </c>
      <c r="C34" s="15"/>
      <c r="D34" s="264"/>
      <c r="E34" s="739"/>
      <c r="F34" s="264">
        <f t="shared" si="0"/>
        <v>0</v>
      </c>
      <c r="G34" s="265"/>
      <c r="H34" s="266"/>
      <c r="I34" s="259">
        <f t="shared" si="2"/>
        <v>1004.21</v>
      </c>
    </row>
    <row r="35" spans="2:9" x14ac:dyDescent="0.25">
      <c r="B35" s="195">
        <f t="shared" si="1"/>
        <v>67</v>
      </c>
      <c r="C35" s="15"/>
      <c r="D35" s="264"/>
      <c r="E35" s="739"/>
      <c r="F35" s="264">
        <f t="shared" si="0"/>
        <v>0</v>
      </c>
      <c r="G35" s="265"/>
      <c r="H35" s="266"/>
      <c r="I35" s="259">
        <f t="shared" si="2"/>
        <v>1004.21</v>
      </c>
    </row>
    <row r="36" spans="2:9" x14ac:dyDescent="0.25">
      <c r="B36" s="195">
        <f t="shared" si="1"/>
        <v>67</v>
      </c>
      <c r="C36" s="15"/>
      <c r="D36" s="264"/>
      <c r="E36" s="739"/>
      <c r="F36" s="264">
        <f t="shared" si="0"/>
        <v>0</v>
      </c>
      <c r="G36" s="265"/>
      <c r="H36" s="266"/>
      <c r="I36" s="259">
        <f t="shared" si="2"/>
        <v>1004.21</v>
      </c>
    </row>
    <row r="37" spans="2:9" x14ac:dyDescent="0.25">
      <c r="B37" s="195">
        <f t="shared" si="1"/>
        <v>67</v>
      </c>
      <c r="C37" s="15"/>
      <c r="D37" s="264"/>
      <c r="E37" s="739"/>
      <c r="F37" s="264">
        <f t="shared" si="0"/>
        <v>0</v>
      </c>
      <c r="G37" s="265"/>
      <c r="H37" s="266"/>
      <c r="I37" s="259">
        <f t="shared" si="2"/>
        <v>1004.21</v>
      </c>
    </row>
    <row r="38" spans="2:9" x14ac:dyDescent="0.25">
      <c r="B38" s="195">
        <f t="shared" si="1"/>
        <v>67</v>
      </c>
      <c r="C38" s="15"/>
      <c r="D38" s="264"/>
      <c r="E38" s="739"/>
      <c r="F38" s="264">
        <f t="shared" si="0"/>
        <v>0</v>
      </c>
      <c r="G38" s="265"/>
      <c r="H38" s="266"/>
      <c r="I38" s="259">
        <f t="shared" si="2"/>
        <v>1004.21</v>
      </c>
    </row>
    <row r="39" spans="2:9" x14ac:dyDescent="0.25">
      <c r="B39" s="195">
        <f t="shared" si="1"/>
        <v>67</v>
      </c>
      <c r="C39" s="15"/>
      <c r="D39" s="264"/>
      <c r="E39" s="739"/>
      <c r="F39" s="264">
        <f t="shared" si="0"/>
        <v>0</v>
      </c>
      <c r="G39" s="265"/>
      <c r="H39" s="266"/>
      <c r="I39" s="259">
        <f t="shared" si="2"/>
        <v>1004.21</v>
      </c>
    </row>
    <row r="40" spans="2:9" x14ac:dyDescent="0.25">
      <c r="B40" s="195">
        <f t="shared" si="1"/>
        <v>67</v>
      </c>
      <c r="C40" s="15"/>
      <c r="D40" s="264"/>
      <c r="E40" s="739"/>
      <c r="F40" s="264">
        <f t="shared" si="0"/>
        <v>0</v>
      </c>
      <c r="G40" s="265"/>
      <c r="H40" s="266"/>
      <c r="I40" s="259">
        <f t="shared" si="2"/>
        <v>1004.21</v>
      </c>
    </row>
    <row r="41" spans="2:9" x14ac:dyDescent="0.25">
      <c r="B41" s="195">
        <f t="shared" si="1"/>
        <v>67</v>
      </c>
      <c r="C41" s="15"/>
      <c r="D41" s="264"/>
      <c r="E41" s="739"/>
      <c r="F41" s="264">
        <f t="shared" si="0"/>
        <v>0</v>
      </c>
      <c r="G41" s="265"/>
      <c r="H41" s="266"/>
      <c r="I41" s="259">
        <f t="shared" si="2"/>
        <v>1004.21</v>
      </c>
    </row>
    <row r="42" spans="2:9" x14ac:dyDescent="0.25">
      <c r="B42" s="195">
        <f t="shared" si="1"/>
        <v>67</v>
      </c>
      <c r="C42" s="15"/>
      <c r="D42" s="264"/>
      <c r="E42" s="739"/>
      <c r="F42" s="264">
        <f t="shared" si="0"/>
        <v>0</v>
      </c>
      <c r="G42" s="265"/>
      <c r="H42" s="266"/>
      <c r="I42" s="259">
        <f t="shared" si="2"/>
        <v>1004.21</v>
      </c>
    </row>
    <row r="43" spans="2:9" x14ac:dyDescent="0.25">
      <c r="B43" s="195">
        <f t="shared" si="1"/>
        <v>67</v>
      </c>
      <c r="C43" s="15"/>
      <c r="D43" s="264"/>
      <c r="E43" s="739"/>
      <c r="F43" s="264">
        <f t="shared" si="0"/>
        <v>0</v>
      </c>
      <c r="G43" s="265"/>
      <c r="H43" s="266"/>
      <c r="I43" s="259">
        <f t="shared" si="2"/>
        <v>1004.21</v>
      </c>
    </row>
    <row r="44" spans="2:9" x14ac:dyDescent="0.25">
      <c r="B44" s="195">
        <f t="shared" si="1"/>
        <v>67</v>
      </c>
      <c r="C44" s="15"/>
      <c r="D44" s="69"/>
      <c r="E44" s="325"/>
      <c r="F44" s="69">
        <f t="shared" si="0"/>
        <v>0</v>
      </c>
      <c r="G44" s="70"/>
      <c r="H44" s="71"/>
      <c r="I44" s="259">
        <f t="shared" si="2"/>
        <v>1004.21</v>
      </c>
    </row>
    <row r="45" spans="2:9" x14ac:dyDescent="0.25">
      <c r="B45" s="195">
        <f t="shared" si="1"/>
        <v>67</v>
      </c>
      <c r="C45" s="15"/>
      <c r="D45" s="69"/>
      <c r="E45" s="325"/>
      <c r="F45" s="69">
        <f t="shared" si="0"/>
        <v>0</v>
      </c>
      <c r="G45" s="70"/>
      <c r="H45" s="71"/>
      <c r="I45" s="259">
        <f t="shared" si="2"/>
        <v>1004.21</v>
      </c>
    </row>
    <row r="46" spans="2:9" x14ac:dyDescent="0.25">
      <c r="B46" s="195">
        <f t="shared" si="1"/>
        <v>67</v>
      </c>
      <c r="C46" s="15"/>
      <c r="D46" s="69"/>
      <c r="E46" s="325"/>
      <c r="F46" s="69">
        <f t="shared" si="0"/>
        <v>0</v>
      </c>
      <c r="G46" s="70"/>
      <c r="H46" s="71"/>
      <c r="I46" s="259">
        <f t="shared" si="2"/>
        <v>1004.21</v>
      </c>
    </row>
    <row r="47" spans="2:9" x14ac:dyDescent="0.25">
      <c r="B47" s="195">
        <f t="shared" si="1"/>
        <v>67</v>
      </c>
      <c r="C47" s="15"/>
      <c r="D47" s="69"/>
      <c r="E47" s="325"/>
      <c r="F47" s="69">
        <f t="shared" si="0"/>
        <v>0</v>
      </c>
      <c r="G47" s="70"/>
      <c r="H47" s="71"/>
      <c r="I47" s="259">
        <f t="shared" si="2"/>
        <v>1004.21</v>
      </c>
    </row>
    <row r="48" spans="2:9" x14ac:dyDescent="0.25">
      <c r="B48" s="195">
        <f t="shared" si="1"/>
        <v>67</v>
      </c>
      <c r="C48" s="15"/>
      <c r="D48" s="69"/>
      <c r="E48" s="325"/>
      <c r="F48" s="69">
        <f t="shared" si="0"/>
        <v>0</v>
      </c>
      <c r="G48" s="70"/>
      <c r="H48" s="71"/>
      <c r="I48" s="259">
        <f t="shared" si="2"/>
        <v>1004.21</v>
      </c>
    </row>
    <row r="49" spans="2:9" x14ac:dyDescent="0.25">
      <c r="B49" s="195">
        <f t="shared" si="1"/>
        <v>67</v>
      </c>
      <c r="C49" s="15"/>
      <c r="D49" s="69"/>
      <c r="E49" s="325"/>
      <c r="F49" s="69">
        <f t="shared" si="0"/>
        <v>0</v>
      </c>
      <c r="G49" s="70"/>
      <c r="H49" s="71"/>
      <c r="I49" s="259">
        <f t="shared" si="2"/>
        <v>1004.21</v>
      </c>
    </row>
    <row r="50" spans="2:9" x14ac:dyDescent="0.25">
      <c r="B50" s="195">
        <f t="shared" si="1"/>
        <v>67</v>
      </c>
      <c r="C50" s="15"/>
      <c r="D50" s="69"/>
      <c r="E50" s="325"/>
      <c r="F50" s="69">
        <f t="shared" si="0"/>
        <v>0</v>
      </c>
      <c r="G50" s="70"/>
      <c r="H50" s="71"/>
      <c r="I50" s="259">
        <f t="shared" si="2"/>
        <v>1004.21</v>
      </c>
    </row>
    <row r="51" spans="2:9" x14ac:dyDescent="0.25">
      <c r="B51" s="195">
        <f t="shared" si="1"/>
        <v>67</v>
      </c>
      <c r="C51" s="15"/>
      <c r="D51" s="69"/>
      <c r="E51" s="325"/>
      <c r="F51" s="69">
        <f t="shared" si="0"/>
        <v>0</v>
      </c>
      <c r="G51" s="70"/>
      <c r="H51" s="71"/>
      <c r="I51" s="259">
        <f t="shared" si="2"/>
        <v>1004.21</v>
      </c>
    </row>
    <row r="52" spans="2:9" x14ac:dyDescent="0.25">
      <c r="B52" s="195">
        <f t="shared" si="1"/>
        <v>67</v>
      </c>
      <c r="C52" s="15"/>
      <c r="D52" s="69"/>
      <c r="E52" s="325"/>
      <c r="F52" s="69">
        <f t="shared" si="0"/>
        <v>0</v>
      </c>
      <c r="G52" s="70"/>
      <c r="H52" s="71"/>
      <c r="I52" s="259">
        <f t="shared" si="2"/>
        <v>1004.21</v>
      </c>
    </row>
    <row r="53" spans="2:9" x14ac:dyDescent="0.25">
      <c r="B53" s="195">
        <f t="shared" si="1"/>
        <v>67</v>
      </c>
      <c r="C53" s="15"/>
      <c r="D53" s="69"/>
      <c r="E53" s="325"/>
      <c r="F53" s="69">
        <f t="shared" si="0"/>
        <v>0</v>
      </c>
      <c r="G53" s="70"/>
      <c r="H53" s="71"/>
      <c r="I53" s="259">
        <f t="shared" si="2"/>
        <v>1004.21</v>
      </c>
    </row>
    <row r="54" spans="2:9" ht="15.75" thickBot="1" x14ac:dyDescent="0.3">
      <c r="B54" s="3"/>
      <c r="C54" s="36"/>
      <c r="D54" s="155"/>
      <c r="E54" s="335"/>
      <c r="F54" s="155">
        <f t="shared" si="0"/>
        <v>0</v>
      </c>
      <c r="G54" s="220"/>
      <c r="H54" s="75"/>
      <c r="I54" s="259">
        <f t="shared" si="2"/>
        <v>1004.21</v>
      </c>
    </row>
    <row r="55" spans="2:9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67</v>
      </c>
    </row>
    <row r="59" spans="2:9" ht="15.75" thickBot="1" x14ac:dyDescent="0.3">
      <c r="B59" s="125"/>
    </row>
    <row r="60" spans="2:9" ht="15.75" thickBot="1" x14ac:dyDescent="0.3">
      <c r="B60" s="91"/>
      <c r="C60" s="1200" t="s">
        <v>11</v>
      </c>
      <c r="D60" s="1201"/>
      <c r="E60" s="57">
        <f>E5-F55+E4+E6+E7</f>
        <v>1004.21</v>
      </c>
    </row>
  </sheetData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02"/>
      <c r="B1" s="1202"/>
      <c r="C1" s="1202"/>
      <c r="D1" s="1202"/>
      <c r="E1" s="1202"/>
      <c r="F1" s="1202"/>
      <c r="G1" s="120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0"/>
      <c r="B4" s="296"/>
      <c r="C4" s="322"/>
      <c r="D4" s="248"/>
      <c r="E4" s="308"/>
      <c r="F4" s="243"/>
      <c r="G4" s="73"/>
    </row>
    <row r="5" spans="1:10" ht="15.75" customHeight="1" x14ac:dyDescent="0.25">
      <c r="A5" s="1196"/>
      <c r="B5" s="1222" t="s">
        <v>94</v>
      </c>
      <c r="C5" s="249"/>
      <c r="D5" s="248"/>
      <c r="E5" s="308"/>
      <c r="F5" s="243"/>
      <c r="G5" s="262">
        <f>F55</f>
        <v>0</v>
      </c>
      <c r="H5" s="7">
        <f>E5-G5+E4+E6+E7</f>
        <v>0</v>
      </c>
    </row>
    <row r="6" spans="1:10" ht="15" customHeight="1" x14ac:dyDescent="0.25">
      <c r="A6" s="1196"/>
      <c r="B6" s="1222"/>
      <c r="C6" s="249"/>
      <c r="D6" s="274"/>
      <c r="E6" s="259"/>
      <c r="F6" s="253"/>
      <c r="G6" s="240"/>
    </row>
    <row r="7" spans="1:10" ht="15.75" thickBot="1" x14ac:dyDescent="0.3">
      <c r="A7" s="240"/>
      <c r="B7" s="243"/>
      <c r="C7" s="249"/>
      <c r="D7" s="274"/>
      <c r="E7" s="275"/>
      <c r="F7" s="243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5">
        <f>F4+F5+F6+F7-C9</f>
        <v>0</v>
      </c>
      <c r="C9" s="53"/>
      <c r="D9" s="264"/>
      <c r="E9" s="739"/>
      <c r="F9" s="264">
        <f t="shared" ref="F9:F54" si="0">D9</f>
        <v>0</v>
      </c>
      <c r="G9" s="265"/>
      <c r="H9" s="266"/>
      <c r="I9" s="259">
        <f>E6+E5+E4-F9+E7</f>
        <v>0</v>
      </c>
    </row>
    <row r="10" spans="1:10" x14ac:dyDescent="0.25">
      <c r="A10" s="77"/>
      <c r="B10" s="195">
        <f t="shared" ref="B10:B53" si="1">B9-C10</f>
        <v>0</v>
      </c>
      <c r="C10" s="53"/>
      <c r="D10" s="264"/>
      <c r="E10" s="739"/>
      <c r="F10" s="264">
        <f t="shared" si="0"/>
        <v>0</v>
      </c>
      <c r="G10" s="265"/>
      <c r="H10" s="266"/>
      <c r="I10" s="259">
        <f t="shared" ref="I10:I54" si="2">I9-F10</f>
        <v>0</v>
      </c>
    </row>
    <row r="11" spans="1:10" x14ac:dyDescent="0.25">
      <c r="A11" s="12"/>
      <c r="B11" s="195">
        <f t="shared" si="1"/>
        <v>0</v>
      </c>
      <c r="C11" s="53"/>
      <c r="D11" s="264"/>
      <c r="E11" s="739"/>
      <c r="F11" s="264">
        <f t="shared" si="0"/>
        <v>0</v>
      </c>
      <c r="G11" s="265"/>
      <c r="H11" s="266"/>
      <c r="I11" s="259">
        <f t="shared" si="2"/>
        <v>0</v>
      </c>
    </row>
    <row r="12" spans="1:10" x14ac:dyDescent="0.25">
      <c r="A12" s="55" t="s">
        <v>33</v>
      </c>
      <c r="B12" s="195">
        <f t="shared" si="1"/>
        <v>0</v>
      </c>
      <c r="C12" s="53"/>
      <c r="D12" s="264"/>
      <c r="E12" s="739"/>
      <c r="F12" s="264">
        <f t="shared" si="0"/>
        <v>0</v>
      </c>
      <c r="G12" s="265"/>
      <c r="H12" s="266"/>
      <c r="I12" s="259">
        <f t="shared" si="2"/>
        <v>0</v>
      </c>
    </row>
    <row r="13" spans="1:10" x14ac:dyDescent="0.25">
      <c r="A13" s="77"/>
      <c r="B13" s="195">
        <f t="shared" si="1"/>
        <v>0</v>
      </c>
      <c r="C13" s="53"/>
      <c r="D13" s="264"/>
      <c r="E13" s="739"/>
      <c r="F13" s="264">
        <f t="shared" si="0"/>
        <v>0</v>
      </c>
      <c r="G13" s="265"/>
      <c r="H13" s="266"/>
      <c r="I13" s="259">
        <f t="shared" si="2"/>
        <v>0</v>
      </c>
    </row>
    <row r="14" spans="1:10" x14ac:dyDescent="0.25">
      <c r="A14" s="12"/>
      <c r="B14" s="195">
        <f t="shared" si="1"/>
        <v>0</v>
      </c>
      <c r="C14" s="53"/>
      <c r="D14" s="264"/>
      <c r="E14" s="739"/>
      <c r="F14" s="264">
        <f t="shared" si="0"/>
        <v>0</v>
      </c>
      <c r="G14" s="265"/>
      <c r="H14" s="266"/>
      <c r="I14" s="259">
        <f t="shared" si="2"/>
        <v>0</v>
      </c>
      <c r="J14" s="240"/>
    </row>
    <row r="15" spans="1:10" x14ac:dyDescent="0.25">
      <c r="B15" s="195">
        <f t="shared" si="1"/>
        <v>0</v>
      </c>
      <c r="C15" s="53"/>
      <c r="D15" s="264"/>
      <c r="E15" s="739"/>
      <c r="F15" s="264">
        <f t="shared" si="0"/>
        <v>0</v>
      </c>
      <c r="G15" s="265"/>
      <c r="H15" s="266"/>
      <c r="I15" s="259">
        <f t="shared" si="2"/>
        <v>0</v>
      </c>
      <c r="J15" s="240"/>
    </row>
    <row r="16" spans="1:10" x14ac:dyDescent="0.25">
      <c r="B16" s="195">
        <f t="shared" si="1"/>
        <v>0</v>
      </c>
      <c r="C16" s="53"/>
      <c r="D16" s="264"/>
      <c r="E16" s="739"/>
      <c r="F16" s="264">
        <f t="shared" si="0"/>
        <v>0</v>
      </c>
      <c r="G16" s="265"/>
      <c r="H16" s="266"/>
      <c r="I16" s="259">
        <f t="shared" si="2"/>
        <v>0</v>
      </c>
      <c r="J16" s="240"/>
    </row>
    <row r="17" spans="2:10" x14ac:dyDescent="0.25">
      <c r="B17" s="195">
        <f t="shared" si="1"/>
        <v>0</v>
      </c>
      <c r="C17" s="53"/>
      <c r="D17" s="264"/>
      <c r="E17" s="739"/>
      <c r="F17" s="264">
        <f t="shared" si="0"/>
        <v>0</v>
      </c>
      <c r="G17" s="265"/>
      <c r="H17" s="266"/>
      <c r="I17" s="259">
        <f t="shared" si="2"/>
        <v>0</v>
      </c>
      <c r="J17" s="240"/>
    </row>
    <row r="18" spans="2:10" x14ac:dyDescent="0.25">
      <c r="B18" s="195">
        <f t="shared" si="1"/>
        <v>0</v>
      </c>
      <c r="C18" s="53"/>
      <c r="D18" s="264"/>
      <c r="E18" s="739"/>
      <c r="F18" s="264">
        <f t="shared" si="0"/>
        <v>0</v>
      </c>
      <c r="G18" s="265"/>
      <c r="H18" s="266"/>
      <c r="I18" s="259">
        <f t="shared" si="2"/>
        <v>0</v>
      </c>
      <c r="J18" s="240"/>
    </row>
    <row r="19" spans="2:10" x14ac:dyDescent="0.25">
      <c r="B19" s="195">
        <f t="shared" si="1"/>
        <v>0</v>
      </c>
      <c r="C19" s="53"/>
      <c r="D19" s="264"/>
      <c r="E19" s="739"/>
      <c r="F19" s="264">
        <f t="shared" si="0"/>
        <v>0</v>
      </c>
      <c r="G19" s="265"/>
      <c r="H19" s="266"/>
      <c r="I19" s="259">
        <f t="shared" si="2"/>
        <v>0</v>
      </c>
      <c r="J19" s="240"/>
    </row>
    <row r="20" spans="2:10" x14ac:dyDescent="0.25">
      <c r="B20" s="195">
        <f t="shared" si="1"/>
        <v>0</v>
      </c>
      <c r="C20" s="53"/>
      <c r="D20" s="264"/>
      <c r="E20" s="739"/>
      <c r="F20" s="264">
        <f t="shared" si="0"/>
        <v>0</v>
      </c>
      <c r="G20" s="265"/>
      <c r="H20" s="266"/>
      <c r="I20" s="259">
        <f t="shared" si="2"/>
        <v>0</v>
      </c>
      <c r="J20" s="240"/>
    </row>
    <row r="21" spans="2:10" x14ac:dyDescent="0.25">
      <c r="B21" s="195">
        <f t="shared" si="1"/>
        <v>0</v>
      </c>
      <c r="C21" s="53"/>
      <c r="D21" s="264"/>
      <c r="E21" s="739"/>
      <c r="F21" s="264">
        <f t="shared" si="0"/>
        <v>0</v>
      </c>
      <c r="G21" s="265"/>
      <c r="H21" s="266"/>
      <c r="I21" s="259">
        <f t="shared" si="2"/>
        <v>0</v>
      </c>
      <c r="J21" s="240"/>
    </row>
    <row r="22" spans="2:10" x14ac:dyDescent="0.25">
      <c r="B22" s="195">
        <f t="shared" si="1"/>
        <v>0</v>
      </c>
      <c r="C22" s="53"/>
      <c r="D22" s="264"/>
      <c r="E22" s="739"/>
      <c r="F22" s="264">
        <f t="shared" si="0"/>
        <v>0</v>
      </c>
      <c r="G22" s="265"/>
      <c r="H22" s="266"/>
      <c r="I22" s="259">
        <f t="shared" si="2"/>
        <v>0</v>
      </c>
      <c r="J22" s="240"/>
    </row>
    <row r="23" spans="2:10" x14ac:dyDescent="0.25">
      <c r="B23" s="195">
        <f t="shared" si="1"/>
        <v>0</v>
      </c>
      <c r="C23" s="53"/>
      <c r="D23" s="264"/>
      <c r="E23" s="739"/>
      <c r="F23" s="264">
        <f t="shared" si="0"/>
        <v>0</v>
      </c>
      <c r="G23" s="265"/>
      <c r="H23" s="266"/>
      <c r="I23" s="259">
        <f t="shared" si="2"/>
        <v>0</v>
      </c>
      <c r="J23" s="240"/>
    </row>
    <row r="24" spans="2:10" x14ac:dyDescent="0.25">
      <c r="B24" s="195">
        <f t="shared" si="1"/>
        <v>0</v>
      </c>
      <c r="C24" s="53"/>
      <c r="D24" s="264"/>
      <c r="E24" s="739"/>
      <c r="F24" s="264">
        <f t="shared" si="0"/>
        <v>0</v>
      </c>
      <c r="G24" s="265"/>
      <c r="H24" s="266"/>
      <c r="I24" s="259">
        <f t="shared" si="2"/>
        <v>0</v>
      </c>
    </row>
    <row r="25" spans="2:10" x14ac:dyDescent="0.25">
      <c r="B25" s="195">
        <f t="shared" si="1"/>
        <v>0</v>
      </c>
      <c r="C25" s="53"/>
      <c r="D25" s="264"/>
      <c r="E25" s="739"/>
      <c r="F25" s="264">
        <f t="shared" si="0"/>
        <v>0</v>
      </c>
      <c r="G25" s="265"/>
      <c r="H25" s="266"/>
      <c r="I25" s="259">
        <f t="shared" si="2"/>
        <v>0</v>
      </c>
    </row>
    <row r="26" spans="2:10" x14ac:dyDescent="0.25">
      <c r="B26" s="195">
        <f t="shared" si="1"/>
        <v>0</v>
      </c>
      <c r="C26" s="53"/>
      <c r="D26" s="264"/>
      <c r="E26" s="739"/>
      <c r="F26" s="264">
        <f t="shared" si="0"/>
        <v>0</v>
      </c>
      <c r="G26" s="265"/>
      <c r="H26" s="266"/>
      <c r="I26" s="259">
        <f t="shared" si="2"/>
        <v>0</v>
      </c>
    </row>
    <row r="27" spans="2:10" x14ac:dyDescent="0.25">
      <c r="B27" s="195">
        <f t="shared" si="1"/>
        <v>0</v>
      </c>
      <c r="C27" s="53"/>
      <c r="D27" s="264"/>
      <c r="E27" s="739"/>
      <c r="F27" s="264">
        <f t="shared" si="0"/>
        <v>0</v>
      </c>
      <c r="G27" s="265"/>
      <c r="H27" s="266"/>
      <c r="I27" s="259">
        <f t="shared" si="2"/>
        <v>0</v>
      </c>
    </row>
    <row r="28" spans="2:10" x14ac:dyDescent="0.25">
      <c r="B28" s="195">
        <f t="shared" si="1"/>
        <v>0</v>
      </c>
      <c r="C28" s="53"/>
      <c r="D28" s="264"/>
      <c r="E28" s="739"/>
      <c r="F28" s="264">
        <f t="shared" si="0"/>
        <v>0</v>
      </c>
      <c r="G28" s="265"/>
      <c r="H28" s="266"/>
      <c r="I28" s="259">
        <f t="shared" si="2"/>
        <v>0</v>
      </c>
    </row>
    <row r="29" spans="2:10" x14ac:dyDescent="0.25">
      <c r="B29" s="195">
        <f t="shared" si="1"/>
        <v>0</v>
      </c>
      <c r="C29" s="53"/>
      <c r="D29" s="264"/>
      <c r="E29" s="739"/>
      <c r="F29" s="264">
        <f t="shared" si="0"/>
        <v>0</v>
      </c>
      <c r="G29" s="265"/>
      <c r="H29" s="266"/>
      <c r="I29" s="259">
        <f t="shared" si="2"/>
        <v>0</v>
      </c>
    </row>
    <row r="30" spans="2:10" x14ac:dyDescent="0.25">
      <c r="B30" s="195">
        <f t="shared" si="1"/>
        <v>0</v>
      </c>
      <c r="C30" s="53"/>
      <c r="D30" s="264"/>
      <c r="E30" s="739"/>
      <c r="F30" s="264">
        <f t="shared" si="0"/>
        <v>0</v>
      </c>
      <c r="G30" s="265"/>
      <c r="H30" s="266"/>
      <c r="I30" s="259">
        <f t="shared" si="2"/>
        <v>0</v>
      </c>
    </row>
    <row r="31" spans="2:10" x14ac:dyDescent="0.25">
      <c r="B31" s="195">
        <f t="shared" si="1"/>
        <v>0</v>
      </c>
      <c r="C31" s="15"/>
      <c r="D31" s="264"/>
      <c r="E31" s="739"/>
      <c r="F31" s="264">
        <f t="shared" si="0"/>
        <v>0</v>
      </c>
      <c r="G31" s="265"/>
      <c r="H31" s="266"/>
      <c r="I31" s="259">
        <f t="shared" si="2"/>
        <v>0</v>
      </c>
    </row>
    <row r="32" spans="2:10" x14ac:dyDescent="0.25">
      <c r="B32" s="195">
        <f t="shared" si="1"/>
        <v>0</v>
      </c>
      <c r="C32" s="15"/>
      <c r="D32" s="264"/>
      <c r="E32" s="739"/>
      <c r="F32" s="264">
        <f t="shared" si="0"/>
        <v>0</v>
      </c>
      <c r="G32" s="265"/>
      <c r="H32" s="266"/>
      <c r="I32" s="259">
        <f t="shared" si="2"/>
        <v>0</v>
      </c>
    </row>
    <row r="33" spans="2:9" x14ac:dyDescent="0.25">
      <c r="B33" s="195">
        <f t="shared" si="1"/>
        <v>0</v>
      </c>
      <c r="C33" s="15"/>
      <c r="D33" s="264"/>
      <c r="E33" s="739"/>
      <c r="F33" s="264">
        <f t="shared" si="0"/>
        <v>0</v>
      </c>
      <c r="G33" s="265"/>
      <c r="H33" s="266"/>
      <c r="I33" s="259">
        <f t="shared" si="2"/>
        <v>0</v>
      </c>
    </row>
    <row r="34" spans="2:9" x14ac:dyDescent="0.25">
      <c r="B34" s="195">
        <f t="shared" si="1"/>
        <v>0</v>
      </c>
      <c r="C34" s="15"/>
      <c r="D34" s="264"/>
      <c r="E34" s="739"/>
      <c r="F34" s="264">
        <f t="shared" si="0"/>
        <v>0</v>
      </c>
      <c r="G34" s="265"/>
      <c r="H34" s="266"/>
      <c r="I34" s="259">
        <f t="shared" si="2"/>
        <v>0</v>
      </c>
    </row>
    <row r="35" spans="2:9" x14ac:dyDescent="0.25">
      <c r="B35" s="195">
        <f t="shared" si="1"/>
        <v>0</v>
      </c>
      <c r="C35" s="15"/>
      <c r="D35" s="264"/>
      <c r="E35" s="739"/>
      <c r="F35" s="264">
        <f t="shared" si="0"/>
        <v>0</v>
      </c>
      <c r="G35" s="265"/>
      <c r="H35" s="266"/>
      <c r="I35" s="259">
        <f t="shared" si="2"/>
        <v>0</v>
      </c>
    </row>
    <row r="36" spans="2:9" x14ac:dyDescent="0.25">
      <c r="B36" s="195">
        <f t="shared" si="1"/>
        <v>0</v>
      </c>
      <c r="C36" s="15"/>
      <c r="D36" s="264"/>
      <c r="E36" s="739"/>
      <c r="F36" s="264">
        <f t="shared" si="0"/>
        <v>0</v>
      </c>
      <c r="G36" s="265"/>
      <c r="H36" s="266"/>
      <c r="I36" s="259">
        <f t="shared" si="2"/>
        <v>0</v>
      </c>
    </row>
    <row r="37" spans="2:9" x14ac:dyDescent="0.25">
      <c r="B37" s="195">
        <f t="shared" si="1"/>
        <v>0</v>
      </c>
      <c r="C37" s="15"/>
      <c r="D37" s="264"/>
      <c r="E37" s="739"/>
      <c r="F37" s="264">
        <f t="shared" si="0"/>
        <v>0</v>
      </c>
      <c r="G37" s="265"/>
      <c r="H37" s="266"/>
      <c r="I37" s="259">
        <f t="shared" si="2"/>
        <v>0</v>
      </c>
    </row>
    <row r="38" spans="2:9" x14ac:dyDescent="0.25">
      <c r="B38" s="195">
        <f t="shared" si="1"/>
        <v>0</v>
      </c>
      <c r="C38" s="15"/>
      <c r="D38" s="264"/>
      <c r="E38" s="739"/>
      <c r="F38" s="264">
        <f t="shared" si="0"/>
        <v>0</v>
      </c>
      <c r="G38" s="265"/>
      <c r="H38" s="266"/>
      <c r="I38" s="259">
        <f t="shared" si="2"/>
        <v>0</v>
      </c>
    </row>
    <row r="39" spans="2:9" x14ac:dyDescent="0.25">
      <c r="B39" s="195">
        <f t="shared" si="1"/>
        <v>0</v>
      </c>
      <c r="C39" s="15"/>
      <c r="D39" s="264"/>
      <c r="E39" s="739"/>
      <c r="F39" s="264">
        <f t="shared" si="0"/>
        <v>0</v>
      </c>
      <c r="G39" s="265"/>
      <c r="H39" s="266"/>
      <c r="I39" s="259">
        <f t="shared" si="2"/>
        <v>0</v>
      </c>
    </row>
    <row r="40" spans="2:9" x14ac:dyDescent="0.25">
      <c r="B40" s="195">
        <f t="shared" si="1"/>
        <v>0</v>
      </c>
      <c r="C40" s="15"/>
      <c r="D40" s="264"/>
      <c r="E40" s="739"/>
      <c r="F40" s="264">
        <f t="shared" si="0"/>
        <v>0</v>
      </c>
      <c r="G40" s="265"/>
      <c r="H40" s="266"/>
      <c r="I40" s="259">
        <f t="shared" si="2"/>
        <v>0</v>
      </c>
    </row>
    <row r="41" spans="2:9" x14ac:dyDescent="0.25">
      <c r="B41" s="195">
        <f t="shared" si="1"/>
        <v>0</v>
      </c>
      <c r="C41" s="15"/>
      <c r="D41" s="264"/>
      <c r="E41" s="739"/>
      <c r="F41" s="264">
        <f t="shared" si="0"/>
        <v>0</v>
      </c>
      <c r="G41" s="265"/>
      <c r="H41" s="266"/>
      <c r="I41" s="259">
        <f t="shared" si="2"/>
        <v>0</v>
      </c>
    </row>
    <row r="42" spans="2:9" x14ac:dyDescent="0.25">
      <c r="B42" s="195">
        <f t="shared" si="1"/>
        <v>0</v>
      </c>
      <c r="C42" s="15"/>
      <c r="D42" s="264"/>
      <c r="E42" s="739"/>
      <c r="F42" s="264">
        <f t="shared" si="0"/>
        <v>0</v>
      </c>
      <c r="G42" s="265"/>
      <c r="H42" s="266"/>
      <c r="I42" s="259">
        <f t="shared" si="2"/>
        <v>0</v>
      </c>
    </row>
    <row r="43" spans="2:9" x14ac:dyDescent="0.25">
      <c r="B43" s="195">
        <f t="shared" si="1"/>
        <v>0</v>
      </c>
      <c r="C43" s="15"/>
      <c r="D43" s="264"/>
      <c r="E43" s="739"/>
      <c r="F43" s="264">
        <f t="shared" si="0"/>
        <v>0</v>
      </c>
      <c r="G43" s="265"/>
      <c r="H43" s="266"/>
      <c r="I43" s="259">
        <f t="shared" si="2"/>
        <v>0</v>
      </c>
    </row>
    <row r="44" spans="2:9" x14ac:dyDescent="0.25">
      <c r="B44" s="195">
        <f t="shared" si="1"/>
        <v>0</v>
      </c>
      <c r="C44" s="15"/>
      <c r="D44" s="69"/>
      <c r="E44" s="325"/>
      <c r="F44" s="69">
        <f t="shared" si="0"/>
        <v>0</v>
      </c>
      <c r="G44" s="70"/>
      <c r="H44" s="71"/>
      <c r="I44" s="259">
        <f t="shared" si="2"/>
        <v>0</v>
      </c>
    </row>
    <row r="45" spans="2:9" x14ac:dyDescent="0.25">
      <c r="B45" s="195">
        <f t="shared" si="1"/>
        <v>0</v>
      </c>
      <c r="C45" s="15"/>
      <c r="D45" s="69"/>
      <c r="E45" s="325"/>
      <c r="F45" s="69">
        <f t="shared" si="0"/>
        <v>0</v>
      </c>
      <c r="G45" s="70"/>
      <c r="H45" s="71"/>
      <c r="I45" s="259">
        <f t="shared" si="2"/>
        <v>0</v>
      </c>
    </row>
    <row r="46" spans="2:9" x14ac:dyDescent="0.25">
      <c r="B46" s="195">
        <f t="shared" si="1"/>
        <v>0</v>
      </c>
      <c r="C46" s="15"/>
      <c r="D46" s="69"/>
      <c r="E46" s="325"/>
      <c r="F46" s="69">
        <f t="shared" si="0"/>
        <v>0</v>
      </c>
      <c r="G46" s="70"/>
      <c r="H46" s="71"/>
      <c r="I46" s="259">
        <f t="shared" si="2"/>
        <v>0</v>
      </c>
    </row>
    <row r="47" spans="2:9" x14ac:dyDescent="0.25">
      <c r="B47" s="195">
        <f t="shared" si="1"/>
        <v>0</v>
      </c>
      <c r="C47" s="15"/>
      <c r="D47" s="69"/>
      <c r="E47" s="325"/>
      <c r="F47" s="69">
        <f t="shared" si="0"/>
        <v>0</v>
      </c>
      <c r="G47" s="70"/>
      <c r="H47" s="71"/>
      <c r="I47" s="259">
        <f t="shared" si="2"/>
        <v>0</v>
      </c>
    </row>
    <row r="48" spans="2:9" x14ac:dyDescent="0.25">
      <c r="B48" s="195">
        <f t="shared" si="1"/>
        <v>0</v>
      </c>
      <c r="C48" s="15"/>
      <c r="D48" s="69"/>
      <c r="E48" s="325"/>
      <c r="F48" s="69">
        <f t="shared" si="0"/>
        <v>0</v>
      </c>
      <c r="G48" s="70"/>
      <c r="H48" s="71"/>
      <c r="I48" s="259">
        <f t="shared" si="2"/>
        <v>0</v>
      </c>
    </row>
    <row r="49" spans="2:9" x14ac:dyDescent="0.25">
      <c r="B49" s="195">
        <f t="shared" si="1"/>
        <v>0</v>
      </c>
      <c r="C49" s="15"/>
      <c r="D49" s="69"/>
      <c r="E49" s="325"/>
      <c r="F49" s="69">
        <f t="shared" si="0"/>
        <v>0</v>
      </c>
      <c r="G49" s="70"/>
      <c r="H49" s="71"/>
      <c r="I49" s="259">
        <f t="shared" si="2"/>
        <v>0</v>
      </c>
    </row>
    <row r="50" spans="2:9" x14ac:dyDescent="0.25">
      <c r="B50" s="195">
        <f t="shared" si="1"/>
        <v>0</v>
      </c>
      <c r="C50" s="15"/>
      <c r="D50" s="69"/>
      <c r="E50" s="325"/>
      <c r="F50" s="69">
        <f t="shared" si="0"/>
        <v>0</v>
      </c>
      <c r="G50" s="70"/>
      <c r="H50" s="71"/>
      <c r="I50" s="259">
        <f t="shared" si="2"/>
        <v>0</v>
      </c>
    </row>
    <row r="51" spans="2:9" x14ac:dyDescent="0.25">
      <c r="B51" s="195">
        <f t="shared" si="1"/>
        <v>0</v>
      </c>
      <c r="C51" s="15"/>
      <c r="D51" s="69"/>
      <c r="E51" s="325"/>
      <c r="F51" s="69">
        <f t="shared" si="0"/>
        <v>0</v>
      </c>
      <c r="G51" s="70"/>
      <c r="H51" s="71"/>
      <c r="I51" s="259">
        <f t="shared" si="2"/>
        <v>0</v>
      </c>
    </row>
    <row r="52" spans="2:9" x14ac:dyDescent="0.25">
      <c r="B52" s="195">
        <f t="shared" si="1"/>
        <v>0</v>
      </c>
      <c r="C52" s="15"/>
      <c r="D52" s="69"/>
      <c r="E52" s="325"/>
      <c r="F52" s="69">
        <f t="shared" si="0"/>
        <v>0</v>
      </c>
      <c r="G52" s="70"/>
      <c r="H52" s="71"/>
      <c r="I52" s="259">
        <f t="shared" si="2"/>
        <v>0</v>
      </c>
    </row>
    <row r="53" spans="2:9" x14ac:dyDescent="0.25">
      <c r="B53" s="195">
        <f t="shared" si="1"/>
        <v>0</v>
      </c>
      <c r="C53" s="15"/>
      <c r="D53" s="69"/>
      <c r="E53" s="325"/>
      <c r="F53" s="69">
        <f t="shared" si="0"/>
        <v>0</v>
      </c>
      <c r="G53" s="70"/>
      <c r="H53" s="71"/>
      <c r="I53" s="259">
        <f t="shared" si="2"/>
        <v>0</v>
      </c>
    </row>
    <row r="54" spans="2:9" ht="15.75" thickBot="1" x14ac:dyDescent="0.3">
      <c r="B54" s="3"/>
      <c r="C54" s="36"/>
      <c r="D54" s="155"/>
      <c r="E54" s="335"/>
      <c r="F54" s="155">
        <f t="shared" si="0"/>
        <v>0</v>
      </c>
      <c r="G54" s="220"/>
      <c r="H54" s="75"/>
      <c r="I54" s="259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200" t="s">
        <v>11</v>
      </c>
      <c r="D60" s="1201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S61"/>
  <sheetViews>
    <sheetView topLeftCell="K1" workbookViewId="0">
      <pane ySplit="9" topLeftCell="A10" activePane="bottomLeft" state="frozen"/>
      <selection pane="bottomLeft" activeCell="L11" sqref="L1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198" t="s">
        <v>225</v>
      </c>
      <c r="B1" s="1198"/>
      <c r="C1" s="1198"/>
      <c r="D1" s="1198"/>
      <c r="E1" s="1198"/>
      <c r="F1" s="1198"/>
      <c r="G1" s="1198"/>
      <c r="H1" s="11">
        <v>1</v>
      </c>
      <c r="K1" s="1202" t="s">
        <v>240</v>
      </c>
      <c r="L1" s="1202"/>
      <c r="M1" s="1202"/>
      <c r="N1" s="1202"/>
      <c r="O1" s="1202"/>
      <c r="P1" s="1202"/>
      <c r="Q1" s="1202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6.5" thickTop="1" x14ac:dyDescent="0.25">
      <c r="A4" s="1196" t="s">
        <v>52</v>
      </c>
      <c r="B4" s="461" t="s">
        <v>68</v>
      </c>
      <c r="C4" s="249">
        <v>50</v>
      </c>
      <c r="D4" s="248">
        <v>44656</v>
      </c>
      <c r="E4" s="308">
        <v>858.56</v>
      </c>
      <c r="F4" s="243">
        <v>35</v>
      </c>
      <c r="G4" s="262">
        <f>F56</f>
        <v>1840.3500000000001</v>
      </c>
      <c r="H4" s="7">
        <f>E4-G4</f>
        <v>-981.79000000000019</v>
      </c>
      <c r="K4" s="1196" t="s">
        <v>52</v>
      </c>
      <c r="L4" s="1223" t="s">
        <v>558</v>
      </c>
      <c r="M4" s="249">
        <v>54</v>
      </c>
      <c r="N4" s="248">
        <v>44685</v>
      </c>
      <c r="O4" s="308">
        <v>2014.17</v>
      </c>
      <c r="P4" s="243">
        <v>79</v>
      </c>
      <c r="Q4" s="262">
        <f>P56</f>
        <v>2155.7399999999998</v>
      </c>
      <c r="R4" s="7">
        <f>O4-Q4+O5+O6+O7+O8</f>
        <v>4989.66</v>
      </c>
    </row>
    <row r="5" spans="1:19" ht="15.75" x14ac:dyDescent="0.25">
      <c r="A5" s="1196"/>
      <c r="B5" s="462" t="s">
        <v>87</v>
      </c>
      <c r="C5" s="249">
        <v>52</v>
      </c>
      <c r="D5" s="274">
        <v>44680</v>
      </c>
      <c r="E5" s="259">
        <v>981.79</v>
      </c>
      <c r="F5" s="253">
        <v>38</v>
      </c>
      <c r="G5" s="240"/>
      <c r="K5" s="1196"/>
      <c r="L5" s="1224"/>
      <c r="M5" s="249"/>
      <c r="N5" s="274"/>
      <c r="O5" s="259">
        <v>141.44</v>
      </c>
      <c r="P5" s="253">
        <v>6</v>
      </c>
      <c r="Q5" s="240"/>
    </row>
    <row r="6" spans="1:19" ht="15.75" x14ac:dyDescent="0.25">
      <c r="A6" s="1095"/>
      <c r="B6" s="462"/>
      <c r="C6" s="249"/>
      <c r="D6" s="274"/>
      <c r="E6" s="259"/>
      <c r="F6" s="253"/>
      <c r="G6" s="240"/>
      <c r="K6" s="1095"/>
      <c r="L6" s="1224"/>
      <c r="M6" s="249">
        <v>54</v>
      </c>
      <c r="N6" s="274">
        <v>44695</v>
      </c>
      <c r="O6" s="259">
        <v>1995.28</v>
      </c>
      <c r="P6" s="253">
        <v>80</v>
      </c>
      <c r="Q6" s="240"/>
    </row>
    <row r="7" spans="1:19" ht="15.75" x14ac:dyDescent="0.25">
      <c r="A7" s="1095"/>
      <c r="B7" s="462"/>
      <c r="C7" s="249"/>
      <c r="D7" s="274"/>
      <c r="E7" s="259"/>
      <c r="F7" s="253"/>
      <c r="G7" s="240"/>
      <c r="K7" s="1095"/>
      <c r="L7" s="462"/>
      <c r="M7" s="249">
        <v>54</v>
      </c>
      <c r="N7" s="274">
        <v>44700</v>
      </c>
      <c r="O7" s="259">
        <v>1006.16</v>
      </c>
      <c r="P7" s="253">
        <v>42</v>
      </c>
      <c r="Q7" s="240"/>
    </row>
    <row r="8" spans="1:19" ht="16.5" thickBot="1" x14ac:dyDescent="0.3">
      <c r="A8" s="1095"/>
      <c r="B8" s="462"/>
      <c r="C8" s="249"/>
      <c r="D8" s="274"/>
      <c r="E8" s="259"/>
      <c r="F8" s="253"/>
      <c r="G8" s="240"/>
      <c r="K8" s="1095"/>
      <c r="L8" s="462"/>
      <c r="M8" s="249">
        <v>54</v>
      </c>
      <c r="N8" s="274">
        <v>44702</v>
      </c>
      <c r="O8" s="259">
        <v>1988.35</v>
      </c>
      <c r="P8" s="253">
        <v>80</v>
      </c>
      <c r="Q8" s="240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5" t="s">
        <v>32</v>
      </c>
      <c r="B10" s="195">
        <f>F4+F5-C10</f>
        <v>60</v>
      </c>
      <c r="C10" s="53">
        <v>13</v>
      </c>
      <c r="D10" s="264">
        <v>318.13</v>
      </c>
      <c r="E10" s="739">
        <v>44656</v>
      </c>
      <c r="F10" s="264">
        <f t="shared" ref="F10:F11" si="0">D10</f>
        <v>318.13</v>
      </c>
      <c r="G10" s="265" t="s">
        <v>129</v>
      </c>
      <c r="H10" s="266">
        <v>52</v>
      </c>
      <c r="I10" s="259">
        <f>E5+E4-F10</f>
        <v>1522.2199999999998</v>
      </c>
      <c r="K10" s="55" t="s">
        <v>32</v>
      </c>
      <c r="L10" s="613">
        <f>P4+P5-M10+P6+P7+P8</f>
        <v>276</v>
      </c>
      <c r="M10" s="53">
        <v>11</v>
      </c>
      <c r="N10" s="264">
        <v>282.44</v>
      </c>
      <c r="O10" s="739">
        <v>44687</v>
      </c>
      <c r="P10" s="264">
        <f t="shared" ref="P10:P55" si="1">N10</f>
        <v>282.44</v>
      </c>
      <c r="Q10" s="265" t="s">
        <v>398</v>
      </c>
      <c r="R10" s="266">
        <v>56</v>
      </c>
      <c r="S10" s="259">
        <f>O5+O4-P10+O6+O7+O8</f>
        <v>6862.9599999999991</v>
      </c>
    </row>
    <row r="11" spans="1:19" x14ac:dyDescent="0.25">
      <c r="A11" s="77"/>
      <c r="B11" s="195">
        <f t="shared" ref="B11:B54" si="2">B10-C11</f>
        <v>55</v>
      </c>
      <c r="C11" s="53">
        <v>5</v>
      </c>
      <c r="D11" s="264">
        <v>117.02</v>
      </c>
      <c r="E11" s="739">
        <v>44657</v>
      </c>
      <c r="F11" s="264">
        <f t="shared" si="0"/>
        <v>117.02</v>
      </c>
      <c r="G11" s="265" t="s">
        <v>130</v>
      </c>
      <c r="H11" s="266">
        <v>52</v>
      </c>
      <c r="I11" s="259">
        <f>I10-F11</f>
        <v>1405.1999999999998</v>
      </c>
      <c r="K11" s="77"/>
      <c r="L11" s="195">
        <f t="shared" ref="L11:L54" si="3">L10-M11</f>
        <v>262</v>
      </c>
      <c r="M11" s="53">
        <v>14</v>
      </c>
      <c r="N11" s="264">
        <v>358.65</v>
      </c>
      <c r="O11" s="739">
        <v>44687</v>
      </c>
      <c r="P11" s="264">
        <f t="shared" si="1"/>
        <v>358.65</v>
      </c>
      <c r="Q11" s="265" t="s">
        <v>405</v>
      </c>
      <c r="R11" s="266">
        <v>56</v>
      </c>
      <c r="S11" s="259">
        <f>S10-P11</f>
        <v>6504.3099999999995</v>
      </c>
    </row>
    <row r="12" spans="1:19" x14ac:dyDescent="0.25">
      <c r="A12" s="12"/>
      <c r="B12" s="195">
        <f t="shared" si="2"/>
        <v>45</v>
      </c>
      <c r="C12" s="15">
        <v>10</v>
      </c>
      <c r="D12" s="264">
        <v>250.44</v>
      </c>
      <c r="E12" s="739">
        <v>44657</v>
      </c>
      <c r="F12" s="264">
        <f t="shared" ref="F12:F16" si="4">D12</f>
        <v>250.44</v>
      </c>
      <c r="G12" s="265" t="s">
        <v>132</v>
      </c>
      <c r="H12" s="266">
        <v>52</v>
      </c>
      <c r="I12" s="259">
        <f t="shared" ref="I12:I55" si="5">I11-F12</f>
        <v>1154.7599999999998</v>
      </c>
      <c r="K12" s="12"/>
      <c r="L12" s="195">
        <f t="shared" si="3"/>
        <v>246</v>
      </c>
      <c r="M12" s="15">
        <v>16</v>
      </c>
      <c r="N12" s="264">
        <v>416.6</v>
      </c>
      <c r="O12" s="739">
        <v>44688</v>
      </c>
      <c r="P12" s="264">
        <f t="shared" si="1"/>
        <v>416.6</v>
      </c>
      <c r="Q12" s="265" t="s">
        <v>411</v>
      </c>
      <c r="R12" s="266">
        <v>56</v>
      </c>
      <c r="S12" s="259">
        <f t="shared" ref="S12:S55" si="6">S11-P12</f>
        <v>6087.7099999999991</v>
      </c>
    </row>
    <row r="13" spans="1:19" x14ac:dyDescent="0.25">
      <c r="A13" s="55" t="s">
        <v>33</v>
      </c>
      <c r="B13" s="195">
        <f t="shared" si="2"/>
        <v>38</v>
      </c>
      <c r="C13" s="15">
        <v>7</v>
      </c>
      <c r="D13" s="264">
        <v>172.97</v>
      </c>
      <c r="E13" s="739">
        <v>44658</v>
      </c>
      <c r="F13" s="264">
        <f t="shared" si="4"/>
        <v>172.97</v>
      </c>
      <c r="G13" s="265" t="s">
        <v>137</v>
      </c>
      <c r="H13" s="266">
        <v>52</v>
      </c>
      <c r="I13" s="259">
        <f t="shared" si="5"/>
        <v>981.78999999999974</v>
      </c>
      <c r="K13" s="55" t="s">
        <v>33</v>
      </c>
      <c r="L13" s="195">
        <f t="shared" si="3"/>
        <v>243</v>
      </c>
      <c r="M13" s="15">
        <v>3</v>
      </c>
      <c r="N13" s="264">
        <v>65.790000000000006</v>
      </c>
      <c r="O13" s="739">
        <v>44688</v>
      </c>
      <c r="P13" s="264">
        <f t="shared" si="1"/>
        <v>65.790000000000006</v>
      </c>
      <c r="Q13" s="265" t="s">
        <v>419</v>
      </c>
      <c r="R13" s="266">
        <v>56</v>
      </c>
      <c r="S13" s="259">
        <f t="shared" si="6"/>
        <v>6021.9199999999992</v>
      </c>
    </row>
    <row r="14" spans="1:19" x14ac:dyDescent="0.25">
      <c r="A14" s="77"/>
      <c r="B14" s="195">
        <f t="shared" si="2"/>
        <v>29</v>
      </c>
      <c r="C14" s="15">
        <v>9</v>
      </c>
      <c r="D14" s="1043">
        <v>233.55</v>
      </c>
      <c r="E14" s="1053">
        <v>44684</v>
      </c>
      <c r="F14" s="1043">
        <f t="shared" si="4"/>
        <v>233.55</v>
      </c>
      <c r="G14" s="1037" t="s">
        <v>366</v>
      </c>
      <c r="H14" s="1038">
        <v>54</v>
      </c>
      <c r="I14" s="259">
        <f t="shared" si="5"/>
        <v>748.23999999999978</v>
      </c>
      <c r="K14" s="77"/>
      <c r="L14" s="195">
        <f t="shared" si="3"/>
        <v>239</v>
      </c>
      <c r="M14" s="15">
        <v>4</v>
      </c>
      <c r="N14" s="264">
        <v>101.31</v>
      </c>
      <c r="O14" s="739">
        <v>44691</v>
      </c>
      <c r="P14" s="264">
        <f t="shared" si="1"/>
        <v>101.31</v>
      </c>
      <c r="Q14" s="265" t="s">
        <v>432</v>
      </c>
      <c r="R14" s="266">
        <v>56</v>
      </c>
      <c r="S14" s="259">
        <f t="shared" si="6"/>
        <v>5920.6099999999988</v>
      </c>
    </row>
    <row r="15" spans="1:19" x14ac:dyDescent="0.25">
      <c r="A15" s="12"/>
      <c r="B15" s="195">
        <f t="shared" si="2"/>
        <v>21</v>
      </c>
      <c r="C15" s="15">
        <v>8</v>
      </c>
      <c r="D15" s="1043">
        <v>201.87</v>
      </c>
      <c r="E15" s="1053">
        <v>44686</v>
      </c>
      <c r="F15" s="1043">
        <f t="shared" si="4"/>
        <v>201.87</v>
      </c>
      <c r="G15" s="1037" t="s">
        <v>386</v>
      </c>
      <c r="H15" s="1038">
        <v>54</v>
      </c>
      <c r="I15" s="259">
        <f t="shared" si="5"/>
        <v>546.36999999999978</v>
      </c>
      <c r="K15" s="12"/>
      <c r="L15" s="195">
        <f t="shared" si="3"/>
        <v>227</v>
      </c>
      <c r="M15" s="15">
        <v>12</v>
      </c>
      <c r="N15" s="264">
        <v>300.92</v>
      </c>
      <c r="O15" s="739">
        <v>44692</v>
      </c>
      <c r="P15" s="264">
        <f t="shared" si="1"/>
        <v>300.92</v>
      </c>
      <c r="Q15" s="265" t="s">
        <v>452</v>
      </c>
      <c r="R15" s="266">
        <v>56</v>
      </c>
      <c r="S15" s="259">
        <f t="shared" si="6"/>
        <v>5619.6899999999987</v>
      </c>
    </row>
    <row r="16" spans="1:19" x14ac:dyDescent="0.25">
      <c r="B16" s="195">
        <f t="shared" si="2"/>
        <v>6</v>
      </c>
      <c r="C16" s="15">
        <v>15</v>
      </c>
      <c r="D16" s="1043">
        <v>404.93</v>
      </c>
      <c r="E16" s="1053">
        <v>44686</v>
      </c>
      <c r="F16" s="1043">
        <f t="shared" si="4"/>
        <v>404.93</v>
      </c>
      <c r="G16" s="1037" t="s">
        <v>396</v>
      </c>
      <c r="H16" s="1038">
        <v>56</v>
      </c>
      <c r="I16" s="259">
        <f t="shared" si="5"/>
        <v>141.43999999999977</v>
      </c>
      <c r="L16" s="195">
        <f t="shared" si="3"/>
        <v>213</v>
      </c>
      <c r="M16" s="15">
        <v>14</v>
      </c>
      <c r="N16" s="264">
        <v>353.78</v>
      </c>
      <c r="O16" s="739">
        <v>44693</v>
      </c>
      <c r="P16" s="264">
        <f t="shared" si="1"/>
        <v>353.78</v>
      </c>
      <c r="Q16" s="265" t="s">
        <v>462</v>
      </c>
      <c r="R16" s="266">
        <v>56</v>
      </c>
      <c r="S16" s="259">
        <f t="shared" si="6"/>
        <v>5265.9099999999989</v>
      </c>
    </row>
    <row r="17" spans="2:19" x14ac:dyDescent="0.25">
      <c r="B17" s="195">
        <f t="shared" si="2"/>
        <v>6</v>
      </c>
      <c r="C17" s="15"/>
      <c r="D17" s="1043"/>
      <c r="E17" s="1053"/>
      <c r="F17" s="1043">
        <f t="shared" ref="F17:F55" si="7">D17</f>
        <v>0</v>
      </c>
      <c r="G17" s="1062"/>
      <c r="H17" s="1063"/>
      <c r="I17" s="1071">
        <f t="shared" si="5"/>
        <v>141.43999999999977</v>
      </c>
      <c r="L17" s="195">
        <f t="shared" si="3"/>
        <v>212</v>
      </c>
      <c r="M17" s="15">
        <v>1</v>
      </c>
      <c r="N17" s="264">
        <v>28.77</v>
      </c>
      <c r="O17" s="739">
        <v>44693</v>
      </c>
      <c r="P17" s="264">
        <f t="shared" si="1"/>
        <v>28.77</v>
      </c>
      <c r="Q17" s="265" t="s">
        <v>459</v>
      </c>
      <c r="R17" s="266">
        <v>56</v>
      </c>
      <c r="S17" s="259">
        <f t="shared" si="6"/>
        <v>5237.1399999999985</v>
      </c>
    </row>
    <row r="18" spans="2:19" x14ac:dyDescent="0.25">
      <c r="B18" s="195">
        <f t="shared" si="2"/>
        <v>6</v>
      </c>
      <c r="C18" s="15"/>
      <c r="D18" s="1043"/>
      <c r="E18" s="1053"/>
      <c r="F18" s="1043">
        <f t="shared" si="7"/>
        <v>0</v>
      </c>
      <c r="G18" s="1062"/>
      <c r="H18" s="1063"/>
      <c r="I18" s="1071">
        <f t="shared" si="5"/>
        <v>141.43999999999977</v>
      </c>
      <c r="L18" s="195">
        <f t="shared" si="3"/>
        <v>204</v>
      </c>
      <c r="M18" s="15">
        <v>8</v>
      </c>
      <c r="N18" s="264">
        <v>198.46</v>
      </c>
      <c r="O18" s="739">
        <v>44693</v>
      </c>
      <c r="P18" s="264">
        <f t="shared" si="1"/>
        <v>198.46</v>
      </c>
      <c r="Q18" s="265" t="s">
        <v>460</v>
      </c>
      <c r="R18" s="266">
        <v>56</v>
      </c>
      <c r="S18" s="259">
        <f t="shared" si="6"/>
        <v>5038.6799999999985</v>
      </c>
    </row>
    <row r="19" spans="2:19" x14ac:dyDescent="0.25">
      <c r="B19" s="195">
        <f t="shared" si="2"/>
        <v>6</v>
      </c>
      <c r="C19" s="53"/>
      <c r="D19" s="1043"/>
      <c r="E19" s="1053"/>
      <c r="F19" s="1043">
        <f t="shared" si="7"/>
        <v>0</v>
      </c>
      <c r="G19" s="1062"/>
      <c r="H19" s="1063"/>
      <c r="I19" s="1071">
        <f t="shared" si="5"/>
        <v>141.43999999999977</v>
      </c>
      <c r="L19" s="195">
        <f t="shared" si="3"/>
        <v>202</v>
      </c>
      <c r="M19" s="53">
        <v>2</v>
      </c>
      <c r="N19" s="264">
        <v>49.02</v>
      </c>
      <c r="O19" s="739">
        <v>44693</v>
      </c>
      <c r="P19" s="264">
        <f t="shared" si="1"/>
        <v>49.02</v>
      </c>
      <c r="Q19" s="265" t="s">
        <v>463</v>
      </c>
      <c r="R19" s="266">
        <v>56</v>
      </c>
      <c r="S19" s="259">
        <f t="shared" si="6"/>
        <v>4989.659999999998</v>
      </c>
    </row>
    <row r="20" spans="2:19" x14ac:dyDescent="0.25">
      <c r="B20" s="195">
        <f t="shared" si="2"/>
        <v>0</v>
      </c>
      <c r="C20" s="15">
        <v>6</v>
      </c>
      <c r="D20" s="1043"/>
      <c r="E20" s="1053"/>
      <c r="F20" s="1043">
        <v>141.44</v>
      </c>
      <c r="G20" s="1062"/>
      <c r="H20" s="1063"/>
      <c r="I20" s="1071">
        <f t="shared" si="5"/>
        <v>-2.2737367544323206E-13</v>
      </c>
      <c r="L20" s="195">
        <f t="shared" si="3"/>
        <v>202</v>
      </c>
      <c r="M20" s="15"/>
      <c r="N20" s="264">
        <v>0</v>
      </c>
      <c r="O20" s="739"/>
      <c r="P20" s="264">
        <f t="shared" si="1"/>
        <v>0</v>
      </c>
      <c r="Q20" s="265"/>
      <c r="R20" s="266"/>
      <c r="S20" s="259">
        <f t="shared" si="6"/>
        <v>4989.659999999998</v>
      </c>
    </row>
    <row r="21" spans="2:19" x14ac:dyDescent="0.25">
      <c r="B21" s="195">
        <f t="shared" si="2"/>
        <v>0</v>
      </c>
      <c r="C21" s="15"/>
      <c r="D21" s="1043"/>
      <c r="E21" s="1053"/>
      <c r="F21" s="1043">
        <f t="shared" si="7"/>
        <v>0</v>
      </c>
      <c r="G21" s="1062"/>
      <c r="H21" s="1063"/>
      <c r="I21" s="1071">
        <f t="shared" si="5"/>
        <v>-2.2737367544323206E-13</v>
      </c>
      <c r="L21" s="195">
        <f t="shared" si="3"/>
        <v>202</v>
      </c>
      <c r="M21" s="15"/>
      <c r="N21" s="264"/>
      <c r="O21" s="739"/>
      <c r="P21" s="264">
        <f t="shared" si="1"/>
        <v>0</v>
      </c>
      <c r="Q21" s="265"/>
      <c r="R21" s="266"/>
      <c r="S21" s="259">
        <f t="shared" si="6"/>
        <v>4989.659999999998</v>
      </c>
    </row>
    <row r="22" spans="2:19" x14ac:dyDescent="0.25">
      <c r="B22" s="195">
        <f t="shared" si="2"/>
        <v>0</v>
      </c>
      <c r="C22" s="15"/>
      <c r="D22" s="1043"/>
      <c r="E22" s="1053"/>
      <c r="F22" s="1043">
        <f t="shared" si="7"/>
        <v>0</v>
      </c>
      <c r="G22" s="1062"/>
      <c r="H22" s="1063"/>
      <c r="I22" s="1071">
        <f t="shared" si="5"/>
        <v>-2.2737367544323206E-13</v>
      </c>
      <c r="L22" s="195">
        <f t="shared" si="3"/>
        <v>202</v>
      </c>
      <c r="M22" s="15"/>
      <c r="N22" s="264"/>
      <c r="O22" s="739"/>
      <c r="P22" s="264">
        <f t="shared" si="1"/>
        <v>0</v>
      </c>
      <c r="Q22" s="265"/>
      <c r="R22" s="266"/>
      <c r="S22" s="259">
        <f t="shared" si="6"/>
        <v>4989.659999999998</v>
      </c>
    </row>
    <row r="23" spans="2:19" x14ac:dyDescent="0.25">
      <c r="B23" s="195">
        <f t="shared" si="2"/>
        <v>0</v>
      </c>
      <c r="C23" s="15"/>
      <c r="D23" s="1043"/>
      <c r="E23" s="1053"/>
      <c r="F23" s="1043">
        <f t="shared" si="7"/>
        <v>0</v>
      </c>
      <c r="G23" s="1062"/>
      <c r="H23" s="1063"/>
      <c r="I23" s="1071">
        <f t="shared" si="5"/>
        <v>-2.2737367544323206E-13</v>
      </c>
      <c r="L23" s="195">
        <f t="shared" si="3"/>
        <v>202</v>
      </c>
      <c r="M23" s="15"/>
      <c r="N23" s="264"/>
      <c r="O23" s="739"/>
      <c r="P23" s="264">
        <f t="shared" si="1"/>
        <v>0</v>
      </c>
      <c r="Q23" s="265"/>
      <c r="R23" s="266"/>
      <c r="S23" s="259">
        <f t="shared" si="6"/>
        <v>4989.659999999998</v>
      </c>
    </row>
    <row r="24" spans="2:19" x14ac:dyDescent="0.25">
      <c r="B24" s="195">
        <f t="shared" si="2"/>
        <v>0</v>
      </c>
      <c r="C24" s="15"/>
      <c r="D24" s="1043"/>
      <c r="E24" s="1053"/>
      <c r="F24" s="1043">
        <f t="shared" si="7"/>
        <v>0</v>
      </c>
      <c r="G24" s="1062"/>
      <c r="H24" s="1063"/>
      <c r="I24" s="1071">
        <f t="shared" si="5"/>
        <v>-2.2737367544323206E-13</v>
      </c>
      <c r="L24" s="195">
        <f t="shared" si="3"/>
        <v>202</v>
      </c>
      <c r="M24" s="15"/>
      <c r="N24" s="264"/>
      <c r="O24" s="739"/>
      <c r="P24" s="264">
        <f t="shared" si="1"/>
        <v>0</v>
      </c>
      <c r="Q24" s="265"/>
      <c r="R24" s="266"/>
      <c r="S24" s="259">
        <f t="shared" si="6"/>
        <v>4989.659999999998</v>
      </c>
    </row>
    <row r="25" spans="2:19" x14ac:dyDescent="0.25">
      <c r="B25" s="195">
        <f t="shared" si="2"/>
        <v>0</v>
      </c>
      <c r="C25" s="15"/>
      <c r="D25" s="1043"/>
      <c r="E25" s="1053"/>
      <c r="F25" s="1043">
        <f t="shared" si="7"/>
        <v>0</v>
      </c>
      <c r="G25" s="1062"/>
      <c r="H25" s="1063"/>
      <c r="I25" s="1071">
        <f t="shared" si="5"/>
        <v>-2.2737367544323206E-13</v>
      </c>
      <c r="L25" s="195">
        <f t="shared" si="3"/>
        <v>202</v>
      </c>
      <c r="M25" s="15"/>
      <c r="N25" s="264"/>
      <c r="O25" s="739"/>
      <c r="P25" s="264">
        <f t="shared" si="1"/>
        <v>0</v>
      </c>
      <c r="Q25" s="265"/>
      <c r="R25" s="266"/>
      <c r="S25" s="259">
        <f t="shared" si="6"/>
        <v>4989.659999999998</v>
      </c>
    </row>
    <row r="26" spans="2:19" x14ac:dyDescent="0.25">
      <c r="B26" s="195">
        <f t="shared" si="2"/>
        <v>0</v>
      </c>
      <c r="C26" s="15"/>
      <c r="D26" s="1043"/>
      <c r="E26" s="1053"/>
      <c r="F26" s="1043">
        <f t="shared" si="7"/>
        <v>0</v>
      </c>
      <c r="G26" s="1062"/>
      <c r="H26" s="1063"/>
      <c r="I26" s="1071">
        <f t="shared" si="5"/>
        <v>-2.2737367544323206E-13</v>
      </c>
      <c r="L26" s="195">
        <f t="shared" si="3"/>
        <v>202</v>
      </c>
      <c r="M26" s="15"/>
      <c r="N26" s="264"/>
      <c r="O26" s="739"/>
      <c r="P26" s="264">
        <f t="shared" si="1"/>
        <v>0</v>
      </c>
      <c r="Q26" s="265"/>
      <c r="R26" s="266"/>
      <c r="S26" s="259">
        <f t="shared" si="6"/>
        <v>4989.659999999998</v>
      </c>
    </row>
    <row r="27" spans="2:19" x14ac:dyDescent="0.25">
      <c r="B27" s="195">
        <f t="shared" si="2"/>
        <v>0</v>
      </c>
      <c r="C27" s="15"/>
      <c r="D27" s="1043"/>
      <c r="E27" s="1053"/>
      <c r="F27" s="1043">
        <f t="shared" si="7"/>
        <v>0</v>
      </c>
      <c r="G27" s="1037"/>
      <c r="H27" s="1038"/>
      <c r="I27" s="259">
        <f t="shared" si="5"/>
        <v>-2.2737367544323206E-13</v>
      </c>
      <c r="L27" s="195">
        <f t="shared" si="3"/>
        <v>202</v>
      </c>
      <c r="M27" s="15"/>
      <c r="N27" s="264"/>
      <c r="O27" s="739"/>
      <c r="P27" s="264">
        <f t="shared" si="1"/>
        <v>0</v>
      </c>
      <c r="Q27" s="265"/>
      <c r="R27" s="266"/>
      <c r="S27" s="259">
        <f t="shared" si="6"/>
        <v>4989.659999999998</v>
      </c>
    </row>
    <row r="28" spans="2:19" x14ac:dyDescent="0.25">
      <c r="B28" s="195">
        <f t="shared" si="2"/>
        <v>0</v>
      </c>
      <c r="C28" s="15"/>
      <c r="D28" s="1043"/>
      <c r="E28" s="1053"/>
      <c r="F28" s="1043">
        <f t="shared" si="7"/>
        <v>0</v>
      </c>
      <c r="G28" s="1037"/>
      <c r="H28" s="1038"/>
      <c r="I28" s="259">
        <f t="shared" si="5"/>
        <v>-2.2737367544323206E-13</v>
      </c>
      <c r="L28" s="195">
        <f t="shared" si="3"/>
        <v>202</v>
      </c>
      <c r="M28" s="15"/>
      <c r="N28" s="264"/>
      <c r="O28" s="739"/>
      <c r="P28" s="264">
        <f t="shared" si="1"/>
        <v>0</v>
      </c>
      <c r="Q28" s="265"/>
      <c r="R28" s="266"/>
      <c r="S28" s="259">
        <f t="shared" si="6"/>
        <v>4989.659999999998</v>
      </c>
    </row>
    <row r="29" spans="2:19" x14ac:dyDescent="0.25">
      <c r="B29" s="195">
        <f t="shared" si="2"/>
        <v>0</v>
      </c>
      <c r="C29" s="15"/>
      <c r="D29" s="1043"/>
      <c r="E29" s="1053"/>
      <c r="F29" s="1043">
        <f t="shared" si="7"/>
        <v>0</v>
      </c>
      <c r="G29" s="1037"/>
      <c r="H29" s="1038"/>
      <c r="I29" s="259">
        <f t="shared" si="5"/>
        <v>-2.2737367544323206E-13</v>
      </c>
      <c r="L29" s="195">
        <f t="shared" si="3"/>
        <v>202</v>
      </c>
      <c r="M29" s="15"/>
      <c r="N29" s="264"/>
      <c r="O29" s="739"/>
      <c r="P29" s="264">
        <f t="shared" si="1"/>
        <v>0</v>
      </c>
      <c r="Q29" s="265"/>
      <c r="R29" s="266"/>
      <c r="S29" s="259">
        <f t="shared" si="6"/>
        <v>4989.659999999998</v>
      </c>
    </row>
    <row r="30" spans="2:19" x14ac:dyDescent="0.25">
      <c r="B30" s="195">
        <f t="shared" si="2"/>
        <v>0</v>
      </c>
      <c r="C30" s="15"/>
      <c r="D30" s="1043"/>
      <c r="E30" s="1053"/>
      <c r="F30" s="1043">
        <f t="shared" si="7"/>
        <v>0</v>
      </c>
      <c r="G30" s="1037"/>
      <c r="H30" s="1038"/>
      <c r="I30" s="259">
        <f t="shared" si="5"/>
        <v>-2.2737367544323206E-13</v>
      </c>
      <c r="L30" s="195">
        <f t="shared" si="3"/>
        <v>202</v>
      </c>
      <c r="M30" s="15"/>
      <c r="N30" s="264"/>
      <c r="O30" s="739"/>
      <c r="P30" s="264">
        <f t="shared" si="1"/>
        <v>0</v>
      </c>
      <c r="Q30" s="265"/>
      <c r="R30" s="266"/>
      <c r="S30" s="259">
        <f t="shared" si="6"/>
        <v>4989.659999999998</v>
      </c>
    </row>
    <row r="31" spans="2:19" x14ac:dyDescent="0.25">
      <c r="B31" s="195">
        <f t="shared" si="2"/>
        <v>0</v>
      </c>
      <c r="C31" s="15"/>
      <c r="D31" s="264"/>
      <c r="E31" s="739"/>
      <c r="F31" s="264">
        <f t="shared" si="7"/>
        <v>0</v>
      </c>
      <c r="G31" s="265"/>
      <c r="H31" s="266"/>
      <c r="I31" s="259">
        <f t="shared" si="5"/>
        <v>-2.2737367544323206E-13</v>
      </c>
      <c r="L31" s="195">
        <f t="shared" si="3"/>
        <v>202</v>
      </c>
      <c r="M31" s="15"/>
      <c r="N31" s="264"/>
      <c r="O31" s="739"/>
      <c r="P31" s="264">
        <f t="shared" si="1"/>
        <v>0</v>
      </c>
      <c r="Q31" s="265"/>
      <c r="R31" s="266"/>
      <c r="S31" s="259">
        <f t="shared" si="6"/>
        <v>4989.659999999998</v>
      </c>
    </row>
    <row r="32" spans="2:19" x14ac:dyDescent="0.25">
      <c r="B32" s="195">
        <f t="shared" si="2"/>
        <v>0</v>
      </c>
      <c r="C32" s="15"/>
      <c r="D32" s="264"/>
      <c r="E32" s="739"/>
      <c r="F32" s="264">
        <f t="shared" si="7"/>
        <v>0</v>
      </c>
      <c r="G32" s="265"/>
      <c r="H32" s="266"/>
      <c r="I32" s="259">
        <f t="shared" si="5"/>
        <v>-2.2737367544323206E-13</v>
      </c>
      <c r="L32" s="195">
        <f t="shared" si="3"/>
        <v>202</v>
      </c>
      <c r="M32" s="15"/>
      <c r="N32" s="264"/>
      <c r="O32" s="739"/>
      <c r="P32" s="264">
        <f t="shared" si="1"/>
        <v>0</v>
      </c>
      <c r="Q32" s="265"/>
      <c r="R32" s="266"/>
      <c r="S32" s="259">
        <f t="shared" si="6"/>
        <v>4989.659999999998</v>
      </c>
    </row>
    <row r="33" spans="2:19" x14ac:dyDescent="0.25">
      <c r="B33" s="195">
        <f t="shared" si="2"/>
        <v>0</v>
      </c>
      <c r="C33" s="15"/>
      <c r="D33" s="264"/>
      <c r="E33" s="739"/>
      <c r="F33" s="264">
        <f t="shared" si="7"/>
        <v>0</v>
      </c>
      <c r="G33" s="265"/>
      <c r="H33" s="266"/>
      <c r="I33" s="259">
        <f t="shared" si="5"/>
        <v>-2.2737367544323206E-13</v>
      </c>
      <c r="L33" s="195">
        <f t="shared" si="3"/>
        <v>202</v>
      </c>
      <c r="M33" s="15"/>
      <c r="N33" s="264"/>
      <c r="O33" s="739"/>
      <c r="P33" s="264">
        <f t="shared" si="1"/>
        <v>0</v>
      </c>
      <c r="Q33" s="265"/>
      <c r="R33" s="266"/>
      <c r="S33" s="259">
        <f t="shared" si="6"/>
        <v>4989.659999999998</v>
      </c>
    </row>
    <row r="34" spans="2:19" x14ac:dyDescent="0.25">
      <c r="B34" s="195">
        <f t="shared" si="2"/>
        <v>0</v>
      </c>
      <c r="C34" s="15"/>
      <c r="D34" s="264"/>
      <c r="E34" s="739"/>
      <c r="F34" s="264">
        <f t="shared" si="7"/>
        <v>0</v>
      </c>
      <c r="G34" s="265"/>
      <c r="H34" s="266"/>
      <c r="I34" s="259">
        <f t="shared" si="5"/>
        <v>-2.2737367544323206E-13</v>
      </c>
      <c r="L34" s="195">
        <f t="shared" si="3"/>
        <v>202</v>
      </c>
      <c r="M34" s="15"/>
      <c r="N34" s="264"/>
      <c r="O34" s="739"/>
      <c r="P34" s="264">
        <f t="shared" si="1"/>
        <v>0</v>
      </c>
      <c r="Q34" s="265"/>
      <c r="R34" s="266"/>
      <c r="S34" s="259">
        <f t="shared" si="6"/>
        <v>4989.659999999998</v>
      </c>
    </row>
    <row r="35" spans="2:19" x14ac:dyDescent="0.25">
      <c r="B35" s="195">
        <f t="shared" si="2"/>
        <v>0</v>
      </c>
      <c r="C35" s="15"/>
      <c r="D35" s="264"/>
      <c r="E35" s="739"/>
      <c r="F35" s="264">
        <f t="shared" si="7"/>
        <v>0</v>
      </c>
      <c r="G35" s="265"/>
      <c r="H35" s="266"/>
      <c r="I35" s="259">
        <f t="shared" si="5"/>
        <v>-2.2737367544323206E-13</v>
      </c>
      <c r="L35" s="195">
        <f t="shared" si="3"/>
        <v>202</v>
      </c>
      <c r="M35" s="15"/>
      <c r="N35" s="264"/>
      <c r="O35" s="739"/>
      <c r="P35" s="264">
        <f t="shared" si="1"/>
        <v>0</v>
      </c>
      <c r="Q35" s="265"/>
      <c r="R35" s="266"/>
      <c r="S35" s="259">
        <f t="shared" si="6"/>
        <v>4989.659999999998</v>
      </c>
    </row>
    <row r="36" spans="2:19" x14ac:dyDescent="0.25">
      <c r="B36" s="195">
        <f t="shared" si="2"/>
        <v>0</v>
      </c>
      <c r="C36" s="15"/>
      <c r="D36" s="264"/>
      <c r="E36" s="739"/>
      <c r="F36" s="264">
        <f t="shared" si="7"/>
        <v>0</v>
      </c>
      <c r="G36" s="265"/>
      <c r="H36" s="266"/>
      <c r="I36" s="259">
        <f t="shared" si="5"/>
        <v>-2.2737367544323206E-13</v>
      </c>
      <c r="L36" s="195">
        <f t="shared" si="3"/>
        <v>202</v>
      </c>
      <c r="M36" s="15"/>
      <c r="N36" s="264"/>
      <c r="O36" s="739"/>
      <c r="P36" s="264">
        <f t="shared" si="1"/>
        <v>0</v>
      </c>
      <c r="Q36" s="265"/>
      <c r="R36" s="266"/>
      <c r="S36" s="259">
        <f t="shared" si="6"/>
        <v>4989.659999999998</v>
      </c>
    </row>
    <row r="37" spans="2:19" x14ac:dyDescent="0.25">
      <c r="B37" s="195">
        <f t="shared" si="2"/>
        <v>0</v>
      </c>
      <c r="C37" s="15"/>
      <c r="D37" s="264"/>
      <c r="E37" s="739"/>
      <c r="F37" s="264">
        <f t="shared" si="7"/>
        <v>0</v>
      </c>
      <c r="G37" s="265"/>
      <c r="H37" s="266"/>
      <c r="I37" s="259">
        <f t="shared" si="5"/>
        <v>-2.2737367544323206E-13</v>
      </c>
      <c r="L37" s="195">
        <f t="shared" si="3"/>
        <v>202</v>
      </c>
      <c r="M37" s="15"/>
      <c r="N37" s="264"/>
      <c r="O37" s="739"/>
      <c r="P37" s="264">
        <f t="shared" si="1"/>
        <v>0</v>
      </c>
      <c r="Q37" s="265"/>
      <c r="R37" s="266"/>
      <c r="S37" s="259">
        <f t="shared" si="6"/>
        <v>4989.659999999998</v>
      </c>
    </row>
    <row r="38" spans="2:19" x14ac:dyDescent="0.25">
      <c r="B38" s="195">
        <f t="shared" si="2"/>
        <v>0</v>
      </c>
      <c r="C38" s="15"/>
      <c r="D38" s="69"/>
      <c r="E38" s="325"/>
      <c r="F38" s="69">
        <f t="shared" si="7"/>
        <v>0</v>
      </c>
      <c r="G38" s="70"/>
      <c r="H38" s="71"/>
      <c r="I38" s="259">
        <f t="shared" si="5"/>
        <v>-2.2737367544323206E-13</v>
      </c>
      <c r="L38" s="195">
        <f t="shared" si="3"/>
        <v>202</v>
      </c>
      <c r="M38" s="15"/>
      <c r="N38" s="69"/>
      <c r="O38" s="325"/>
      <c r="P38" s="69">
        <f t="shared" si="1"/>
        <v>0</v>
      </c>
      <c r="Q38" s="70"/>
      <c r="R38" s="71"/>
      <c r="S38" s="259">
        <f t="shared" si="6"/>
        <v>4989.659999999998</v>
      </c>
    </row>
    <row r="39" spans="2:19" x14ac:dyDescent="0.25">
      <c r="B39" s="195">
        <f t="shared" si="2"/>
        <v>0</v>
      </c>
      <c r="C39" s="15"/>
      <c r="D39" s="69"/>
      <c r="E39" s="325"/>
      <c r="F39" s="69">
        <f t="shared" si="7"/>
        <v>0</v>
      </c>
      <c r="G39" s="70"/>
      <c r="H39" s="71"/>
      <c r="I39" s="259">
        <f t="shared" si="5"/>
        <v>-2.2737367544323206E-13</v>
      </c>
      <c r="L39" s="195">
        <f t="shared" si="3"/>
        <v>202</v>
      </c>
      <c r="M39" s="15"/>
      <c r="N39" s="69"/>
      <c r="O39" s="325"/>
      <c r="P39" s="69">
        <f t="shared" si="1"/>
        <v>0</v>
      </c>
      <c r="Q39" s="70"/>
      <c r="R39" s="71"/>
      <c r="S39" s="259">
        <f t="shared" si="6"/>
        <v>4989.659999999998</v>
      </c>
    </row>
    <row r="40" spans="2:19" x14ac:dyDescent="0.25">
      <c r="B40" s="195">
        <f t="shared" si="2"/>
        <v>0</v>
      </c>
      <c r="C40" s="15"/>
      <c r="D40" s="69"/>
      <c r="E40" s="325"/>
      <c r="F40" s="69">
        <f t="shared" si="7"/>
        <v>0</v>
      </c>
      <c r="G40" s="70"/>
      <c r="H40" s="71"/>
      <c r="I40" s="259">
        <f t="shared" si="5"/>
        <v>-2.2737367544323206E-13</v>
      </c>
      <c r="L40" s="195">
        <f t="shared" si="3"/>
        <v>202</v>
      </c>
      <c r="M40" s="15"/>
      <c r="N40" s="69"/>
      <c r="O40" s="325"/>
      <c r="P40" s="69">
        <f t="shared" si="1"/>
        <v>0</v>
      </c>
      <c r="Q40" s="70"/>
      <c r="R40" s="71"/>
      <c r="S40" s="259">
        <f t="shared" si="6"/>
        <v>4989.659999999998</v>
      </c>
    </row>
    <row r="41" spans="2:19" x14ac:dyDescent="0.25">
      <c r="B41" s="195">
        <f t="shared" si="2"/>
        <v>0</v>
      </c>
      <c r="C41" s="15"/>
      <c r="D41" s="69"/>
      <c r="E41" s="325"/>
      <c r="F41" s="69">
        <f t="shared" si="7"/>
        <v>0</v>
      </c>
      <c r="G41" s="70"/>
      <c r="H41" s="71"/>
      <c r="I41" s="259">
        <f t="shared" si="5"/>
        <v>-2.2737367544323206E-13</v>
      </c>
      <c r="L41" s="195">
        <f t="shared" si="3"/>
        <v>202</v>
      </c>
      <c r="M41" s="15"/>
      <c r="N41" s="69"/>
      <c r="O41" s="325"/>
      <c r="P41" s="69">
        <f t="shared" si="1"/>
        <v>0</v>
      </c>
      <c r="Q41" s="70"/>
      <c r="R41" s="71"/>
      <c r="S41" s="259">
        <f t="shared" si="6"/>
        <v>4989.659999999998</v>
      </c>
    </row>
    <row r="42" spans="2:19" x14ac:dyDescent="0.25">
      <c r="B42" s="195">
        <f t="shared" si="2"/>
        <v>0</v>
      </c>
      <c r="C42" s="15"/>
      <c r="D42" s="69"/>
      <c r="E42" s="325"/>
      <c r="F42" s="69">
        <f t="shared" si="7"/>
        <v>0</v>
      </c>
      <c r="G42" s="70"/>
      <c r="H42" s="71"/>
      <c r="I42" s="259">
        <f t="shared" si="5"/>
        <v>-2.2737367544323206E-13</v>
      </c>
      <c r="L42" s="195">
        <f t="shared" si="3"/>
        <v>202</v>
      </c>
      <c r="M42" s="15"/>
      <c r="N42" s="69"/>
      <c r="O42" s="325"/>
      <c r="P42" s="69">
        <f t="shared" si="1"/>
        <v>0</v>
      </c>
      <c r="Q42" s="70"/>
      <c r="R42" s="71"/>
      <c r="S42" s="259">
        <f t="shared" si="6"/>
        <v>4989.659999999998</v>
      </c>
    </row>
    <row r="43" spans="2:19" x14ac:dyDescent="0.25">
      <c r="B43" s="195">
        <f t="shared" si="2"/>
        <v>0</v>
      </c>
      <c r="C43" s="15"/>
      <c r="D43" s="69"/>
      <c r="E43" s="325"/>
      <c r="F43" s="69">
        <f t="shared" si="7"/>
        <v>0</v>
      </c>
      <c r="G43" s="70"/>
      <c r="H43" s="71"/>
      <c r="I43" s="259">
        <f t="shared" si="5"/>
        <v>-2.2737367544323206E-13</v>
      </c>
      <c r="L43" s="195">
        <f t="shared" si="3"/>
        <v>202</v>
      </c>
      <c r="M43" s="15"/>
      <c r="N43" s="69"/>
      <c r="O43" s="325"/>
      <c r="P43" s="69">
        <f t="shared" si="1"/>
        <v>0</v>
      </c>
      <c r="Q43" s="70"/>
      <c r="R43" s="71"/>
      <c r="S43" s="259">
        <f t="shared" si="6"/>
        <v>4989.659999999998</v>
      </c>
    </row>
    <row r="44" spans="2:19" x14ac:dyDescent="0.25">
      <c r="B44" s="195">
        <f t="shared" si="2"/>
        <v>0</v>
      </c>
      <c r="C44" s="15"/>
      <c r="D44" s="69"/>
      <c r="E44" s="325"/>
      <c r="F44" s="69">
        <f t="shared" si="7"/>
        <v>0</v>
      </c>
      <c r="G44" s="70"/>
      <c r="H44" s="71"/>
      <c r="I44" s="259">
        <f t="shared" si="5"/>
        <v>-2.2737367544323206E-13</v>
      </c>
      <c r="L44" s="195">
        <f t="shared" si="3"/>
        <v>202</v>
      </c>
      <c r="M44" s="15"/>
      <c r="N44" s="69"/>
      <c r="O44" s="325"/>
      <c r="P44" s="69">
        <f t="shared" si="1"/>
        <v>0</v>
      </c>
      <c r="Q44" s="70"/>
      <c r="R44" s="71"/>
      <c r="S44" s="259">
        <f t="shared" si="6"/>
        <v>4989.659999999998</v>
      </c>
    </row>
    <row r="45" spans="2:19" x14ac:dyDescent="0.25">
      <c r="B45" s="195">
        <f t="shared" si="2"/>
        <v>0</v>
      </c>
      <c r="C45" s="15"/>
      <c r="D45" s="69"/>
      <c r="E45" s="325"/>
      <c r="F45" s="69">
        <f t="shared" si="7"/>
        <v>0</v>
      </c>
      <c r="G45" s="70"/>
      <c r="H45" s="71"/>
      <c r="I45" s="259">
        <f t="shared" si="5"/>
        <v>-2.2737367544323206E-13</v>
      </c>
      <c r="L45" s="195">
        <f t="shared" si="3"/>
        <v>202</v>
      </c>
      <c r="M45" s="15"/>
      <c r="N45" s="69"/>
      <c r="O45" s="325"/>
      <c r="P45" s="69">
        <f t="shared" si="1"/>
        <v>0</v>
      </c>
      <c r="Q45" s="70"/>
      <c r="R45" s="71"/>
      <c r="S45" s="259">
        <f t="shared" si="6"/>
        <v>4989.659999999998</v>
      </c>
    </row>
    <row r="46" spans="2:19" x14ac:dyDescent="0.25">
      <c r="B46" s="195">
        <f t="shared" si="2"/>
        <v>0</v>
      </c>
      <c r="C46" s="15"/>
      <c r="D46" s="69"/>
      <c r="E46" s="325"/>
      <c r="F46" s="69">
        <f t="shared" si="7"/>
        <v>0</v>
      </c>
      <c r="G46" s="70"/>
      <c r="H46" s="71"/>
      <c r="I46" s="259">
        <f t="shared" si="5"/>
        <v>-2.2737367544323206E-13</v>
      </c>
      <c r="L46" s="195">
        <f t="shared" si="3"/>
        <v>202</v>
      </c>
      <c r="M46" s="15"/>
      <c r="N46" s="69"/>
      <c r="O46" s="325"/>
      <c r="P46" s="69">
        <f t="shared" si="1"/>
        <v>0</v>
      </c>
      <c r="Q46" s="70"/>
      <c r="R46" s="71"/>
      <c r="S46" s="259">
        <f t="shared" si="6"/>
        <v>4989.659999999998</v>
      </c>
    </row>
    <row r="47" spans="2:19" x14ac:dyDescent="0.25">
      <c r="B47" s="195">
        <f t="shared" si="2"/>
        <v>0</v>
      </c>
      <c r="C47" s="15"/>
      <c r="D47" s="69"/>
      <c r="E47" s="325"/>
      <c r="F47" s="69">
        <f t="shared" si="7"/>
        <v>0</v>
      </c>
      <c r="G47" s="70"/>
      <c r="H47" s="71"/>
      <c r="I47" s="259">
        <f t="shared" si="5"/>
        <v>-2.2737367544323206E-13</v>
      </c>
      <c r="L47" s="195">
        <f t="shared" si="3"/>
        <v>202</v>
      </c>
      <c r="M47" s="15"/>
      <c r="N47" s="69"/>
      <c r="O47" s="325"/>
      <c r="P47" s="69">
        <f t="shared" si="1"/>
        <v>0</v>
      </c>
      <c r="Q47" s="70"/>
      <c r="R47" s="71"/>
      <c r="S47" s="259">
        <f t="shared" si="6"/>
        <v>4989.659999999998</v>
      </c>
    </row>
    <row r="48" spans="2:19" x14ac:dyDescent="0.25">
      <c r="B48" s="195">
        <f t="shared" si="2"/>
        <v>0</v>
      </c>
      <c r="C48" s="15"/>
      <c r="D48" s="69"/>
      <c r="E48" s="325"/>
      <c r="F48" s="69">
        <f t="shared" si="7"/>
        <v>0</v>
      </c>
      <c r="G48" s="70"/>
      <c r="H48" s="71"/>
      <c r="I48" s="259">
        <f t="shared" si="5"/>
        <v>-2.2737367544323206E-13</v>
      </c>
      <c r="L48" s="195">
        <f t="shared" si="3"/>
        <v>202</v>
      </c>
      <c r="M48" s="15"/>
      <c r="N48" s="69"/>
      <c r="O48" s="325"/>
      <c r="P48" s="69">
        <f t="shared" si="1"/>
        <v>0</v>
      </c>
      <c r="Q48" s="70"/>
      <c r="R48" s="71"/>
      <c r="S48" s="259">
        <f t="shared" si="6"/>
        <v>4989.659999999998</v>
      </c>
    </row>
    <row r="49" spans="2:19" x14ac:dyDescent="0.25">
      <c r="B49" s="195">
        <f t="shared" si="2"/>
        <v>0</v>
      </c>
      <c r="C49" s="15"/>
      <c r="D49" s="69"/>
      <c r="E49" s="325"/>
      <c r="F49" s="69">
        <f t="shared" si="7"/>
        <v>0</v>
      </c>
      <c r="G49" s="70"/>
      <c r="H49" s="71"/>
      <c r="I49" s="259">
        <f t="shared" si="5"/>
        <v>-2.2737367544323206E-13</v>
      </c>
      <c r="L49" s="195">
        <f t="shared" si="3"/>
        <v>202</v>
      </c>
      <c r="M49" s="15"/>
      <c r="N49" s="69"/>
      <c r="O49" s="325"/>
      <c r="P49" s="69">
        <f t="shared" si="1"/>
        <v>0</v>
      </c>
      <c r="Q49" s="70"/>
      <c r="R49" s="71"/>
      <c r="S49" s="259">
        <f t="shared" si="6"/>
        <v>4989.659999999998</v>
      </c>
    </row>
    <row r="50" spans="2:19" x14ac:dyDescent="0.25">
      <c r="B50" s="195">
        <f t="shared" si="2"/>
        <v>0</v>
      </c>
      <c r="C50" s="15"/>
      <c r="D50" s="69"/>
      <c r="E50" s="325"/>
      <c r="F50" s="69">
        <f t="shared" si="7"/>
        <v>0</v>
      </c>
      <c r="G50" s="70"/>
      <c r="H50" s="71"/>
      <c r="I50" s="259">
        <f t="shared" si="5"/>
        <v>-2.2737367544323206E-13</v>
      </c>
      <c r="L50" s="195">
        <f t="shared" si="3"/>
        <v>202</v>
      </c>
      <c r="M50" s="15"/>
      <c r="N50" s="69"/>
      <c r="O50" s="325"/>
      <c r="P50" s="69">
        <f t="shared" si="1"/>
        <v>0</v>
      </c>
      <c r="Q50" s="70"/>
      <c r="R50" s="71"/>
      <c r="S50" s="259">
        <f t="shared" si="6"/>
        <v>4989.659999999998</v>
      </c>
    </row>
    <row r="51" spans="2:19" x14ac:dyDescent="0.25">
      <c r="B51" s="195">
        <f t="shared" si="2"/>
        <v>0</v>
      </c>
      <c r="C51" s="15"/>
      <c r="D51" s="69"/>
      <c r="E51" s="325"/>
      <c r="F51" s="69">
        <f t="shared" si="7"/>
        <v>0</v>
      </c>
      <c r="G51" s="70"/>
      <c r="H51" s="71"/>
      <c r="I51" s="259">
        <f t="shared" si="5"/>
        <v>-2.2737367544323206E-13</v>
      </c>
      <c r="L51" s="195">
        <f t="shared" si="3"/>
        <v>202</v>
      </c>
      <c r="M51" s="15"/>
      <c r="N51" s="69"/>
      <c r="O51" s="325"/>
      <c r="P51" s="69">
        <f t="shared" si="1"/>
        <v>0</v>
      </c>
      <c r="Q51" s="70"/>
      <c r="R51" s="71"/>
      <c r="S51" s="259">
        <f t="shared" si="6"/>
        <v>4989.659999999998</v>
      </c>
    </row>
    <row r="52" spans="2:19" x14ac:dyDescent="0.25">
      <c r="B52" s="195">
        <f t="shared" si="2"/>
        <v>0</v>
      </c>
      <c r="C52" s="15"/>
      <c r="D52" s="69"/>
      <c r="E52" s="325"/>
      <c r="F52" s="69">
        <f t="shared" si="7"/>
        <v>0</v>
      </c>
      <c r="G52" s="70"/>
      <c r="H52" s="71"/>
      <c r="I52" s="259">
        <f t="shared" si="5"/>
        <v>-2.2737367544323206E-13</v>
      </c>
      <c r="L52" s="195">
        <f t="shared" si="3"/>
        <v>202</v>
      </c>
      <c r="M52" s="15"/>
      <c r="N52" s="69"/>
      <c r="O52" s="325"/>
      <c r="P52" s="69">
        <f t="shared" si="1"/>
        <v>0</v>
      </c>
      <c r="Q52" s="70"/>
      <c r="R52" s="71"/>
      <c r="S52" s="259">
        <f t="shared" si="6"/>
        <v>4989.659999999998</v>
      </c>
    </row>
    <row r="53" spans="2:19" x14ac:dyDescent="0.25">
      <c r="B53" s="195">
        <f t="shared" si="2"/>
        <v>0</v>
      </c>
      <c r="C53" s="15"/>
      <c r="D53" s="69"/>
      <c r="E53" s="325"/>
      <c r="F53" s="69">
        <f t="shared" si="7"/>
        <v>0</v>
      </c>
      <c r="G53" s="70"/>
      <c r="H53" s="71"/>
      <c r="I53" s="259">
        <f t="shared" si="5"/>
        <v>-2.2737367544323206E-13</v>
      </c>
      <c r="L53" s="195">
        <f t="shared" si="3"/>
        <v>202</v>
      </c>
      <c r="M53" s="15"/>
      <c r="N53" s="69"/>
      <c r="O53" s="325"/>
      <c r="P53" s="69">
        <f t="shared" si="1"/>
        <v>0</v>
      </c>
      <c r="Q53" s="70"/>
      <c r="R53" s="71"/>
      <c r="S53" s="259">
        <f t="shared" si="6"/>
        <v>4989.659999999998</v>
      </c>
    </row>
    <row r="54" spans="2:19" x14ac:dyDescent="0.25">
      <c r="B54" s="195">
        <f t="shared" si="2"/>
        <v>0</v>
      </c>
      <c r="C54" s="15"/>
      <c r="D54" s="69"/>
      <c r="E54" s="325"/>
      <c r="F54" s="69">
        <f t="shared" si="7"/>
        <v>0</v>
      </c>
      <c r="G54" s="70"/>
      <c r="H54" s="71"/>
      <c r="I54" s="259">
        <f t="shared" si="5"/>
        <v>-2.2737367544323206E-13</v>
      </c>
      <c r="L54" s="195">
        <f t="shared" si="3"/>
        <v>202</v>
      </c>
      <c r="M54" s="15"/>
      <c r="N54" s="69"/>
      <c r="O54" s="325"/>
      <c r="P54" s="69">
        <f t="shared" si="1"/>
        <v>0</v>
      </c>
      <c r="Q54" s="70"/>
      <c r="R54" s="71"/>
      <c r="S54" s="259">
        <f t="shared" si="6"/>
        <v>4989.659999999998</v>
      </c>
    </row>
    <row r="55" spans="2:19" ht="15.75" thickBot="1" x14ac:dyDescent="0.3">
      <c r="B55" s="3"/>
      <c r="C55" s="36"/>
      <c r="D55" s="155"/>
      <c r="E55" s="335"/>
      <c r="F55" s="155">
        <f t="shared" si="7"/>
        <v>0</v>
      </c>
      <c r="G55" s="220"/>
      <c r="H55" s="75"/>
      <c r="I55" s="259">
        <f t="shared" si="5"/>
        <v>-2.2737367544323206E-13</v>
      </c>
      <c r="L55" s="3"/>
      <c r="M55" s="36"/>
      <c r="N55" s="155"/>
      <c r="O55" s="335"/>
      <c r="P55" s="155">
        <f t="shared" si="1"/>
        <v>0</v>
      </c>
      <c r="Q55" s="220"/>
      <c r="R55" s="75"/>
      <c r="S55" s="259">
        <f t="shared" si="6"/>
        <v>4989.659999999998</v>
      </c>
    </row>
    <row r="56" spans="2:19" x14ac:dyDescent="0.25">
      <c r="C56" s="53">
        <f>SUM(C10:C55)</f>
        <v>73</v>
      </c>
      <c r="D56" s="124">
        <f>SUM(D10:D55)</f>
        <v>1698.91</v>
      </c>
      <c r="E56" s="171"/>
      <c r="F56" s="124">
        <f>SUM(F10:F55)</f>
        <v>1840.3500000000001</v>
      </c>
      <c r="G56" s="164"/>
      <c r="H56" s="164"/>
      <c r="M56" s="53">
        <f>SUM(M10:M55)</f>
        <v>85</v>
      </c>
      <c r="N56" s="124">
        <f>SUM(N10:N55)</f>
        <v>2155.7399999999998</v>
      </c>
      <c r="O56" s="171"/>
      <c r="P56" s="124">
        <f>SUM(P10:P55)</f>
        <v>2155.7399999999998</v>
      </c>
      <c r="Q56" s="164"/>
      <c r="R56" s="164"/>
    </row>
    <row r="57" spans="2:19" x14ac:dyDescent="0.25">
      <c r="C57" s="110"/>
      <c r="M57" s="110"/>
    </row>
    <row r="58" spans="2:19" ht="15.75" thickBot="1" x14ac:dyDescent="0.3">
      <c r="B58" s="47"/>
      <c r="L58" s="47"/>
    </row>
    <row r="59" spans="2:19" ht="15.75" thickBot="1" x14ac:dyDescent="0.3">
      <c r="B59" s="91"/>
      <c r="D59" s="45" t="s">
        <v>4</v>
      </c>
      <c r="E59" s="56" t="e">
        <f>F4-C56+#REF!+F5+#REF!</f>
        <v>#REF!</v>
      </c>
      <c r="L59" s="91"/>
      <c r="N59" s="45" t="s">
        <v>4</v>
      </c>
      <c r="O59" s="56" t="e">
        <f>P4-M56+#REF!+P5+#REF!</f>
        <v>#REF!</v>
      </c>
    </row>
    <row r="60" spans="2:19" ht="15.75" thickBot="1" x14ac:dyDescent="0.3">
      <c r="B60" s="125"/>
      <c r="L60" s="125"/>
    </row>
    <row r="61" spans="2:19" ht="15.75" thickBot="1" x14ac:dyDescent="0.3">
      <c r="B61" s="91"/>
      <c r="C61" s="1200" t="s">
        <v>11</v>
      </c>
      <c r="D61" s="1201"/>
      <c r="E61" s="57" t="e">
        <f>E4-F56+#REF!+E5+#REF!</f>
        <v>#REF!</v>
      </c>
      <c r="L61" s="91"/>
      <c r="M61" s="1200" t="s">
        <v>11</v>
      </c>
      <c r="N61" s="1201"/>
      <c r="O61" s="57" t="e">
        <f>O4-P56+#REF!+O5+#REF!</f>
        <v>#REF!</v>
      </c>
    </row>
  </sheetData>
  <sortState ref="C10:H15">
    <sortCondition ref="G10:G15"/>
  </sortState>
  <mergeCells count="7">
    <mergeCell ref="A1:G1"/>
    <mergeCell ref="A4:A5"/>
    <mergeCell ref="C61:D61"/>
    <mergeCell ref="K1:Q1"/>
    <mergeCell ref="K4:K5"/>
    <mergeCell ref="M61:N61"/>
    <mergeCell ref="L4:L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202"/>
      <c r="B1" s="1202"/>
      <c r="C1" s="1202"/>
      <c r="D1" s="1202"/>
      <c r="E1" s="1202"/>
      <c r="F1" s="1202"/>
      <c r="G1" s="1202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5"/>
      <c r="C4" s="17"/>
      <c r="D4" s="262"/>
      <c r="E4" s="337"/>
      <c r="F4" s="313"/>
    </row>
    <row r="5" spans="1:12" ht="15" customHeight="1" x14ac:dyDescent="0.25">
      <c r="A5" s="1225"/>
      <c r="B5" s="1227" t="s">
        <v>82</v>
      </c>
      <c r="C5" s="436"/>
      <c r="D5" s="311"/>
      <c r="E5" s="312"/>
      <c r="F5" s="313"/>
      <c r="G5" s="148">
        <f>F53</f>
        <v>0</v>
      </c>
      <c r="H5" s="58">
        <f>E4+E5+E6-G5</f>
        <v>0</v>
      </c>
    </row>
    <row r="6" spans="1:12" ht="16.5" thickBot="1" x14ac:dyDescent="0.3">
      <c r="A6" s="1226"/>
      <c r="B6" s="1228"/>
      <c r="C6" s="438"/>
      <c r="D6" s="437"/>
      <c r="E6" s="338"/>
      <c r="F6" s="315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2" ht="15.75" thickTop="1" x14ac:dyDescent="0.25">
      <c r="A8" s="80" t="s">
        <v>32</v>
      </c>
      <c r="B8" s="83"/>
      <c r="C8" s="263"/>
      <c r="D8" s="299">
        <v>0</v>
      </c>
      <c r="E8" s="93"/>
      <c r="F8" s="264">
        <f t="shared" ref="F8:F51" si="0">D8</f>
        <v>0</v>
      </c>
      <c r="G8" s="265"/>
      <c r="H8" s="266"/>
      <c r="I8" s="235">
        <f>E5+E4-F8+E6</f>
        <v>0</v>
      </c>
      <c r="J8" s="236">
        <f>F4+F5+F6-C8</f>
        <v>0</v>
      </c>
      <c r="K8" s="60">
        <f>H8*F8</f>
        <v>0</v>
      </c>
    </row>
    <row r="9" spans="1:12" x14ac:dyDescent="0.25">
      <c r="A9" s="207"/>
      <c r="B9" s="83"/>
      <c r="C9" s="263"/>
      <c r="D9" s="299">
        <v>0</v>
      </c>
      <c r="E9" s="93"/>
      <c r="F9" s="69">
        <f t="shared" si="0"/>
        <v>0</v>
      </c>
      <c r="G9" s="265"/>
      <c r="H9" s="266"/>
      <c r="I9" s="235">
        <f>I8-F9</f>
        <v>0</v>
      </c>
      <c r="J9" s="236">
        <f>J8-C9</f>
        <v>0</v>
      </c>
      <c r="K9" s="60">
        <f t="shared" ref="K9:K54" si="1">H9*F9</f>
        <v>0</v>
      </c>
    </row>
    <row r="10" spans="1:12" x14ac:dyDescent="0.25">
      <c r="A10" s="195"/>
      <c r="B10" s="83"/>
      <c r="C10" s="263"/>
      <c r="D10" s="299">
        <v>0</v>
      </c>
      <c r="E10" s="79"/>
      <c r="F10" s="69">
        <f t="shared" si="0"/>
        <v>0</v>
      </c>
      <c r="G10" s="265"/>
      <c r="H10" s="266"/>
      <c r="I10" s="297">
        <f t="shared" ref="I10:I19" si="2">I9-F10</f>
        <v>0</v>
      </c>
      <c r="J10" s="298">
        <f t="shared" ref="J10:J51" si="3">J9-C10</f>
        <v>0</v>
      </c>
      <c r="K10" s="301">
        <f t="shared" si="1"/>
        <v>0</v>
      </c>
      <c r="L10" s="240"/>
    </row>
    <row r="11" spans="1:12" x14ac:dyDescent="0.25">
      <c r="A11" s="82" t="s">
        <v>33</v>
      </c>
      <c r="B11" s="83"/>
      <c r="C11" s="263"/>
      <c r="D11" s="299">
        <f t="shared" ref="D11:D13" si="4">C11*B11</f>
        <v>0</v>
      </c>
      <c r="E11" s="79"/>
      <c r="F11" s="69">
        <f t="shared" si="0"/>
        <v>0</v>
      </c>
      <c r="G11" s="265"/>
      <c r="H11" s="266"/>
      <c r="I11" s="297">
        <f t="shared" si="2"/>
        <v>0</v>
      </c>
      <c r="J11" s="298">
        <f t="shared" si="3"/>
        <v>0</v>
      </c>
      <c r="K11" s="301">
        <f t="shared" si="1"/>
        <v>0</v>
      </c>
      <c r="L11" s="240"/>
    </row>
    <row r="12" spans="1:12" x14ac:dyDescent="0.25">
      <c r="A12" s="73"/>
      <c r="B12" s="83"/>
      <c r="C12" s="263"/>
      <c r="D12" s="299">
        <f t="shared" si="4"/>
        <v>0</v>
      </c>
      <c r="E12" s="79"/>
      <c r="F12" s="69">
        <f t="shared" si="0"/>
        <v>0</v>
      </c>
      <c r="G12" s="265"/>
      <c r="H12" s="266"/>
      <c r="I12" s="297">
        <f t="shared" si="2"/>
        <v>0</v>
      </c>
      <c r="J12" s="298">
        <f t="shared" si="3"/>
        <v>0</v>
      </c>
      <c r="K12" s="301">
        <f t="shared" si="1"/>
        <v>0</v>
      </c>
      <c r="L12" s="240"/>
    </row>
    <row r="13" spans="1:12" x14ac:dyDescent="0.25">
      <c r="A13" s="73"/>
      <c r="B13" s="83"/>
      <c r="C13" s="263"/>
      <c r="D13" s="299">
        <f t="shared" si="4"/>
        <v>0</v>
      </c>
      <c r="E13" s="79"/>
      <c r="F13" s="69">
        <f t="shared" si="0"/>
        <v>0</v>
      </c>
      <c r="G13" s="265"/>
      <c r="H13" s="266"/>
      <c r="I13" s="297">
        <f t="shared" si="2"/>
        <v>0</v>
      </c>
      <c r="J13" s="298">
        <f t="shared" si="3"/>
        <v>0</v>
      </c>
      <c r="K13" s="301">
        <f t="shared" si="1"/>
        <v>0</v>
      </c>
      <c r="L13" s="240"/>
    </row>
    <row r="14" spans="1:12" x14ac:dyDescent="0.25">
      <c r="B14" s="83"/>
      <c r="C14" s="263"/>
      <c r="D14" s="299">
        <f>C14*B14</f>
        <v>0</v>
      </c>
      <c r="E14" s="300"/>
      <c r="F14" s="264">
        <f t="shared" si="0"/>
        <v>0</v>
      </c>
      <c r="G14" s="265"/>
      <c r="H14" s="266"/>
      <c r="I14" s="297">
        <f t="shared" si="2"/>
        <v>0</v>
      </c>
      <c r="J14" s="298">
        <f t="shared" si="3"/>
        <v>0</v>
      </c>
      <c r="K14" s="301">
        <f t="shared" si="1"/>
        <v>0</v>
      </c>
      <c r="L14" s="240"/>
    </row>
    <row r="15" spans="1:12" x14ac:dyDescent="0.25">
      <c r="B15" s="83"/>
      <c r="C15" s="263"/>
      <c r="D15" s="299">
        <f t="shared" ref="D15:D51" si="5">C15*B15</f>
        <v>0</v>
      </c>
      <c r="E15" s="84"/>
      <c r="F15" s="69">
        <f t="shared" si="0"/>
        <v>0</v>
      </c>
      <c r="G15" s="265"/>
      <c r="H15" s="266"/>
      <c r="I15" s="297">
        <f t="shared" si="2"/>
        <v>0</v>
      </c>
      <c r="J15" s="298">
        <f t="shared" si="3"/>
        <v>0</v>
      </c>
      <c r="K15" s="301">
        <f t="shared" si="1"/>
        <v>0</v>
      </c>
      <c r="L15" s="240"/>
    </row>
    <row r="16" spans="1:12" x14ac:dyDescent="0.25">
      <c r="A16" s="81"/>
      <c r="B16" s="83"/>
      <c r="C16" s="263"/>
      <c r="D16" s="299">
        <f t="shared" si="5"/>
        <v>0</v>
      </c>
      <c r="E16" s="84"/>
      <c r="F16" s="69">
        <f t="shared" si="0"/>
        <v>0</v>
      </c>
      <c r="G16" s="265"/>
      <c r="H16" s="266"/>
      <c r="I16" s="297">
        <f t="shared" si="2"/>
        <v>0</v>
      </c>
      <c r="J16" s="298">
        <f t="shared" si="3"/>
        <v>0</v>
      </c>
      <c r="K16" s="301">
        <f t="shared" si="1"/>
        <v>0</v>
      </c>
    </row>
    <row r="17" spans="1:11" x14ac:dyDescent="0.25">
      <c r="A17" s="83"/>
      <c r="B17" s="83"/>
      <c r="C17" s="263"/>
      <c r="D17" s="299">
        <f t="shared" si="5"/>
        <v>0</v>
      </c>
      <c r="E17" s="84"/>
      <c r="F17" s="69">
        <f t="shared" si="0"/>
        <v>0</v>
      </c>
      <c r="G17" s="265"/>
      <c r="H17" s="266"/>
      <c r="I17" s="297">
        <f t="shared" si="2"/>
        <v>0</v>
      </c>
      <c r="J17" s="298">
        <f t="shared" si="3"/>
        <v>0</v>
      </c>
      <c r="K17" s="301">
        <f t="shared" si="1"/>
        <v>0</v>
      </c>
    </row>
    <row r="18" spans="1:11" x14ac:dyDescent="0.25">
      <c r="A18" s="2"/>
      <c r="B18" s="83"/>
      <c r="C18" s="263"/>
      <c r="D18" s="299">
        <f t="shared" si="5"/>
        <v>0</v>
      </c>
      <c r="E18" s="84"/>
      <c r="F18" s="69">
        <f t="shared" si="0"/>
        <v>0</v>
      </c>
      <c r="G18" s="265"/>
      <c r="H18" s="266"/>
      <c r="I18" s="297">
        <f t="shared" si="2"/>
        <v>0</v>
      </c>
      <c r="J18" s="298">
        <f t="shared" si="3"/>
        <v>0</v>
      </c>
      <c r="K18" s="301">
        <f t="shared" si="1"/>
        <v>0</v>
      </c>
    </row>
    <row r="19" spans="1:11" x14ac:dyDescent="0.25">
      <c r="A19" s="2"/>
      <c r="B19" s="83"/>
      <c r="C19" s="263"/>
      <c r="D19" s="299">
        <f t="shared" si="5"/>
        <v>0</v>
      </c>
      <c r="E19" s="84"/>
      <c r="F19" s="69">
        <f t="shared" si="0"/>
        <v>0</v>
      </c>
      <c r="G19" s="265"/>
      <c r="H19" s="266"/>
      <c r="I19" s="297">
        <f t="shared" si="2"/>
        <v>0</v>
      </c>
      <c r="J19" s="298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3"/>
      <c r="D20" s="299">
        <f t="shared" si="5"/>
        <v>0</v>
      </c>
      <c r="E20" s="79"/>
      <c r="F20" s="69">
        <f t="shared" si="0"/>
        <v>0</v>
      </c>
      <c r="G20" s="265"/>
      <c r="H20" s="266"/>
      <c r="I20" s="297">
        <f>I19-F20</f>
        <v>0</v>
      </c>
      <c r="J20" s="298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3"/>
      <c r="D21" s="299">
        <f t="shared" si="5"/>
        <v>0</v>
      </c>
      <c r="E21" s="79"/>
      <c r="F21" s="69">
        <f t="shared" si="0"/>
        <v>0</v>
      </c>
      <c r="G21" s="265"/>
      <c r="H21" s="266"/>
      <c r="I21" s="297">
        <f t="shared" ref="I21:I51" si="6">I20-F21</f>
        <v>0</v>
      </c>
      <c r="J21" s="298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3"/>
      <c r="D22" s="299">
        <f t="shared" si="5"/>
        <v>0</v>
      </c>
      <c r="E22" s="79"/>
      <c r="F22" s="69">
        <f t="shared" si="0"/>
        <v>0</v>
      </c>
      <c r="G22" s="265"/>
      <c r="H22" s="266"/>
      <c r="I22" s="297">
        <f t="shared" si="6"/>
        <v>0</v>
      </c>
      <c r="J22" s="298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3"/>
      <c r="D23" s="299">
        <f t="shared" si="5"/>
        <v>0</v>
      </c>
      <c r="E23" s="79"/>
      <c r="F23" s="69">
        <f t="shared" si="0"/>
        <v>0</v>
      </c>
      <c r="G23" s="265"/>
      <c r="H23" s="266"/>
      <c r="I23" s="297">
        <f t="shared" si="6"/>
        <v>0</v>
      </c>
      <c r="J23" s="298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3"/>
      <c r="D24" s="299">
        <f t="shared" si="5"/>
        <v>0</v>
      </c>
      <c r="E24" s="93"/>
      <c r="F24" s="69">
        <f t="shared" si="0"/>
        <v>0</v>
      </c>
      <c r="G24" s="265"/>
      <c r="H24" s="266"/>
      <c r="I24" s="297">
        <f t="shared" si="6"/>
        <v>0</v>
      </c>
      <c r="J24" s="298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3"/>
      <c r="D25" s="299">
        <f t="shared" si="5"/>
        <v>0</v>
      </c>
      <c r="E25" s="336"/>
      <c r="F25" s="69">
        <f t="shared" si="0"/>
        <v>0</v>
      </c>
      <c r="G25" s="265"/>
      <c r="H25" s="266"/>
      <c r="I25" s="297">
        <f t="shared" si="6"/>
        <v>0</v>
      </c>
      <c r="J25" s="298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3"/>
      <c r="D26" s="299">
        <f t="shared" si="5"/>
        <v>0</v>
      </c>
      <c r="E26" s="336"/>
      <c r="F26" s="69">
        <f t="shared" si="0"/>
        <v>0</v>
      </c>
      <c r="G26" s="265"/>
      <c r="H26" s="266"/>
      <c r="I26" s="297">
        <f t="shared" si="6"/>
        <v>0</v>
      </c>
      <c r="J26" s="298">
        <f t="shared" si="3"/>
        <v>0</v>
      </c>
      <c r="K26" s="60">
        <f t="shared" si="1"/>
        <v>0</v>
      </c>
    </row>
    <row r="27" spans="1:11" x14ac:dyDescent="0.25">
      <c r="A27" s="187"/>
      <c r="B27" s="83"/>
      <c r="C27" s="263"/>
      <c r="D27" s="299">
        <f t="shared" si="5"/>
        <v>0</v>
      </c>
      <c r="E27" s="336"/>
      <c r="F27" s="69">
        <f t="shared" si="0"/>
        <v>0</v>
      </c>
      <c r="G27" s="265"/>
      <c r="H27" s="266"/>
      <c r="I27" s="297">
        <f t="shared" si="6"/>
        <v>0</v>
      </c>
      <c r="J27" s="298">
        <f t="shared" si="3"/>
        <v>0</v>
      </c>
      <c r="K27" s="60">
        <f t="shared" si="1"/>
        <v>0</v>
      </c>
    </row>
    <row r="28" spans="1:11" x14ac:dyDescent="0.25">
      <c r="A28" s="187"/>
      <c r="B28" s="83"/>
      <c r="C28" s="263"/>
      <c r="D28" s="299">
        <f t="shared" si="5"/>
        <v>0</v>
      </c>
      <c r="E28" s="324"/>
      <c r="F28" s="69">
        <f t="shared" si="0"/>
        <v>0</v>
      </c>
      <c r="G28" s="265"/>
      <c r="H28" s="266"/>
      <c r="I28" s="297">
        <f t="shared" si="6"/>
        <v>0</v>
      </c>
      <c r="J28" s="298">
        <f t="shared" si="3"/>
        <v>0</v>
      </c>
      <c r="K28" s="60">
        <f t="shared" si="1"/>
        <v>0</v>
      </c>
    </row>
    <row r="29" spans="1:11" x14ac:dyDescent="0.25">
      <c r="A29" s="187"/>
      <c r="B29" s="83"/>
      <c r="C29" s="263"/>
      <c r="D29" s="299">
        <f t="shared" si="5"/>
        <v>0</v>
      </c>
      <c r="E29" s="324"/>
      <c r="F29" s="69">
        <f t="shared" si="0"/>
        <v>0</v>
      </c>
      <c r="G29" s="265"/>
      <c r="H29" s="266"/>
      <c r="I29" s="297">
        <f t="shared" si="6"/>
        <v>0</v>
      </c>
      <c r="J29" s="298">
        <f t="shared" si="3"/>
        <v>0</v>
      </c>
      <c r="K29" s="60">
        <f t="shared" si="1"/>
        <v>0</v>
      </c>
    </row>
    <row r="30" spans="1:11" x14ac:dyDescent="0.25">
      <c r="A30" s="187"/>
      <c r="B30" s="83"/>
      <c r="C30" s="263"/>
      <c r="D30" s="299">
        <f t="shared" si="5"/>
        <v>0</v>
      </c>
      <c r="E30" s="324"/>
      <c r="F30" s="69">
        <f t="shared" si="0"/>
        <v>0</v>
      </c>
      <c r="G30" s="265"/>
      <c r="H30" s="266"/>
      <c r="I30" s="297">
        <f t="shared" si="6"/>
        <v>0</v>
      </c>
      <c r="J30" s="298">
        <f t="shared" si="3"/>
        <v>0</v>
      </c>
      <c r="K30" s="60">
        <f t="shared" si="1"/>
        <v>0</v>
      </c>
    </row>
    <row r="31" spans="1:11" x14ac:dyDescent="0.25">
      <c r="A31" s="187"/>
      <c r="B31" s="83"/>
      <c r="C31" s="263"/>
      <c r="D31" s="299">
        <f t="shared" si="5"/>
        <v>0</v>
      </c>
      <c r="E31" s="324"/>
      <c r="F31" s="69">
        <f t="shared" si="0"/>
        <v>0</v>
      </c>
      <c r="G31" s="265"/>
      <c r="H31" s="266"/>
      <c r="I31" s="297">
        <f t="shared" si="6"/>
        <v>0</v>
      </c>
      <c r="J31" s="298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3"/>
      <c r="D32" s="299">
        <f t="shared" si="5"/>
        <v>0</v>
      </c>
      <c r="E32" s="328"/>
      <c r="F32" s="264">
        <f t="shared" si="0"/>
        <v>0</v>
      </c>
      <c r="G32" s="265"/>
      <c r="H32" s="266"/>
      <c r="I32" s="297">
        <f t="shared" si="6"/>
        <v>0</v>
      </c>
      <c r="J32" s="298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3"/>
      <c r="D33" s="299">
        <f t="shared" si="5"/>
        <v>0</v>
      </c>
      <c r="E33" s="325"/>
      <c r="F33" s="69">
        <f t="shared" si="0"/>
        <v>0</v>
      </c>
      <c r="G33" s="265"/>
      <c r="H33" s="266"/>
      <c r="I33" s="235">
        <f t="shared" si="6"/>
        <v>0</v>
      </c>
      <c r="J33" s="236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3"/>
      <c r="D34" s="299">
        <f t="shared" si="5"/>
        <v>0</v>
      </c>
      <c r="E34" s="325"/>
      <c r="F34" s="69">
        <f t="shared" si="0"/>
        <v>0</v>
      </c>
      <c r="G34" s="265"/>
      <c r="H34" s="266"/>
      <c r="I34" s="235">
        <f t="shared" si="6"/>
        <v>0</v>
      </c>
      <c r="J34" s="236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3"/>
      <c r="D35" s="299">
        <f t="shared" si="5"/>
        <v>0</v>
      </c>
      <c r="E35" s="325"/>
      <c r="F35" s="69">
        <f t="shared" si="0"/>
        <v>0</v>
      </c>
      <c r="G35" s="265"/>
      <c r="H35" s="266"/>
      <c r="I35" s="297">
        <f t="shared" si="6"/>
        <v>0</v>
      </c>
      <c r="J35" s="298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3"/>
      <c r="D36" s="186">
        <f t="shared" si="5"/>
        <v>0</v>
      </c>
      <c r="E36" s="325"/>
      <c r="F36" s="69">
        <f t="shared" si="0"/>
        <v>0</v>
      </c>
      <c r="G36" s="265"/>
      <c r="H36" s="266"/>
      <c r="I36" s="297">
        <f t="shared" si="6"/>
        <v>0</v>
      </c>
      <c r="J36" s="298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3"/>
      <c r="D37" s="186">
        <f t="shared" si="5"/>
        <v>0</v>
      </c>
      <c r="E37" s="325"/>
      <c r="F37" s="69">
        <f t="shared" si="0"/>
        <v>0</v>
      </c>
      <c r="G37" s="265"/>
      <c r="H37" s="266"/>
      <c r="I37" s="297">
        <f t="shared" si="6"/>
        <v>0</v>
      </c>
      <c r="J37" s="298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3"/>
      <c r="D38" s="186">
        <f t="shared" si="5"/>
        <v>0</v>
      </c>
      <c r="E38" s="324"/>
      <c r="F38" s="69">
        <f t="shared" si="0"/>
        <v>0</v>
      </c>
      <c r="G38" s="265"/>
      <c r="H38" s="266"/>
      <c r="I38" s="297">
        <f t="shared" si="6"/>
        <v>0</v>
      </c>
      <c r="J38" s="298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3"/>
      <c r="D39" s="186">
        <f t="shared" si="5"/>
        <v>0</v>
      </c>
      <c r="E39" s="325"/>
      <c r="F39" s="69">
        <f t="shared" si="0"/>
        <v>0</v>
      </c>
      <c r="G39" s="265"/>
      <c r="H39" s="266"/>
      <c r="I39" s="297">
        <f t="shared" si="6"/>
        <v>0</v>
      </c>
      <c r="J39" s="298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3"/>
      <c r="D40" s="186">
        <f t="shared" si="5"/>
        <v>0</v>
      </c>
      <c r="E40" s="325"/>
      <c r="F40" s="69">
        <f t="shared" si="0"/>
        <v>0</v>
      </c>
      <c r="G40" s="265"/>
      <c r="H40" s="266"/>
      <c r="I40" s="297">
        <f t="shared" si="6"/>
        <v>0</v>
      </c>
      <c r="J40" s="298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3"/>
      <c r="D41" s="186">
        <f t="shared" si="5"/>
        <v>0</v>
      </c>
      <c r="E41" s="325"/>
      <c r="F41" s="69">
        <f t="shared" si="0"/>
        <v>0</v>
      </c>
      <c r="G41" s="265"/>
      <c r="H41" s="266"/>
      <c r="I41" s="235">
        <f t="shared" si="6"/>
        <v>0</v>
      </c>
      <c r="J41" s="236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3"/>
      <c r="D42" s="186">
        <f t="shared" si="5"/>
        <v>0</v>
      </c>
      <c r="E42" s="325"/>
      <c r="F42" s="69">
        <f t="shared" si="0"/>
        <v>0</v>
      </c>
      <c r="G42" s="265"/>
      <c r="H42" s="266"/>
      <c r="I42" s="235">
        <f t="shared" si="6"/>
        <v>0</v>
      </c>
      <c r="J42" s="236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3"/>
      <c r="D43" s="186">
        <f t="shared" si="5"/>
        <v>0</v>
      </c>
      <c r="E43" s="325"/>
      <c r="F43" s="69">
        <f t="shared" si="0"/>
        <v>0</v>
      </c>
      <c r="G43" s="265"/>
      <c r="H43" s="266"/>
      <c r="I43" s="235">
        <f t="shared" si="6"/>
        <v>0</v>
      </c>
      <c r="J43" s="236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3"/>
      <c r="D44" s="186">
        <f t="shared" si="5"/>
        <v>0</v>
      </c>
      <c r="E44" s="325"/>
      <c r="F44" s="69">
        <f t="shared" si="0"/>
        <v>0</v>
      </c>
      <c r="G44" s="265"/>
      <c r="H44" s="266"/>
      <c r="I44" s="235">
        <f t="shared" si="6"/>
        <v>0</v>
      </c>
      <c r="J44" s="236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3"/>
      <c r="D45" s="186">
        <f t="shared" si="5"/>
        <v>0</v>
      </c>
      <c r="E45" s="325"/>
      <c r="F45" s="69">
        <f t="shared" si="0"/>
        <v>0</v>
      </c>
      <c r="G45" s="265"/>
      <c r="H45" s="266"/>
      <c r="I45" s="235">
        <f t="shared" si="6"/>
        <v>0</v>
      </c>
      <c r="J45" s="236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3"/>
      <c r="D46" s="186">
        <f t="shared" si="5"/>
        <v>0</v>
      </c>
      <c r="E46" s="325"/>
      <c r="F46" s="69">
        <f t="shared" si="0"/>
        <v>0</v>
      </c>
      <c r="G46" s="265"/>
      <c r="H46" s="266"/>
      <c r="I46" s="235">
        <f t="shared" si="6"/>
        <v>0</v>
      </c>
      <c r="J46" s="236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3"/>
      <c r="D47" s="186">
        <f t="shared" si="5"/>
        <v>0</v>
      </c>
      <c r="E47" s="325"/>
      <c r="F47" s="69">
        <f t="shared" si="0"/>
        <v>0</v>
      </c>
      <c r="G47" s="265"/>
      <c r="H47" s="266"/>
      <c r="I47" s="235">
        <f t="shared" si="6"/>
        <v>0</v>
      </c>
      <c r="J47" s="236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3"/>
      <c r="D48" s="186">
        <f t="shared" si="5"/>
        <v>0</v>
      </c>
      <c r="E48" s="325"/>
      <c r="F48" s="69">
        <f t="shared" si="0"/>
        <v>0</v>
      </c>
      <c r="G48" s="265"/>
      <c r="H48" s="266"/>
      <c r="I48" s="235">
        <f t="shared" si="6"/>
        <v>0</v>
      </c>
      <c r="J48" s="236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3"/>
      <c r="D49" s="186">
        <f t="shared" si="5"/>
        <v>0</v>
      </c>
      <c r="E49" s="325"/>
      <c r="F49" s="69">
        <f t="shared" si="0"/>
        <v>0</v>
      </c>
      <c r="G49" s="265"/>
      <c r="H49" s="266"/>
      <c r="I49" s="235">
        <f t="shared" si="6"/>
        <v>0</v>
      </c>
      <c r="J49" s="236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3"/>
      <c r="D50" s="186">
        <f t="shared" si="5"/>
        <v>0</v>
      </c>
      <c r="E50" s="325"/>
      <c r="F50" s="69">
        <f t="shared" si="0"/>
        <v>0</v>
      </c>
      <c r="G50" s="265"/>
      <c r="H50" s="266"/>
      <c r="I50" s="235">
        <f t="shared" si="6"/>
        <v>0</v>
      </c>
      <c r="J50" s="236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3"/>
      <c r="D51" s="186">
        <f t="shared" si="5"/>
        <v>0</v>
      </c>
      <c r="E51" s="325"/>
      <c r="F51" s="69">
        <f t="shared" si="0"/>
        <v>0</v>
      </c>
      <c r="G51" s="265"/>
      <c r="H51" s="266"/>
      <c r="I51" s="235">
        <f t="shared" si="6"/>
        <v>0</v>
      </c>
      <c r="J51" s="236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98">
        <f>C52*B33</f>
        <v>0</v>
      </c>
      <c r="E52" s="335"/>
      <c r="F52" s="155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229" t="s">
        <v>11</v>
      </c>
      <c r="D56" s="1230"/>
      <c r="E56" s="146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91"/>
      <c r="B1" s="1191"/>
      <c r="C1" s="1191"/>
      <c r="D1" s="1191"/>
      <c r="E1" s="1191"/>
      <c r="F1" s="1191"/>
      <c r="G1" s="1191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0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2"/>
      <c r="B4" s="1231"/>
      <c r="C4" s="453"/>
      <c r="D4" s="262"/>
      <c r="E4" s="337"/>
      <c r="F4" s="313"/>
      <c r="G4" s="240"/>
    </row>
    <row r="5" spans="1:10" ht="15" customHeight="1" x14ac:dyDescent="0.25">
      <c r="A5" s="1225"/>
      <c r="B5" s="1232"/>
      <c r="C5" s="515"/>
      <c r="D5" s="311"/>
      <c r="E5" s="312"/>
      <c r="F5" s="313"/>
      <c r="G5" s="302">
        <f>F52</f>
        <v>0</v>
      </c>
      <c r="H5" s="58">
        <f>E4+E5+E6-G5</f>
        <v>0</v>
      </c>
    </row>
    <row r="6" spans="1:10" ht="16.5" thickBot="1" x14ac:dyDescent="0.3">
      <c r="A6" s="1226"/>
      <c r="B6" s="1233"/>
      <c r="C6" s="516"/>
      <c r="D6" s="437"/>
      <c r="E6" s="338"/>
      <c r="F6" s="315"/>
      <c r="G6" s="240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0" ht="15.75" thickTop="1" x14ac:dyDescent="0.25">
      <c r="A8" s="80" t="s">
        <v>32</v>
      </c>
      <c r="B8" s="83"/>
      <c r="C8" s="15"/>
      <c r="D8" s="299">
        <v>0</v>
      </c>
      <c r="E8" s="592"/>
      <c r="F8" s="69">
        <f t="shared" ref="F8:F51" si="0">D8</f>
        <v>0</v>
      </c>
      <c r="G8" s="265"/>
      <c r="H8" s="266"/>
      <c r="I8" s="297">
        <f>E5+E4-F8+E6</f>
        <v>0</v>
      </c>
      <c r="J8" s="298">
        <f>F4+F5+F6-C8</f>
        <v>0</v>
      </c>
    </row>
    <row r="9" spans="1:10" x14ac:dyDescent="0.25">
      <c r="A9" s="207"/>
      <c r="B9" s="83"/>
      <c r="C9" s="15"/>
      <c r="D9" s="299">
        <v>0</v>
      </c>
      <c r="E9" s="592"/>
      <c r="F9" s="69">
        <f t="shared" si="0"/>
        <v>0</v>
      </c>
      <c r="G9" s="265"/>
      <c r="H9" s="266"/>
      <c r="I9" s="297">
        <f>I8-F9</f>
        <v>0</v>
      </c>
      <c r="J9" s="298">
        <f>J8-C9</f>
        <v>0</v>
      </c>
    </row>
    <row r="10" spans="1:10" x14ac:dyDescent="0.25">
      <c r="A10" s="195"/>
      <c r="B10" s="83"/>
      <c r="C10" s="15"/>
      <c r="D10" s="299">
        <v>0</v>
      </c>
      <c r="E10" s="135"/>
      <c r="F10" s="69">
        <f t="shared" si="0"/>
        <v>0</v>
      </c>
      <c r="G10" s="265"/>
      <c r="H10" s="266"/>
      <c r="I10" s="297">
        <f t="shared" ref="I10:I19" si="1">I9-F10</f>
        <v>0</v>
      </c>
      <c r="J10" s="298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299">
        <v>0</v>
      </c>
      <c r="E11" s="135"/>
      <c r="F11" s="264">
        <f t="shared" si="0"/>
        <v>0</v>
      </c>
      <c r="G11" s="265"/>
      <c r="H11" s="266"/>
      <c r="I11" s="297">
        <f t="shared" si="1"/>
        <v>0</v>
      </c>
      <c r="J11" s="298">
        <f t="shared" si="2"/>
        <v>0</v>
      </c>
    </row>
    <row r="12" spans="1:10" x14ac:dyDescent="0.25">
      <c r="A12" s="73"/>
      <c r="B12" s="83"/>
      <c r="C12" s="15"/>
      <c r="D12" s="299">
        <v>0</v>
      </c>
      <c r="E12" s="135"/>
      <c r="F12" s="264">
        <f t="shared" si="0"/>
        <v>0</v>
      </c>
      <c r="G12" s="265"/>
      <c r="H12" s="266"/>
      <c r="I12" s="297">
        <f t="shared" si="1"/>
        <v>0</v>
      </c>
      <c r="J12" s="298">
        <f t="shared" si="2"/>
        <v>0</v>
      </c>
    </row>
    <row r="13" spans="1:10" x14ac:dyDescent="0.25">
      <c r="A13" s="73"/>
      <c r="B13" s="83"/>
      <c r="C13" s="15"/>
      <c r="D13" s="299">
        <v>0</v>
      </c>
      <c r="E13" s="135"/>
      <c r="F13" s="264">
        <f t="shared" si="0"/>
        <v>0</v>
      </c>
      <c r="G13" s="265"/>
      <c r="H13" s="266"/>
      <c r="I13" s="297">
        <f t="shared" si="1"/>
        <v>0</v>
      </c>
      <c r="J13" s="298">
        <f t="shared" si="2"/>
        <v>0</v>
      </c>
    </row>
    <row r="14" spans="1:10" x14ac:dyDescent="0.25">
      <c r="B14" s="83"/>
      <c r="C14" s="263"/>
      <c r="D14" s="299">
        <v>0</v>
      </c>
      <c r="E14" s="245"/>
      <c r="F14" s="264">
        <f t="shared" si="0"/>
        <v>0</v>
      </c>
      <c r="G14" s="265"/>
      <c r="H14" s="266"/>
      <c r="I14" s="297">
        <f t="shared" si="1"/>
        <v>0</v>
      </c>
      <c r="J14" s="298">
        <f t="shared" si="2"/>
        <v>0</v>
      </c>
    </row>
    <row r="15" spans="1:10" x14ac:dyDescent="0.25">
      <c r="B15" s="83"/>
      <c r="C15" s="15"/>
      <c r="D15" s="299">
        <v>0</v>
      </c>
      <c r="E15" s="510"/>
      <c r="F15" s="264">
        <f t="shared" si="0"/>
        <v>0</v>
      </c>
      <c r="G15" s="265"/>
      <c r="H15" s="266"/>
      <c r="I15" s="297">
        <f t="shared" si="1"/>
        <v>0</v>
      </c>
      <c r="J15" s="298">
        <f t="shared" si="2"/>
        <v>0</v>
      </c>
    </row>
    <row r="16" spans="1:10" x14ac:dyDescent="0.25">
      <c r="A16" s="81"/>
      <c r="B16" s="83"/>
      <c r="C16" s="15"/>
      <c r="D16" s="299">
        <f t="shared" ref="D16:D53" si="3">C16*B16</f>
        <v>0</v>
      </c>
      <c r="E16" s="510"/>
      <c r="F16" s="264">
        <f t="shared" si="0"/>
        <v>0</v>
      </c>
      <c r="G16" s="265"/>
      <c r="H16" s="266"/>
      <c r="I16" s="297">
        <f t="shared" si="1"/>
        <v>0</v>
      </c>
      <c r="J16" s="298">
        <f t="shared" si="2"/>
        <v>0</v>
      </c>
    </row>
    <row r="17" spans="1:10" x14ac:dyDescent="0.25">
      <c r="A17" s="83"/>
      <c r="B17" s="83"/>
      <c r="C17" s="15"/>
      <c r="D17" s="299">
        <f t="shared" si="3"/>
        <v>0</v>
      </c>
      <c r="E17" s="510"/>
      <c r="F17" s="264">
        <f t="shared" si="0"/>
        <v>0</v>
      </c>
      <c r="G17" s="265"/>
      <c r="H17" s="266"/>
      <c r="I17" s="297">
        <f t="shared" si="1"/>
        <v>0</v>
      </c>
      <c r="J17" s="298">
        <f t="shared" si="2"/>
        <v>0</v>
      </c>
    </row>
    <row r="18" spans="1:10" x14ac:dyDescent="0.25">
      <c r="A18" s="2"/>
      <c r="B18" s="83"/>
      <c r="C18" s="15"/>
      <c r="D18" s="299">
        <f t="shared" si="3"/>
        <v>0</v>
      </c>
      <c r="E18" s="805"/>
      <c r="F18" s="264">
        <f t="shared" si="0"/>
        <v>0</v>
      </c>
      <c r="G18" s="265"/>
      <c r="H18" s="266"/>
      <c r="I18" s="297">
        <f t="shared" si="1"/>
        <v>0</v>
      </c>
      <c r="J18" s="298">
        <f t="shared" si="2"/>
        <v>0</v>
      </c>
    </row>
    <row r="19" spans="1:10" x14ac:dyDescent="0.25">
      <c r="A19" s="2"/>
      <c r="B19" s="83"/>
      <c r="C19" s="15"/>
      <c r="D19" s="299">
        <f t="shared" si="3"/>
        <v>0</v>
      </c>
      <c r="E19" s="805"/>
      <c r="F19" s="264">
        <f t="shared" si="0"/>
        <v>0</v>
      </c>
      <c r="G19" s="265"/>
      <c r="H19" s="266"/>
      <c r="I19" s="297">
        <f t="shared" si="1"/>
        <v>0</v>
      </c>
      <c r="J19" s="298">
        <f t="shared" si="2"/>
        <v>0</v>
      </c>
    </row>
    <row r="20" spans="1:10" x14ac:dyDescent="0.25">
      <c r="A20" s="2"/>
      <c r="B20" s="83"/>
      <c r="C20" s="15"/>
      <c r="D20" s="299">
        <f t="shared" si="3"/>
        <v>0</v>
      </c>
      <c r="E20" s="245"/>
      <c r="F20" s="264">
        <f t="shared" si="0"/>
        <v>0</v>
      </c>
      <c r="G20" s="265"/>
      <c r="H20" s="266"/>
      <c r="I20" s="297">
        <f>I19-F20</f>
        <v>0</v>
      </c>
      <c r="J20" s="298">
        <f t="shared" si="2"/>
        <v>0</v>
      </c>
    </row>
    <row r="21" spans="1:10" x14ac:dyDescent="0.25">
      <c r="A21" s="2"/>
      <c r="B21" s="83"/>
      <c r="C21" s="15"/>
      <c r="D21" s="299">
        <f t="shared" si="3"/>
        <v>0</v>
      </c>
      <c r="E21" s="245"/>
      <c r="F21" s="264">
        <f t="shared" si="0"/>
        <v>0</v>
      </c>
      <c r="G21" s="265"/>
      <c r="H21" s="266"/>
      <c r="I21" s="297">
        <f t="shared" ref="I21:I50" si="4">I20-F21</f>
        <v>0</v>
      </c>
      <c r="J21" s="298">
        <f t="shared" si="2"/>
        <v>0</v>
      </c>
    </row>
    <row r="22" spans="1:10" x14ac:dyDescent="0.25">
      <c r="A22" s="2"/>
      <c r="B22" s="83"/>
      <c r="C22" s="15"/>
      <c r="D22" s="299">
        <f t="shared" si="3"/>
        <v>0</v>
      </c>
      <c r="E22" s="245"/>
      <c r="F22" s="264">
        <f t="shared" si="0"/>
        <v>0</v>
      </c>
      <c r="G22" s="265"/>
      <c r="H22" s="266"/>
      <c r="I22" s="297">
        <f t="shared" si="4"/>
        <v>0</v>
      </c>
      <c r="J22" s="298">
        <f t="shared" si="2"/>
        <v>0</v>
      </c>
    </row>
    <row r="23" spans="1:10" x14ac:dyDescent="0.25">
      <c r="A23" s="2"/>
      <c r="B23" s="83"/>
      <c r="C23" s="15"/>
      <c r="D23" s="299">
        <f t="shared" si="3"/>
        <v>0</v>
      </c>
      <c r="E23" s="245"/>
      <c r="F23" s="264">
        <f t="shared" si="0"/>
        <v>0</v>
      </c>
      <c r="G23" s="265"/>
      <c r="H23" s="266"/>
      <c r="I23" s="297">
        <f t="shared" si="4"/>
        <v>0</v>
      </c>
      <c r="J23" s="298">
        <f t="shared" si="2"/>
        <v>0</v>
      </c>
    </row>
    <row r="24" spans="1:10" x14ac:dyDescent="0.25">
      <c r="A24" s="2"/>
      <c r="B24" s="83"/>
      <c r="C24" s="15"/>
      <c r="D24" s="299">
        <f t="shared" si="3"/>
        <v>0</v>
      </c>
      <c r="E24" s="806"/>
      <c r="F24" s="264">
        <f t="shared" si="0"/>
        <v>0</v>
      </c>
      <c r="G24" s="265"/>
      <c r="H24" s="266"/>
      <c r="I24" s="297">
        <f t="shared" si="4"/>
        <v>0</v>
      </c>
      <c r="J24" s="298">
        <f t="shared" si="2"/>
        <v>0</v>
      </c>
    </row>
    <row r="25" spans="1:10" x14ac:dyDescent="0.25">
      <c r="A25" s="2"/>
      <c r="B25" s="83"/>
      <c r="C25" s="15"/>
      <c r="D25" s="299">
        <f t="shared" si="3"/>
        <v>0</v>
      </c>
      <c r="E25" s="592"/>
      <c r="F25" s="69">
        <f t="shared" si="0"/>
        <v>0</v>
      </c>
      <c r="G25" s="265"/>
      <c r="H25" s="266"/>
      <c r="I25" s="297">
        <f t="shared" si="4"/>
        <v>0</v>
      </c>
      <c r="J25" s="298">
        <f t="shared" si="2"/>
        <v>0</v>
      </c>
    </row>
    <row r="26" spans="1:10" x14ac:dyDescent="0.25">
      <c r="A26" s="2"/>
      <c r="B26" s="83"/>
      <c r="C26" s="15"/>
      <c r="D26" s="299">
        <f t="shared" si="3"/>
        <v>0</v>
      </c>
      <c r="E26" s="592"/>
      <c r="F26" s="69">
        <f t="shared" si="0"/>
        <v>0</v>
      </c>
      <c r="G26" s="265"/>
      <c r="H26" s="266"/>
      <c r="I26" s="297">
        <f t="shared" si="4"/>
        <v>0</v>
      </c>
      <c r="J26" s="298">
        <f t="shared" si="2"/>
        <v>0</v>
      </c>
    </row>
    <row r="27" spans="1:10" x14ac:dyDescent="0.25">
      <c r="A27" s="187"/>
      <c r="B27" s="83"/>
      <c r="C27" s="15"/>
      <c r="D27" s="299">
        <f t="shared" si="3"/>
        <v>0</v>
      </c>
      <c r="E27" s="592"/>
      <c r="F27" s="69">
        <f t="shared" si="0"/>
        <v>0</v>
      </c>
      <c r="G27" s="265"/>
      <c r="H27" s="266"/>
      <c r="I27" s="297">
        <f t="shared" si="4"/>
        <v>0</v>
      </c>
      <c r="J27" s="298">
        <f t="shared" si="2"/>
        <v>0</v>
      </c>
    </row>
    <row r="28" spans="1:10" x14ac:dyDescent="0.25">
      <c r="A28" s="187"/>
      <c r="B28" s="83"/>
      <c r="C28" s="15"/>
      <c r="D28" s="299">
        <f t="shared" si="3"/>
        <v>0</v>
      </c>
      <c r="E28" s="135"/>
      <c r="F28" s="69">
        <f t="shared" si="0"/>
        <v>0</v>
      </c>
      <c r="G28" s="265"/>
      <c r="H28" s="266"/>
      <c r="I28" s="297">
        <f t="shared" si="4"/>
        <v>0</v>
      </c>
      <c r="J28" s="298">
        <f t="shared" si="2"/>
        <v>0</v>
      </c>
    </row>
    <row r="29" spans="1:10" x14ac:dyDescent="0.25">
      <c r="A29" s="187"/>
      <c r="B29" s="83"/>
      <c r="C29" s="15"/>
      <c r="D29" s="299">
        <f t="shared" si="3"/>
        <v>0</v>
      </c>
      <c r="E29" s="135"/>
      <c r="F29" s="69">
        <f t="shared" si="0"/>
        <v>0</v>
      </c>
      <c r="G29" s="265"/>
      <c r="H29" s="266"/>
      <c r="I29" s="297">
        <f t="shared" si="4"/>
        <v>0</v>
      </c>
      <c r="J29" s="298">
        <f t="shared" si="2"/>
        <v>0</v>
      </c>
    </row>
    <row r="30" spans="1:10" x14ac:dyDescent="0.25">
      <c r="A30" s="187"/>
      <c r="B30" s="83"/>
      <c r="C30" s="15"/>
      <c r="D30" s="299">
        <f t="shared" si="3"/>
        <v>0</v>
      </c>
      <c r="E30" s="135"/>
      <c r="F30" s="69">
        <f t="shared" si="0"/>
        <v>0</v>
      </c>
      <c r="G30" s="265"/>
      <c r="H30" s="266"/>
      <c r="I30" s="297">
        <f t="shared" si="4"/>
        <v>0</v>
      </c>
      <c r="J30" s="298">
        <f t="shared" si="2"/>
        <v>0</v>
      </c>
    </row>
    <row r="31" spans="1:10" x14ac:dyDescent="0.25">
      <c r="A31" s="187"/>
      <c r="B31" s="83"/>
      <c r="C31" s="15"/>
      <c r="D31" s="299">
        <f t="shared" si="3"/>
        <v>0</v>
      </c>
      <c r="E31" s="135"/>
      <c r="F31" s="69">
        <f t="shared" si="0"/>
        <v>0</v>
      </c>
      <c r="G31" s="265"/>
      <c r="H31" s="266"/>
      <c r="I31" s="297">
        <f t="shared" si="4"/>
        <v>0</v>
      </c>
      <c r="J31" s="298">
        <f t="shared" si="2"/>
        <v>0</v>
      </c>
    </row>
    <row r="32" spans="1:10" x14ac:dyDescent="0.25">
      <c r="A32" s="2"/>
      <c r="B32" s="83"/>
      <c r="C32" s="263"/>
      <c r="D32" s="299">
        <f t="shared" si="3"/>
        <v>0</v>
      </c>
      <c r="E32" s="245"/>
      <c r="F32" s="264">
        <f t="shared" si="0"/>
        <v>0</v>
      </c>
      <c r="G32" s="265"/>
      <c r="H32" s="266"/>
      <c r="I32" s="297">
        <f t="shared" si="4"/>
        <v>0</v>
      </c>
      <c r="J32" s="298">
        <f t="shared" si="2"/>
        <v>0</v>
      </c>
    </row>
    <row r="33" spans="1:10" x14ac:dyDescent="0.25">
      <c r="A33" s="2"/>
      <c r="B33" s="83"/>
      <c r="C33" s="15"/>
      <c r="D33" s="299">
        <f t="shared" si="3"/>
        <v>0</v>
      </c>
      <c r="E33" s="510"/>
      <c r="F33" s="69">
        <f t="shared" si="0"/>
        <v>0</v>
      </c>
      <c r="G33" s="265"/>
      <c r="H33" s="266"/>
      <c r="I33" s="235">
        <f t="shared" si="4"/>
        <v>0</v>
      </c>
      <c r="J33" s="236">
        <f t="shared" si="2"/>
        <v>0</v>
      </c>
    </row>
    <row r="34" spans="1:10" x14ac:dyDescent="0.25">
      <c r="A34" s="2"/>
      <c r="B34" s="83"/>
      <c r="C34" s="15"/>
      <c r="D34" s="299">
        <f t="shared" si="3"/>
        <v>0</v>
      </c>
      <c r="E34" s="510"/>
      <c r="F34" s="69">
        <f t="shared" si="0"/>
        <v>0</v>
      </c>
      <c r="G34" s="265"/>
      <c r="H34" s="266"/>
      <c r="I34" s="235">
        <f t="shared" si="4"/>
        <v>0</v>
      </c>
      <c r="J34" s="236">
        <f t="shared" si="2"/>
        <v>0</v>
      </c>
    </row>
    <row r="35" spans="1:10" x14ac:dyDescent="0.25">
      <c r="A35" s="2"/>
      <c r="B35" s="83"/>
      <c r="C35" s="15"/>
      <c r="D35" s="299">
        <f t="shared" si="3"/>
        <v>0</v>
      </c>
      <c r="E35" s="510"/>
      <c r="F35" s="69">
        <f t="shared" si="0"/>
        <v>0</v>
      </c>
      <c r="G35" s="265"/>
      <c r="H35" s="266"/>
      <c r="I35" s="297">
        <f t="shared" si="4"/>
        <v>0</v>
      </c>
      <c r="J35" s="298">
        <f t="shared" si="2"/>
        <v>0</v>
      </c>
    </row>
    <row r="36" spans="1:10" x14ac:dyDescent="0.25">
      <c r="A36" s="2"/>
      <c r="B36" s="83"/>
      <c r="C36" s="15"/>
      <c r="D36" s="299">
        <f t="shared" si="3"/>
        <v>0</v>
      </c>
      <c r="E36" s="510"/>
      <c r="F36" s="69">
        <f t="shared" si="0"/>
        <v>0</v>
      </c>
      <c r="G36" s="265"/>
      <c r="H36" s="266"/>
      <c r="I36" s="297">
        <f t="shared" si="4"/>
        <v>0</v>
      </c>
      <c r="J36" s="298">
        <f t="shared" si="2"/>
        <v>0</v>
      </c>
    </row>
    <row r="37" spans="1:10" x14ac:dyDescent="0.25">
      <c r="A37" s="2"/>
      <c r="B37" s="83"/>
      <c r="C37" s="15"/>
      <c r="D37" s="299">
        <f t="shared" si="3"/>
        <v>0</v>
      </c>
      <c r="E37" s="510" t="s">
        <v>41</v>
      </c>
      <c r="F37" s="69">
        <f t="shared" si="0"/>
        <v>0</v>
      </c>
      <c r="G37" s="265"/>
      <c r="H37" s="266"/>
      <c r="I37" s="297">
        <f t="shared" si="4"/>
        <v>0</v>
      </c>
      <c r="J37" s="298">
        <f t="shared" si="2"/>
        <v>0</v>
      </c>
    </row>
    <row r="38" spans="1:10" x14ac:dyDescent="0.25">
      <c r="A38" s="2"/>
      <c r="B38" s="83"/>
      <c r="C38" s="15"/>
      <c r="D38" s="299">
        <f t="shared" si="3"/>
        <v>0</v>
      </c>
      <c r="E38" s="135"/>
      <c r="F38" s="69">
        <f t="shared" si="0"/>
        <v>0</v>
      </c>
      <c r="G38" s="265"/>
      <c r="H38" s="266"/>
      <c r="I38" s="297">
        <f t="shared" si="4"/>
        <v>0</v>
      </c>
      <c r="J38" s="298">
        <f t="shared" si="2"/>
        <v>0</v>
      </c>
    </row>
    <row r="39" spans="1:10" x14ac:dyDescent="0.25">
      <c r="A39" s="2"/>
      <c r="B39" s="83"/>
      <c r="C39" s="15"/>
      <c r="D39" s="299">
        <f t="shared" si="3"/>
        <v>0</v>
      </c>
      <c r="E39" s="510"/>
      <c r="F39" s="69">
        <f t="shared" si="0"/>
        <v>0</v>
      </c>
      <c r="G39" s="265"/>
      <c r="H39" s="266"/>
      <c r="I39" s="297">
        <f t="shared" si="4"/>
        <v>0</v>
      </c>
      <c r="J39" s="298">
        <f t="shared" si="2"/>
        <v>0</v>
      </c>
    </row>
    <row r="40" spans="1:10" x14ac:dyDescent="0.25">
      <c r="A40" s="2"/>
      <c r="B40" s="83"/>
      <c r="C40" s="15"/>
      <c r="D40" s="299">
        <f t="shared" si="3"/>
        <v>0</v>
      </c>
      <c r="E40" s="510"/>
      <c r="F40" s="69">
        <f t="shared" si="0"/>
        <v>0</v>
      </c>
      <c r="G40" s="265"/>
      <c r="H40" s="266"/>
      <c r="I40" s="297">
        <f t="shared" si="4"/>
        <v>0</v>
      </c>
      <c r="J40" s="298">
        <f t="shared" si="2"/>
        <v>0</v>
      </c>
    </row>
    <row r="41" spans="1:10" x14ac:dyDescent="0.25">
      <c r="A41" s="2"/>
      <c r="B41" s="83"/>
      <c r="C41" s="15"/>
      <c r="D41" s="299">
        <f t="shared" si="3"/>
        <v>0</v>
      </c>
      <c r="E41" s="510"/>
      <c r="F41" s="69">
        <f t="shared" si="0"/>
        <v>0</v>
      </c>
      <c r="G41" s="265"/>
      <c r="H41" s="266"/>
      <c r="I41" s="235">
        <f t="shared" si="4"/>
        <v>0</v>
      </c>
      <c r="J41" s="236">
        <f t="shared" si="2"/>
        <v>0</v>
      </c>
    </row>
    <row r="42" spans="1:10" x14ac:dyDescent="0.25">
      <c r="A42" s="2"/>
      <c r="B42" s="83"/>
      <c r="C42" s="15"/>
      <c r="D42" s="299">
        <f t="shared" si="3"/>
        <v>0</v>
      </c>
      <c r="E42" s="510"/>
      <c r="F42" s="69">
        <f t="shared" si="0"/>
        <v>0</v>
      </c>
      <c r="G42" s="70"/>
      <c r="H42" s="71"/>
      <c r="I42" s="235">
        <f t="shared" si="4"/>
        <v>0</v>
      </c>
      <c r="J42" s="236">
        <f t="shared" si="2"/>
        <v>0</v>
      </c>
    </row>
    <row r="43" spans="1:10" x14ac:dyDescent="0.25">
      <c r="A43" s="2"/>
      <c r="B43" s="83"/>
      <c r="C43" s="15"/>
      <c r="D43" s="299">
        <f t="shared" si="3"/>
        <v>0</v>
      </c>
      <c r="E43" s="510"/>
      <c r="F43" s="69">
        <f t="shared" si="0"/>
        <v>0</v>
      </c>
      <c r="G43" s="70"/>
      <c r="H43" s="71"/>
      <c r="I43" s="235">
        <f t="shared" si="4"/>
        <v>0</v>
      </c>
      <c r="J43" s="236">
        <f t="shared" si="2"/>
        <v>0</v>
      </c>
    </row>
    <row r="44" spans="1:10" x14ac:dyDescent="0.25">
      <c r="A44" s="2"/>
      <c r="B44" s="83"/>
      <c r="C44" s="15"/>
      <c r="D44" s="299">
        <f t="shared" si="3"/>
        <v>0</v>
      </c>
      <c r="E44" s="510"/>
      <c r="F44" s="69">
        <f t="shared" si="0"/>
        <v>0</v>
      </c>
      <c r="G44" s="70"/>
      <c r="H44" s="71"/>
      <c r="I44" s="235">
        <f t="shared" si="4"/>
        <v>0</v>
      </c>
      <c r="J44" s="236">
        <f t="shared" si="2"/>
        <v>0</v>
      </c>
    </row>
    <row r="45" spans="1:10" x14ac:dyDescent="0.25">
      <c r="A45" s="2"/>
      <c r="B45" s="83"/>
      <c r="C45" s="15"/>
      <c r="D45" s="299">
        <f t="shared" si="3"/>
        <v>0</v>
      </c>
      <c r="E45" s="510"/>
      <c r="F45" s="69">
        <f t="shared" si="0"/>
        <v>0</v>
      </c>
      <c r="G45" s="70"/>
      <c r="H45" s="71"/>
      <c r="I45" s="235">
        <f t="shared" si="4"/>
        <v>0</v>
      </c>
      <c r="J45" s="236">
        <f t="shared" si="2"/>
        <v>0</v>
      </c>
    </row>
    <row r="46" spans="1:10" x14ac:dyDescent="0.25">
      <c r="A46" s="2"/>
      <c r="B46" s="83"/>
      <c r="C46" s="15"/>
      <c r="D46" s="299">
        <f t="shared" si="3"/>
        <v>0</v>
      </c>
      <c r="E46" s="510"/>
      <c r="F46" s="69">
        <f t="shared" si="0"/>
        <v>0</v>
      </c>
      <c r="G46" s="70"/>
      <c r="H46" s="71"/>
      <c r="I46" s="235">
        <f t="shared" si="4"/>
        <v>0</v>
      </c>
      <c r="J46" s="236">
        <f t="shared" si="2"/>
        <v>0</v>
      </c>
    </row>
    <row r="47" spans="1:10" x14ac:dyDescent="0.25">
      <c r="A47" s="2"/>
      <c r="B47" s="83"/>
      <c r="C47" s="15"/>
      <c r="D47" s="299">
        <f t="shared" si="3"/>
        <v>0</v>
      </c>
      <c r="E47" s="510"/>
      <c r="F47" s="69">
        <f t="shared" si="0"/>
        <v>0</v>
      </c>
      <c r="G47" s="70"/>
      <c r="H47" s="71"/>
      <c r="I47" s="235">
        <f t="shared" si="4"/>
        <v>0</v>
      </c>
      <c r="J47" s="236">
        <f t="shared" si="2"/>
        <v>0</v>
      </c>
    </row>
    <row r="48" spans="1:10" x14ac:dyDescent="0.25">
      <c r="A48" s="2"/>
      <c r="B48" s="83"/>
      <c r="C48" s="15"/>
      <c r="D48" s="299">
        <f t="shared" si="3"/>
        <v>0</v>
      </c>
      <c r="E48" s="510"/>
      <c r="F48" s="69">
        <f t="shared" si="0"/>
        <v>0</v>
      </c>
      <c r="G48" s="70"/>
      <c r="H48" s="71"/>
      <c r="I48" s="235">
        <f t="shared" si="4"/>
        <v>0</v>
      </c>
      <c r="J48" s="236">
        <f t="shared" si="2"/>
        <v>0</v>
      </c>
    </row>
    <row r="49" spans="1:10" x14ac:dyDescent="0.25">
      <c r="A49" s="2"/>
      <c r="B49" s="83"/>
      <c r="C49" s="15"/>
      <c r="D49" s="299">
        <f t="shared" si="3"/>
        <v>0</v>
      </c>
      <c r="E49" s="510"/>
      <c r="F49" s="69">
        <f t="shared" si="0"/>
        <v>0</v>
      </c>
      <c r="G49" s="70"/>
      <c r="H49" s="71"/>
      <c r="I49" s="235">
        <f t="shared" si="4"/>
        <v>0</v>
      </c>
      <c r="J49" s="236">
        <f t="shared" si="2"/>
        <v>0</v>
      </c>
    </row>
    <row r="50" spans="1:10" x14ac:dyDescent="0.25">
      <c r="A50" s="2"/>
      <c r="B50" s="83"/>
      <c r="C50" s="15"/>
      <c r="D50" s="299">
        <f t="shared" si="3"/>
        <v>0</v>
      </c>
      <c r="E50" s="510"/>
      <c r="F50" s="69">
        <f t="shared" si="0"/>
        <v>0</v>
      </c>
      <c r="G50" s="70"/>
      <c r="H50" s="71"/>
      <c r="I50" s="235">
        <f t="shared" si="4"/>
        <v>0</v>
      </c>
      <c r="J50" s="236">
        <f t="shared" si="2"/>
        <v>0</v>
      </c>
    </row>
    <row r="51" spans="1:10" ht="15.75" thickBot="1" x14ac:dyDescent="0.3">
      <c r="A51" s="4"/>
      <c r="B51" s="74"/>
      <c r="C51" s="37"/>
      <c r="D51" s="594">
        <f t="shared" si="3"/>
        <v>0</v>
      </c>
      <c r="E51" s="333"/>
      <c r="F51" s="214">
        <f t="shared" si="0"/>
        <v>0</v>
      </c>
      <c r="G51" s="215"/>
      <c r="H51" s="206"/>
    </row>
    <row r="52" spans="1:10" ht="16.5" thickTop="1" thickBot="1" x14ac:dyDescent="0.3">
      <c r="C52" s="90">
        <f>SUM(C8:C51)</f>
        <v>0</v>
      </c>
      <c r="D52" s="299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299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229" t="s">
        <v>11</v>
      </c>
      <c r="D55" s="1230"/>
      <c r="E55" s="146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M1" zoomScaleNormal="100" workbookViewId="0">
      <pane ySplit="8" topLeftCell="A9" activePane="bottomLeft" state="frozen"/>
      <selection pane="bottomLeft" activeCell="V10" sqref="V10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98" t="s">
        <v>226</v>
      </c>
      <c r="B1" s="1198"/>
      <c r="C1" s="1198"/>
      <c r="D1" s="1198"/>
      <c r="E1" s="1198"/>
      <c r="F1" s="1198"/>
      <c r="G1" s="1198"/>
      <c r="H1" s="11">
        <v>1</v>
      </c>
      <c r="I1" s="132"/>
      <c r="J1" s="73"/>
      <c r="M1" s="1202" t="s">
        <v>265</v>
      </c>
      <c r="N1" s="1202"/>
      <c r="O1" s="1202"/>
      <c r="P1" s="1202"/>
      <c r="Q1" s="1202"/>
      <c r="R1" s="1202"/>
      <c r="S1" s="1202"/>
      <c r="T1" s="11">
        <v>1</v>
      </c>
      <c r="U1" s="132"/>
      <c r="V1" s="73"/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2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2"/>
      <c r="V3" s="73"/>
    </row>
    <row r="4" spans="1:23" ht="15.75" thickTop="1" x14ac:dyDescent="0.25">
      <c r="B4" s="12"/>
      <c r="C4" s="212">
        <v>62</v>
      </c>
      <c r="D4" s="154">
        <v>44658</v>
      </c>
      <c r="E4" s="105">
        <v>1961.28</v>
      </c>
      <c r="F4" s="73">
        <v>432</v>
      </c>
      <c r="G4" s="73"/>
      <c r="I4" s="203"/>
      <c r="J4" s="73"/>
      <c r="N4" s="12"/>
      <c r="O4" s="212"/>
      <c r="P4" s="154"/>
      <c r="Q4" s="105"/>
      <c r="R4" s="73"/>
      <c r="S4" s="73"/>
      <c r="U4" s="203"/>
      <c r="V4" s="73"/>
    </row>
    <row r="5" spans="1:23" x14ac:dyDescent="0.25">
      <c r="A5" s="73" t="s">
        <v>55</v>
      </c>
      <c r="B5" s="1234" t="s">
        <v>43</v>
      </c>
      <c r="C5" s="212"/>
      <c r="D5" s="154"/>
      <c r="E5" s="105">
        <v>118.04</v>
      </c>
      <c r="F5" s="73">
        <v>26</v>
      </c>
      <c r="G5" s="5">
        <f>F109</f>
        <v>2079.3199999999997</v>
      </c>
      <c r="H5" s="7">
        <f>E4+E5-G5+E6+E7</f>
        <v>4.5474735088646412E-13</v>
      </c>
      <c r="I5" s="203"/>
      <c r="J5" s="73"/>
      <c r="M5" s="73" t="s">
        <v>55</v>
      </c>
      <c r="N5" s="1234" t="s">
        <v>43</v>
      </c>
      <c r="O5" s="212">
        <v>59</v>
      </c>
      <c r="P5" s="154">
        <v>44690</v>
      </c>
      <c r="Q5" s="105">
        <v>1003.34</v>
      </c>
      <c r="R5" s="73">
        <v>221</v>
      </c>
      <c r="S5" s="5">
        <f>R109</f>
        <v>821.74</v>
      </c>
      <c r="T5" s="7">
        <f>Q4+Q5-S5+Q6+Q7</f>
        <v>1707.04</v>
      </c>
      <c r="U5" s="203"/>
      <c r="V5" s="73"/>
    </row>
    <row r="6" spans="1:23" x14ac:dyDescent="0.25">
      <c r="B6" s="1234"/>
      <c r="C6" s="212"/>
      <c r="D6" s="154"/>
      <c r="E6" s="105"/>
      <c r="F6" s="73"/>
      <c r="I6" s="204"/>
      <c r="J6" s="73"/>
      <c r="N6" s="1234"/>
      <c r="O6" s="212">
        <v>0</v>
      </c>
      <c r="P6" s="154"/>
      <c r="Q6" s="105">
        <v>22.7</v>
      </c>
      <c r="R6" s="73">
        <v>5</v>
      </c>
      <c r="U6" s="204"/>
      <c r="V6" s="73"/>
    </row>
    <row r="7" spans="1:23" ht="15.75" thickBot="1" x14ac:dyDescent="0.3">
      <c r="B7" s="12"/>
      <c r="C7" s="128"/>
      <c r="D7" s="154"/>
      <c r="E7" s="105"/>
      <c r="F7" s="73"/>
      <c r="I7" s="204"/>
      <c r="J7" s="73"/>
      <c r="N7" s="12"/>
      <c r="O7" s="128">
        <v>56</v>
      </c>
      <c r="P7" s="154">
        <v>44705</v>
      </c>
      <c r="Q7" s="105">
        <v>1502.74</v>
      </c>
      <c r="R7" s="73">
        <v>331</v>
      </c>
      <c r="U7" s="204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5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5" t="s">
        <v>11</v>
      </c>
      <c r="V8" s="73"/>
    </row>
    <row r="9" spans="1:23" ht="15.75" thickTop="1" x14ac:dyDescent="0.25">
      <c r="A9" s="73"/>
      <c r="B9" s="133">
        <v>4.54</v>
      </c>
      <c r="C9" s="15">
        <v>30</v>
      </c>
      <c r="D9" s="69">
        <f t="shared" ref="D9:D108" si="0">C9*B9</f>
        <v>136.19999999999999</v>
      </c>
      <c r="E9" s="208">
        <v>44667</v>
      </c>
      <c r="F9" s="69">
        <f t="shared" ref="F9:F31" si="1">D9</f>
        <v>136.19999999999999</v>
      </c>
      <c r="G9" s="70" t="s">
        <v>168</v>
      </c>
      <c r="H9" s="71">
        <v>66</v>
      </c>
      <c r="I9" s="203">
        <f>E5+E4+E6+E7-F9</f>
        <v>1943.1200000000001</v>
      </c>
      <c r="J9" s="73">
        <f>F5-C9+F6+F4+F7</f>
        <v>428</v>
      </c>
      <c r="K9" s="60">
        <f>H9*F9</f>
        <v>8989.1999999999989</v>
      </c>
      <c r="M9" s="73"/>
      <c r="N9" s="133">
        <v>4.54</v>
      </c>
      <c r="O9" s="15">
        <v>50</v>
      </c>
      <c r="P9" s="69">
        <f t="shared" ref="P9:P108" si="2">O9*N9</f>
        <v>227</v>
      </c>
      <c r="Q9" s="208">
        <v>44695</v>
      </c>
      <c r="R9" s="69">
        <f t="shared" ref="R9:R31" si="3">P9</f>
        <v>227</v>
      </c>
      <c r="S9" s="70" t="s">
        <v>457</v>
      </c>
      <c r="T9" s="71">
        <v>62</v>
      </c>
      <c r="U9" s="203">
        <f>Q5+Q4+Q6+Q7-R9</f>
        <v>2301.7799999999997</v>
      </c>
      <c r="V9" s="73">
        <f>R5-O9+R6+R4+R7</f>
        <v>507</v>
      </c>
      <c r="W9" s="60">
        <f>T9*R9</f>
        <v>14074</v>
      </c>
    </row>
    <row r="10" spans="1:23" x14ac:dyDescent="0.25">
      <c r="B10" s="133">
        <v>4.54</v>
      </c>
      <c r="C10" s="15">
        <v>5</v>
      </c>
      <c r="D10" s="69">
        <f t="shared" si="0"/>
        <v>22.7</v>
      </c>
      <c r="E10" s="208">
        <v>44669</v>
      </c>
      <c r="F10" s="69">
        <f t="shared" si="1"/>
        <v>22.7</v>
      </c>
      <c r="G10" s="70" t="s">
        <v>170</v>
      </c>
      <c r="H10" s="71">
        <v>66</v>
      </c>
      <c r="I10" s="203">
        <f>I9-F10</f>
        <v>1920.42</v>
      </c>
      <c r="J10" s="73">
        <f>J9-C10</f>
        <v>423</v>
      </c>
      <c r="K10" s="60">
        <f t="shared" ref="K10:K107" si="4">H10*F10</f>
        <v>1498.2</v>
      </c>
      <c r="N10" s="133">
        <v>4.54</v>
      </c>
      <c r="O10" s="15">
        <v>10</v>
      </c>
      <c r="P10" s="69">
        <f t="shared" si="2"/>
        <v>45.4</v>
      </c>
      <c r="Q10" s="208">
        <v>44695</v>
      </c>
      <c r="R10" s="69">
        <f t="shared" si="3"/>
        <v>45.4</v>
      </c>
      <c r="S10" s="70" t="s">
        <v>491</v>
      </c>
      <c r="T10" s="71">
        <v>62</v>
      </c>
      <c r="U10" s="203">
        <f>U9-R10</f>
        <v>2256.3799999999997</v>
      </c>
      <c r="V10" s="73">
        <f>V9-O10</f>
        <v>497</v>
      </c>
      <c r="W10" s="60">
        <f t="shared" ref="W10:W83" si="5">T10*R10</f>
        <v>2814.7999999999997</v>
      </c>
    </row>
    <row r="11" spans="1:23" x14ac:dyDescent="0.25">
      <c r="A11" s="55" t="s">
        <v>32</v>
      </c>
      <c r="B11" s="133">
        <v>4.54</v>
      </c>
      <c r="C11" s="15">
        <v>10</v>
      </c>
      <c r="D11" s="69">
        <f t="shared" si="0"/>
        <v>45.4</v>
      </c>
      <c r="E11" s="208">
        <v>44670</v>
      </c>
      <c r="F11" s="69">
        <f t="shared" si="1"/>
        <v>45.4</v>
      </c>
      <c r="G11" s="265" t="s">
        <v>163</v>
      </c>
      <c r="H11" s="266">
        <v>66</v>
      </c>
      <c r="I11" s="280">
        <f t="shared" ref="I11:I74" si="6">I10-F11</f>
        <v>1875.02</v>
      </c>
      <c r="J11" s="243">
        <f t="shared" ref="J11:J74" si="7">J10-C11</f>
        <v>413</v>
      </c>
      <c r="K11" s="60">
        <f t="shared" si="4"/>
        <v>2996.4</v>
      </c>
      <c r="M11" s="55" t="s">
        <v>32</v>
      </c>
      <c r="N11" s="133">
        <v>4.54</v>
      </c>
      <c r="O11" s="15">
        <v>2</v>
      </c>
      <c r="P11" s="69">
        <f t="shared" si="2"/>
        <v>9.08</v>
      </c>
      <c r="Q11" s="208">
        <v>44697</v>
      </c>
      <c r="R11" s="69">
        <f t="shared" si="3"/>
        <v>9.08</v>
      </c>
      <c r="S11" s="265" t="s">
        <v>505</v>
      </c>
      <c r="T11" s="266">
        <v>62</v>
      </c>
      <c r="U11" s="280">
        <f t="shared" ref="U11:U74" si="8">U10-R11</f>
        <v>2247.2999999999997</v>
      </c>
      <c r="V11" s="243">
        <f t="shared" ref="V11:V74" si="9">V10-O11</f>
        <v>495</v>
      </c>
      <c r="W11" s="60">
        <f t="shared" si="5"/>
        <v>562.96</v>
      </c>
    </row>
    <row r="12" spans="1:23" x14ac:dyDescent="0.25">
      <c r="A12" s="85"/>
      <c r="B12" s="133">
        <v>4.54</v>
      </c>
      <c r="C12" s="15">
        <v>30</v>
      </c>
      <c r="D12" s="69">
        <f t="shared" si="0"/>
        <v>136.19999999999999</v>
      </c>
      <c r="E12" s="208">
        <v>44671</v>
      </c>
      <c r="F12" s="69">
        <f t="shared" si="1"/>
        <v>136.19999999999999</v>
      </c>
      <c r="G12" s="265" t="s">
        <v>173</v>
      </c>
      <c r="H12" s="266">
        <v>66</v>
      </c>
      <c r="I12" s="280">
        <f t="shared" si="6"/>
        <v>1738.82</v>
      </c>
      <c r="J12" s="243">
        <f t="shared" si="7"/>
        <v>383</v>
      </c>
      <c r="K12" s="60">
        <f t="shared" si="4"/>
        <v>8989.1999999999989</v>
      </c>
      <c r="M12" s="85"/>
      <c r="N12" s="133">
        <v>4.54</v>
      </c>
      <c r="O12" s="15">
        <v>1</v>
      </c>
      <c r="P12" s="69">
        <f t="shared" si="2"/>
        <v>4.54</v>
      </c>
      <c r="Q12" s="208">
        <v>44697</v>
      </c>
      <c r="R12" s="69">
        <f t="shared" si="3"/>
        <v>4.54</v>
      </c>
      <c r="S12" s="265" t="s">
        <v>506</v>
      </c>
      <c r="T12" s="266">
        <v>62</v>
      </c>
      <c r="U12" s="280">
        <f t="shared" si="8"/>
        <v>2242.7599999999998</v>
      </c>
      <c r="V12" s="243">
        <f t="shared" si="9"/>
        <v>494</v>
      </c>
      <c r="W12" s="60">
        <f t="shared" si="5"/>
        <v>281.48</v>
      </c>
    </row>
    <row r="13" spans="1:23" x14ac:dyDescent="0.25">
      <c r="B13" s="133">
        <v>4.54</v>
      </c>
      <c r="C13" s="15">
        <v>10</v>
      </c>
      <c r="D13" s="69">
        <f t="shared" si="0"/>
        <v>45.4</v>
      </c>
      <c r="E13" s="208">
        <v>44671</v>
      </c>
      <c r="F13" s="69">
        <f t="shared" si="1"/>
        <v>45.4</v>
      </c>
      <c r="G13" s="265" t="s">
        <v>173</v>
      </c>
      <c r="H13" s="266">
        <v>66</v>
      </c>
      <c r="I13" s="280">
        <f t="shared" si="6"/>
        <v>1693.4199999999998</v>
      </c>
      <c r="J13" s="243">
        <f t="shared" si="7"/>
        <v>373</v>
      </c>
      <c r="K13" s="60">
        <f t="shared" si="4"/>
        <v>2996.4</v>
      </c>
      <c r="N13" s="133">
        <v>4.54</v>
      </c>
      <c r="O13" s="15">
        <v>30</v>
      </c>
      <c r="P13" s="69">
        <f t="shared" si="2"/>
        <v>136.19999999999999</v>
      </c>
      <c r="Q13" s="208">
        <v>44697</v>
      </c>
      <c r="R13" s="69">
        <f t="shared" si="3"/>
        <v>136.19999999999999</v>
      </c>
      <c r="S13" s="265" t="s">
        <v>510</v>
      </c>
      <c r="T13" s="266">
        <v>62</v>
      </c>
      <c r="U13" s="280">
        <f t="shared" si="8"/>
        <v>2106.56</v>
      </c>
      <c r="V13" s="243">
        <f t="shared" si="9"/>
        <v>464</v>
      </c>
      <c r="W13" s="60">
        <f t="shared" si="5"/>
        <v>8444.4</v>
      </c>
    </row>
    <row r="14" spans="1:23" x14ac:dyDescent="0.25">
      <c r="A14" s="55" t="s">
        <v>33</v>
      </c>
      <c r="B14" s="133">
        <v>4.54</v>
      </c>
      <c r="C14" s="15">
        <v>4</v>
      </c>
      <c r="D14" s="69">
        <f t="shared" si="0"/>
        <v>18.16</v>
      </c>
      <c r="E14" s="208">
        <v>44672</v>
      </c>
      <c r="F14" s="69">
        <f t="shared" si="1"/>
        <v>18.16</v>
      </c>
      <c r="G14" s="265" t="s">
        <v>174</v>
      </c>
      <c r="H14" s="266">
        <v>66</v>
      </c>
      <c r="I14" s="280">
        <f t="shared" si="6"/>
        <v>1675.2599999999998</v>
      </c>
      <c r="J14" s="243">
        <f t="shared" si="7"/>
        <v>369</v>
      </c>
      <c r="K14" s="60">
        <f t="shared" si="4"/>
        <v>1198.56</v>
      </c>
      <c r="M14" s="55" t="s">
        <v>33</v>
      </c>
      <c r="N14" s="133">
        <v>4.54</v>
      </c>
      <c r="O14" s="15">
        <v>10</v>
      </c>
      <c r="P14" s="69">
        <f t="shared" si="2"/>
        <v>45.4</v>
      </c>
      <c r="Q14" s="208">
        <v>44698</v>
      </c>
      <c r="R14" s="69">
        <f t="shared" si="3"/>
        <v>45.4</v>
      </c>
      <c r="S14" s="265" t="s">
        <v>480</v>
      </c>
      <c r="T14" s="266">
        <v>62</v>
      </c>
      <c r="U14" s="280">
        <f t="shared" si="8"/>
        <v>2061.16</v>
      </c>
      <c r="V14" s="243">
        <f t="shared" si="9"/>
        <v>454</v>
      </c>
      <c r="W14" s="60">
        <f t="shared" si="5"/>
        <v>2814.7999999999997</v>
      </c>
    </row>
    <row r="15" spans="1:23" x14ac:dyDescent="0.25">
      <c r="B15" s="133">
        <v>4.54</v>
      </c>
      <c r="C15" s="15">
        <v>10</v>
      </c>
      <c r="D15" s="69">
        <f t="shared" si="0"/>
        <v>45.4</v>
      </c>
      <c r="E15" s="134">
        <v>44672</v>
      </c>
      <c r="F15" s="69">
        <f t="shared" si="1"/>
        <v>45.4</v>
      </c>
      <c r="G15" s="265" t="s">
        <v>176</v>
      </c>
      <c r="H15" s="266">
        <v>66</v>
      </c>
      <c r="I15" s="280">
        <f t="shared" si="6"/>
        <v>1629.8599999999997</v>
      </c>
      <c r="J15" s="243">
        <f t="shared" si="7"/>
        <v>359</v>
      </c>
      <c r="K15" s="60">
        <f t="shared" si="4"/>
        <v>2996.4</v>
      </c>
      <c r="N15" s="133">
        <v>4.54</v>
      </c>
      <c r="O15" s="15">
        <v>30</v>
      </c>
      <c r="P15" s="69">
        <f t="shared" si="2"/>
        <v>136.19999999999999</v>
      </c>
      <c r="Q15" s="134">
        <v>44700</v>
      </c>
      <c r="R15" s="69">
        <f t="shared" si="3"/>
        <v>136.19999999999999</v>
      </c>
      <c r="S15" s="265" t="s">
        <v>482</v>
      </c>
      <c r="T15" s="266">
        <v>62</v>
      </c>
      <c r="U15" s="280">
        <f t="shared" si="8"/>
        <v>1924.9599999999998</v>
      </c>
      <c r="V15" s="243">
        <f t="shared" si="9"/>
        <v>424</v>
      </c>
      <c r="W15" s="60">
        <f t="shared" si="5"/>
        <v>8444.4</v>
      </c>
    </row>
    <row r="16" spans="1:23" x14ac:dyDescent="0.25">
      <c r="B16" s="133">
        <v>4.54</v>
      </c>
      <c r="C16" s="15">
        <v>1</v>
      </c>
      <c r="D16" s="69">
        <f t="shared" si="0"/>
        <v>4.54</v>
      </c>
      <c r="E16" s="208">
        <v>44673</v>
      </c>
      <c r="F16" s="69">
        <f t="shared" si="1"/>
        <v>4.54</v>
      </c>
      <c r="G16" s="265" t="s">
        <v>180</v>
      </c>
      <c r="H16" s="266">
        <v>66</v>
      </c>
      <c r="I16" s="280">
        <f t="shared" si="6"/>
        <v>1625.3199999999997</v>
      </c>
      <c r="J16" s="243">
        <f t="shared" si="7"/>
        <v>358</v>
      </c>
      <c r="K16" s="60">
        <f t="shared" si="4"/>
        <v>299.64</v>
      </c>
      <c r="N16" s="133">
        <v>4.54</v>
      </c>
      <c r="O16" s="15">
        <v>2</v>
      </c>
      <c r="P16" s="69">
        <f t="shared" si="2"/>
        <v>9.08</v>
      </c>
      <c r="Q16" s="208">
        <v>44701</v>
      </c>
      <c r="R16" s="69">
        <f t="shared" si="3"/>
        <v>9.08</v>
      </c>
      <c r="S16" s="265" t="s">
        <v>512</v>
      </c>
      <c r="T16" s="266">
        <v>62</v>
      </c>
      <c r="U16" s="280">
        <f t="shared" si="8"/>
        <v>1915.8799999999999</v>
      </c>
      <c r="V16" s="243">
        <f t="shared" si="9"/>
        <v>422</v>
      </c>
      <c r="W16" s="60">
        <f t="shared" si="5"/>
        <v>562.96</v>
      </c>
    </row>
    <row r="17" spans="2:23" x14ac:dyDescent="0.25">
      <c r="B17" s="133">
        <v>4.54</v>
      </c>
      <c r="C17" s="15">
        <v>30</v>
      </c>
      <c r="D17" s="69">
        <f t="shared" si="0"/>
        <v>136.19999999999999</v>
      </c>
      <c r="E17" s="208">
        <v>44673</v>
      </c>
      <c r="F17" s="69">
        <f t="shared" si="1"/>
        <v>136.19999999999999</v>
      </c>
      <c r="G17" s="265" t="s">
        <v>182</v>
      </c>
      <c r="H17" s="266">
        <v>66</v>
      </c>
      <c r="I17" s="280">
        <f t="shared" si="6"/>
        <v>1489.1199999999997</v>
      </c>
      <c r="J17" s="243">
        <f t="shared" si="7"/>
        <v>328</v>
      </c>
      <c r="K17" s="60">
        <f t="shared" si="4"/>
        <v>8989.1999999999989</v>
      </c>
      <c r="N17" s="133">
        <v>4.54</v>
      </c>
      <c r="O17" s="15">
        <v>10</v>
      </c>
      <c r="P17" s="69">
        <f t="shared" si="2"/>
        <v>45.4</v>
      </c>
      <c r="Q17" s="208">
        <v>44701</v>
      </c>
      <c r="R17" s="69">
        <f t="shared" si="3"/>
        <v>45.4</v>
      </c>
      <c r="S17" s="265" t="s">
        <v>512</v>
      </c>
      <c r="T17" s="266">
        <v>62</v>
      </c>
      <c r="U17" s="280">
        <f t="shared" si="8"/>
        <v>1870.4799999999998</v>
      </c>
      <c r="V17" s="243">
        <f t="shared" si="9"/>
        <v>412</v>
      </c>
      <c r="W17" s="60">
        <f t="shared" si="5"/>
        <v>2814.7999999999997</v>
      </c>
    </row>
    <row r="18" spans="2:23" x14ac:dyDescent="0.25">
      <c r="B18" s="133">
        <v>4.54</v>
      </c>
      <c r="C18" s="15">
        <v>30</v>
      </c>
      <c r="D18" s="69">
        <f t="shared" si="0"/>
        <v>136.19999999999999</v>
      </c>
      <c r="E18" s="208">
        <v>44674</v>
      </c>
      <c r="F18" s="69">
        <f t="shared" si="1"/>
        <v>136.19999999999999</v>
      </c>
      <c r="G18" s="265" t="s">
        <v>189</v>
      </c>
      <c r="H18" s="266">
        <v>66</v>
      </c>
      <c r="I18" s="280">
        <f t="shared" si="6"/>
        <v>1352.9199999999996</v>
      </c>
      <c r="J18" s="243">
        <f t="shared" si="7"/>
        <v>298</v>
      </c>
      <c r="K18" s="60">
        <f t="shared" si="4"/>
        <v>8989.1999999999989</v>
      </c>
      <c r="N18" s="133">
        <v>4.54</v>
      </c>
      <c r="O18" s="15">
        <v>6</v>
      </c>
      <c r="P18" s="69">
        <f t="shared" si="2"/>
        <v>27.240000000000002</v>
      </c>
      <c r="Q18" s="208">
        <v>44701</v>
      </c>
      <c r="R18" s="69">
        <f t="shared" si="3"/>
        <v>27.240000000000002</v>
      </c>
      <c r="S18" s="265" t="s">
        <v>494</v>
      </c>
      <c r="T18" s="266">
        <v>62</v>
      </c>
      <c r="U18" s="280">
        <f t="shared" si="8"/>
        <v>1843.2399999999998</v>
      </c>
      <c r="V18" s="243">
        <f t="shared" si="9"/>
        <v>406</v>
      </c>
      <c r="W18" s="60">
        <f t="shared" si="5"/>
        <v>1688.88</v>
      </c>
    </row>
    <row r="19" spans="2:23" x14ac:dyDescent="0.25">
      <c r="B19" s="133">
        <v>4.54</v>
      </c>
      <c r="C19" s="15">
        <v>10</v>
      </c>
      <c r="D19" s="69">
        <f t="shared" si="0"/>
        <v>45.4</v>
      </c>
      <c r="E19" s="208">
        <v>44677</v>
      </c>
      <c r="F19" s="69">
        <f t="shared" si="1"/>
        <v>45.4</v>
      </c>
      <c r="G19" s="265" t="s">
        <v>195</v>
      </c>
      <c r="H19" s="266">
        <v>66</v>
      </c>
      <c r="I19" s="280">
        <f t="shared" si="6"/>
        <v>1307.5199999999995</v>
      </c>
      <c r="J19" s="243">
        <f t="shared" si="7"/>
        <v>288</v>
      </c>
      <c r="K19" s="60">
        <f t="shared" si="4"/>
        <v>2996.4</v>
      </c>
      <c r="N19" s="133">
        <v>4.54</v>
      </c>
      <c r="O19" s="15">
        <v>30</v>
      </c>
      <c r="P19" s="69">
        <f t="shared" si="2"/>
        <v>136.19999999999999</v>
      </c>
      <c r="Q19" s="208">
        <v>44702</v>
      </c>
      <c r="R19" s="69">
        <f t="shared" si="3"/>
        <v>136.19999999999999</v>
      </c>
      <c r="S19" s="265" t="s">
        <v>547</v>
      </c>
      <c r="T19" s="266">
        <v>62</v>
      </c>
      <c r="U19" s="280">
        <f t="shared" si="8"/>
        <v>1707.0399999999997</v>
      </c>
      <c r="V19" s="243">
        <f t="shared" si="9"/>
        <v>376</v>
      </c>
      <c r="W19" s="60">
        <f t="shared" si="5"/>
        <v>8444.4</v>
      </c>
    </row>
    <row r="20" spans="2:23" x14ac:dyDescent="0.25">
      <c r="B20" s="133">
        <v>4.54</v>
      </c>
      <c r="C20" s="15">
        <v>5</v>
      </c>
      <c r="D20" s="69">
        <f t="shared" si="0"/>
        <v>22.7</v>
      </c>
      <c r="E20" s="208">
        <v>44678</v>
      </c>
      <c r="F20" s="69">
        <f t="shared" si="1"/>
        <v>22.7</v>
      </c>
      <c r="G20" s="70" t="s">
        <v>186</v>
      </c>
      <c r="H20" s="71">
        <v>66</v>
      </c>
      <c r="I20" s="203">
        <f t="shared" si="6"/>
        <v>1284.8199999999995</v>
      </c>
      <c r="J20" s="73">
        <f t="shared" si="7"/>
        <v>283</v>
      </c>
      <c r="K20" s="60">
        <f t="shared" si="4"/>
        <v>1498.2</v>
      </c>
      <c r="N20" s="133">
        <v>4.54</v>
      </c>
      <c r="O20" s="15"/>
      <c r="P20" s="69">
        <f t="shared" si="2"/>
        <v>0</v>
      </c>
      <c r="Q20" s="208"/>
      <c r="R20" s="69">
        <f t="shared" si="3"/>
        <v>0</v>
      </c>
      <c r="S20" s="70"/>
      <c r="T20" s="71"/>
      <c r="U20" s="203">
        <f t="shared" si="8"/>
        <v>1707.0399999999997</v>
      </c>
      <c r="V20" s="73">
        <f t="shared" si="9"/>
        <v>376</v>
      </c>
      <c r="W20" s="60">
        <f t="shared" si="5"/>
        <v>0</v>
      </c>
    </row>
    <row r="21" spans="2:23" x14ac:dyDescent="0.25">
      <c r="B21" s="133">
        <v>4.54</v>
      </c>
      <c r="C21" s="15">
        <v>40</v>
      </c>
      <c r="D21" s="69">
        <f t="shared" si="0"/>
        <v>181.6</v>
      </c>
      <c r="E21" s="208">
        <v>44680</v>
      </c>
      <c r="F21" s="69">
        <f t="shared" si="1"/>
        <v>181.6</v>
      </c>
      <c r="G21" s="70" t="s">
        <v>206</v>
      </c>
      <c r="H21" s="71">
        <v>66</v>
      </c>
      <c r="I21" s="203">
        <f t="shared" si="6"/>
        <v>1103.2199999999996</v>
      </c>
      <c r="J21" s="73">
        <f t="shared" si="7"/>
        <v>243</v>
      </c>
      <c r="K21" s="60">
        <f t="shared" si="4"/>
        <v>11985.6</v>
      </c>
      <c r="N21" s="133">
        <v>4.54</v>
      </c>
      <c r="O21" s="15"/>
      <c r="P21" s="69">
        <f t="shared" si="2"/>
        <v>0</v>
      </c>
      <c r="Q21" s="208"/>
      <c r="R21" s="69">
        <f t="shared" si="3"/>
        <v>0</v>
      </c>
      <c r="S21" s="70"/>
      <c r="T21" s="71"/>
      <c r="U21" s="203">
        <f t="shared" si="8"/>
        <v>1707.0399999999997</v>
      </c>
      <c r="V21" s="73">
        <f t="shared" si="9"/>
        <v>376</v>
      </c>
      <c r="W21" s="60">
        <f t="shared" si="5"/>
        <v>0</v>
      </c>
    </row>
    <row r="22" spans="2:23" x14ac:dyDescent="0.25">
      <c r="B22" s="133">
        <v>4.54</v>
      </c>
      <c r="C22" s="15">
        <v>30</v>
      </c>
      <c r="D22" s="69">
        <f t="shared" si="0"/>
        <v>136.19999999999999</v>
      </c>
      <c r="E22" s="208">
        <v>44682</v>
      </c>
      <c r="F22" s="69">
        <f t="shared" si="1"/>
        <v>136.19999999999999</v>
      </c>
      <c r="G22" s="70" t="s">
        <v>197</v>
      </c>
      <c r="H22" s="71">
        <v>66</v>
      </c>
      <c r="I22" s="203">
        <f t="shared" si="6"/>
        <v>967.01999999999953</v>
      </c>
      <c r="J22" s="73">
        <f t="shared" si="7"/>
        <v>213</v>
      </c>
      <c r="K22" s="60">
        <f t="shared" si="4"/>
        <v>8989.1999999999989</v>
      </c>
      <c r="N22" s="133">
        <v>4.54</v>
      </c>
      <c r="O22" s="15"/>
      <c r="P22" s="69">
        <f t="shared" si="2"/>
        <v>0</v>
      </c>
      <c r="Q22" s="208"/>
      <c r="R22" s="69">
        <f t="shared" si="3"/>
        <v>0</v>
      </c>
      <c r="S22" s="70"/>
      <c r="T22" s="71"/>
      <c r="U22" s="203">
        <f t="shared" si="8"/>
        <v>1707.0399999999997</v>
      </c>
      <c r="V22" s="73">
        <f t="shared" si="9"/>
        <v>376</v>
      </c>
      <c r="W22" s="60">
        <f t="shared" si="5"/>
        <v>0</v>
      </c>
    </row>
    <row r="23" spans="2:23" x14ac:dyDescent="0.25">
      <c r="B23" s="133">
        <v>4.54</v>
      </c>
      <c r="C23" s="15">
        <v>1</v>
      </c>
      <c r="D23" s="1033">
        <f t="shared" si="0"/>
        <v>4.54</v>
      </c>
      <c r="E23" s="1040">
        <v>44683</v>
      </c>
      <c r="F23" s="1033">
        <f t="shared" si="1"/>
        <v>4.54</v>
      </c>
      <c r="G23" s="1034" t="s">
        <v>354</v>
      </c>
      <c r="H23" s="1035">
        <v>66</v>
      </c>
      <c r="I23" s="203">
        <f t="shared" si="6"/>
        <v>962.47999999999956</v>
      </c>
      <c r="J23" s="73">
        <f t="shared" si="7"/>
        <v>212</v>
      </c>
      <c r="K23" s="60">
        <f t="shared" si="4"/>
        <v>299.64</v>
      </c>
      <c r="N23" s="133">
        <v>4.54</v>
      </c>
      <c r="O23" s="15"/>
      <c r="P23" s="69">
        <f t="shared" si="2"/>
        <v>0</v>
      </c>
      <c r="Q23" s="208"/>
      <c r="R23" s="69">
        <f t="shared" si="3"/>
        <v>0</v>
      </c>
      <c r="S23" s="70"/>
      <c r="T23" s="71"/>
      <c r="U23" s="203">
        <f t="shared" si="8"/>
        <v>1707.0399999999997</v>
      </c>
      <c r="V23" s="73">
        <f t="shared" si="9"/>
        <v>376</v>
      </c>
      <c r="W23" s="60">
        <f t="shared" si="5"/>
        <v>0</v>
      </c>
    </row>
    <row r="24" spans="2:23" x14ac:dyDescent="0.25">
      <c r="B24" s="133">
        <v>4.54</v>
      </c>
      <c r="C24" s="15">
        <v>20</v>
      </c>
      <c r="D24" s="1033">
        <f t="shared" si="0"/>
        <v>90.8</v>
      </c>
      <c r="E24" s="1040">
        <v>44683</v>
      </c>
      <c r="F24" s="1033">
        <f t="shared" si="1"/>
        <v>90.8</v>
      </c>
      <c r="G24" s="1034" t="s">
        <v>355</v>
      </c>
      <c r="H24" s="1035">
        <v>66</v>
      </c>
      <c r="I24" s="203">
        <f t="shared" si="6"/>
        <v>871.67999999999961</v>
      </c>
      <c r="J24" s="73">
        <f t="shared" si="7"/>
        <v>192</v>
      </c>
      <c r="K24" s="60">
        <f t="shared" si="4"/>
        <v>5992.8</v>
      </c>
      <c r="N24" s="133">
        <v>4.54</v>
      </c>
      <c r="O24" s="15"/>
      <c r="P24" s="69">
        <f t="shared" si="2"/>
        <v>0</v>
      </c>
      <c r="Q24" s="208"/>
      <c r="R24" s="69">
        <f t="shared" si="3"/>
        <v>0</v>
      </c>
      <c r="S24" s="70"/>
      <c r="T24" s="71"/>
      <c r="U24" s="203">
        <f t="shared" si="8"/>
        <v>1707.0399999999997</v>
      </c>
      <c r="V24" s="73">
        <f t="shared" si="9"/>
        <v>376</v>
      </c>
      <c r="W24" s="60">
        <f t="shared" si="5"/>
        <v>0</v>
      </c>
    </row>
    <row r="25" spans="2:23" x14ac:dyDescent="0.25">
      <c r="B25" s="133">
        <v>4.54</v>
      </c>
      <c r="C25" s="15">
        <v>1</v>
      </c>
      <c r="D25" s="1033">
        <f t="shared" si="0"/>
        <v>4.54</v>
      </c>
      <c r="E25" s="1040">
        <v>44683</v>
      </c>
      <c r="F25" s="1033">
        <f t="shared" si="1"/>
        <v>4.54</v>
      </c>
      <c r="G25" s="1034" t="s">
        <v>356</v>
      </c>
      <c r="H25" s="1035">
        <v>66</v>
      </c>
      <c r="I25" s="203">
        <f t="shared" si="6"/>
        <v>867.13999999999965</v>
      </c>
      <c r="J25" s="73">
        <f t="shared" si="7"/>
        <v>191</v>
      </c>
      <c r="K25" s="60">
        <f t="shared" si="4"/>
        <v>299.64</v>
      </c>
      <c r="N25" s="133">
        <v>4.54</v>
      </c>
      <c r="O25" s="15"/>
      <c r="P25" s="69">
        <f t="shared" si="2"/>
        <v>0</v>
      </c>
      <c r="Q25" s="208"/>
      <c r="R25" s="69">
        <f t="shared" si="3"/>
        <v>0</v>
      </c>
      <c r="S25" s="70"/>
      <c r="T25" s="71"/>
      <c r="U25" s="203">
        <f t="shared" si="8"/>
        <v>1707.0399999999997</v>
      </c>
      <c r="V25" s="73">
        <f t="shared" si="9"/>
        <v>376</v>
      </c>
      <c r="W25" s="60">
        <f t="shared" si="5"/>
        <v>0</v>
      </c>
    </row>
    <row r="26" spans="2:23" x14ac:dyDescent="0.25">
      <c r="B26" s="133">
        <v>4.54</v>
      </c>
      <c r="C26" s="15">
        <v>4</v>
      </c>
      <c r="D26" s="1033">
        <f t="shared" si="0"/>
        <v>18.16</v>
      </c>
      <c r="E26" s="1040">
        <v>44683</v>
      </c>
      <c r="F26" s="1033">
        <f t="shared" si="1"/>
        <v>18.16</v>
      </c>
      <c r="G26" s="1034" t="s">
        <v>357</v>
      </c>
      <c r="H26" s="1035">
        <v>66</v>
      </c>
      <c r="I26" s="203">
        <f t="shared" si="6"/>
        <v>848.97999999999968</v>
      </c>
      <c r="J26" s="73">
        <f t="shared" si="7"/>
        <v>187</v>
      </c>
      <c r="K26" s="60">
        <f t="shared" si="4"/>
        <v>1198.56</v>
      </c>
      <c r="N26" s="133">
        <v>4.54</v>
      </c>
      <c r="O26" s="15"/>
      <c r="P26" s="69">
        <f t="shared" si="2"/>
        <v>0</v>
      </c>
      <c r="Q26" s="208"/>
      <c r="R26" s="69">
        <f t="shared" si="3"/>
        <v>0</v>
      </c>
      <c r="S26" s="70"/>
      <c r="T26" s="71"/>
      <c r="U26" s="203">
        <f t="shared" si="8"/>
        <v>1707.0399999999997</v>
      </c>
      <c r="V26" s="73">
        <f t="shared" si="9"/>
        <v>376</v>
      </c>
      <c r="W26" s="60">
        <f t="shared" si="5"/>
        <v>0</v>
      </c>
    </row>
    <row r="27" spans="2:23" x14ac:dyDescent="0.25">
      <c r="B27" s="133">
        <v>4.54</v>
      </c>
      <c r="C27" s="15">
        <v>10</v>
      </c>
      <c r="D27" s="1033">
        <f t="shared" si="0"/>
        <v>45.4</v>
      </c>
      <c r="E27" s="1040">
        <v>44683</v>
      </c>
      <c r="F27" s="1033">
        <f t="shared" si="1"/>
        <v>45.4</v>
      </c>
      <c r="G27" s="1034" t="s">
        <v>359</v>
      </c>
      <c r="H27" s="1035">
        <v>66</v>
      </c>
      <c r="I27" s="203">
        <f t="shared" si="6"/>
        <v>803.5799999999997</v>
      </c>
      <c r="J27" s="73">
        <f t="shared" si="7"/>
        <v>177</v>
      </c>
      <c r="K27" s="60">
        <f t="shared" si="4"/>
        <v>2996.4</v>
      </c>
      <c r="N27" s="133">
        <v>4.54</v>
      </c>
      <c r="O27" s="15"/>
      <c r="P27" s="69">
        <f t="shared" si="2"/>
        <v>0</v>
      </c>
      <c r="Q27" s="208"/>
      <c r="R27" s="69">
        <f t="shared" si="3"/>
        <v>0</v>
      </c>
      <c r="S27" s="70"/>
      <c r="T27" s="71"/>
      <c r="U27" s="203">
        <f t="shared" si="8"/>
        <v>1707.0399999999997</v>
      </c>
      <c r="V27" s="73">
        <f t="shared" si="9"/>
        <v>376</v>
      </c>
      <c r="W27" s="60">
        <f t="shared" si="5"/>
        <v>0</v>
      </c>
    </row>
    <row r="28" spans="2:23" x14ac:dyDescent="0.25">
      <c r="B28" s="133">
        <v>4.54</v>
      </c>
      <c r="C28" s="15">
        <v>30</v>
      </c>
      <c r="D28" s="1033">
        <f t="shared" si="0"/>
        <v>136.19999999999999</v>
      </c>
      <c r="E28" s="1040">
        <v>44685</v>
      </c>
      <c r="F28" s="1033">
        <f t="shared" si="1"/>
        <v>136.19999999999999</v>
      </c>
      <c r="G28" s="1034" t="s">
        <v>383</v>
      </c>
      <c r="H28" s="1035">
        <v>66</v>
      </c>
      <c r="I28" s="203">
        <f t="shared" si="6"/>
        <v>667.37999999999965</v>
      </c>
      <c r="J28" s="73">
        <f t="shared" si="7"/>
        <v>147</v>
      </c>
      <c r="K28" s="60">
        <f t="shared" si="4"/>
        <v>8989.1999999999989</v>
      </c>
      <c r="N28" s="133">
        <v>4.54</v>
      </c>
      <c r="O28" s="15"/>
      <c r="P28" s="69">
        <f t="shared" si="2"/>
        <v>0</v>
      </c>
      <c r="Q28" s="208"/>
      <c r="R28" s="69">
        <f t="shared" si="3"/>
        <v>0</v>
      </c>
      <c r="S28" s="70"/>
      <c r="T28" s="71"/>
      <c r="U28" s="203">
        <f t="shared" si="8"/>
        <v>1707.0399999999997</v>
      </c>
      <c r="V28" s="73">
        <f t="shared" si="9"/>
        <v>376</v>
      </c>
      <c r="W28" s="60">
        <f t="shared" si="5"/>
        <v>0</v>
      </c>
    </row>
    <row r="29" spans="2:23" x14ac:dyDescent="0.25">
      <c r="B29" s="133">
        <v>4.54</v>
      </c>
      <c r="C29" s="15">
        <v>3</v>
      </c>
      <c r="D29" s="1033">
        <f t="shared" si="0"/>
        <v>13.620000000000001</v>
      </c>
      <c r="E29" s="1040">
        <v>44687</v>
      </c>
      <c r="F29" s="1033">
        <f t="shared" si="1"/>
        <v>13.620000000000001</v>
      </c>
      <c r="G29" s="1034" t="s">
        <v>397</v>
      </c>
      <c r="H29" s="1035">
        <v>66</v>
      </c>
      <c r="I29" s="203">
        <f t="shared" si="6"/>
        <v>653.75999999999965</v>
      </c>
      <c r="J29" s="73">
        <f t="shared" si="7"/>
        <v>144</v>
      </c>
      <c r="K29" s="60">
        <f t="shared" si="4"/>
        <v>898.92000000000007</v>
      </c>
      <c r="N29" s="133">
        <v>4.54</v>
      </c>
      <c r="O29" s="15"/>
      <c r="P29" s="69">
        <f t="shared" si="2"/>
        <v>0</v>
      </c>
      <c r="Q29" s="208"/>
      <c r="R29" s="69">
        <f t="shared" si="3"/>
        <v>0</v>
      </c>
      <c r="S29" s="70"/>
      <c r="T29" s="71"/>
      <c r="U29" s="203">
        <f t="shared" si="8"/>
        <v>1707.0399999999997</v>
      </c>
      <c r="V29" s="73">
        <f t="shared" si="9"/>
        <v>376</v>
      </c>
      <c r="W29" s="60">
        <f t="shared" si="5"/>
        <v>0</v>
      </c>
    </row>
    <row r="30" spans="2:23" x14ac:dyDescent="0.25">
      <c r="B30" s="133">
        <v>4.54</v>
      </c>
      <c r="C30" s="15">
        <v>2</v>
      </c>
      <c r="D30" s="1033">
        <f t="shared" si="0"/>
        <v>9.08</v>
      </c>
      <c r="E30" s="1040">
        <v>44687</v>
      </c>
      <c r="F30" s="1033">
        <f t="shared" si="1"/>
        <v>9.08</v>
      </c>
      <c r="G30" s="1034" t="s">
        <v>395</v>
      </c>
      <c r="H30" s="1035">
        <v>66</v>
      </c>
      <c r="I30" s="203">
        <f t="shared" si="6"/>
        <v>644.67999999999961</v>
      </c>
      <c r="J30" s="73">
        <f t="shared" si="7"/>
        <v>142</v>
      </c>
      <c r="K30" s="60">
        <f t="shared" si="4"/>
        <v>599.28</v>
      </c>
      <c r="N30" s="133">
        <v>4.54</v>
      </c>
      <c r="O30" s="15"/>
      <c r="P30" s="69">
        <f t="shared" si="2"/>
        <v>0</v>
      </c>
      <c r="Q30" s="208"/>
      <c r="R30" s="69">
        <f t="shared" si="3"/>
        <v>0</v>
      </c>
      <c r="S30" s="70"/>
      <c r="T30" s="71"/>
      <c r="U30" s="203">
        <f t="shared" si="8"/>
        <v>1707.0399999999997</v>
      </c>
      <c r="V30" s="73">
        <f t="shared" si="9"/>
        <v>376</v>
      </c>
      <c r="W30" s="60">
        <f t="shared" si="5"/>
        <v>0</v>
      </c>
    </row>
    <row r="31" spans="2:23" x14ac:dyDescent="0.25">
      <c r="B31" s="133">
        <v>4.54</v>
      </c>
      <c r="C31" s="15">
        <v>30</v>
      </c>
      <c r="D31" s="1033">
        <f t="shared" si="0"/>
        <v>136.19999999999999</v>
      </c>
      <c r="E31" s="1040">
        <v>44687</v>
      </c>
      <c r="F31" s="1033">
        <f t="shared" si="1"/>
        <v>136.19999999999999</v>
      </c>
      <c r="G31" s="1034" t="s">
        <v>401</v>
      </c>
      <c r="H31" s="1035">
        <v>66</v>
      </c>
      <c r="I31" s="203">
        <f t="shared" si="6"/>
        <v>508.47999999999962</v>
      </c>
      <c r="J31" s="73">
        <f t="shared" si="7"/>
        <v>112</v>
      </c>
      <c r="K31" s="60">
        <f t="shared" si="4"/>
        <v>8989.1999999999989</v>
      </c>
      <c r="N31" s="133">
        <v>4.54</v>
      </c>
      <c r="O31" s="15"/>
      <c r="P31" s="69">
        <f t="shared" si="2"/>
        <v>0</v>
      </c>
      <c r="Q31" s="208"/>
      <c r="R31" s="69">
        <f t="shared" si="3"/>
        <v>0</v>
      </c>
      <c r="S31" s="70"/>
      <c r="T31" s="71"/>
      <c r="U31" s="203">
        <f t="shared" si="8"/>
        <v>1707.0399999999997</v>
      </c>
      <c r="V31" s="73">
        <f t="shared" si="9"/>
        <v>376</v>
      </c>
      <c r="W31" s="60">
        <f t="shared" si="5"/>
        <v>0</v>
      </c>
    </row>
    <row r="32" spans="2:23" x14ac:dyDescent="0.25">
      <c r="B32" s="133">
        <v>4.54</v>
      </c>
      <c r="C32" s="15">
        <v>3</v>
      </c>
      <c r="D32" s="1033">
        <f t="shared" si="0"/>
        <v>13.620000000000001</v>
      </c>
      <c r="E32" s="1040">
        <v>44688</v>
      </c>
      <c r="F32" s="1033">
        <f>D32</f>
        <v>13.620000000000001</v>
      </c>
      <c r="G32" s="1034" t="s">
        <v>418</v>
      </c>
      <c r="H32" s="1035">
        <v>66</v>
      </c>
      <c r="I32" s="203">
        <f t="shared" si="6"/>
        <v>494.85999999999962</v>
      </c>
      <c r="J32" s="73">
        <f t="shared" si="7"/>
        <v>109</v>
      </c>
      <c r="K32" s="60">
        <f t="shared" si="4"/>
        <v>898.92000000000007</v>
      </c>
      <c r="N32" s="133">
        <v>4.54</v>
      </c>
      <c r="O32" s="15"/>
      <c r="P32" s="69">
        <f t="shared" si="2"/>
        <v>0</v>
      </c>
      <c r="Q32" s="208"/>
      <c r="R32" s="69">
        <f>P32</f>
        <v>0</v>
      </c>
      <c r="S32" s="70"/>
      <c r="T32" s="71"/>
      <c r="U32" s="203">
        <f t="shared" si="8"/>
        <v>1707.0399999999997</v>
      </c>
      <c r="V32" s="73">
        <f t="shared" si="9"/>
        <v>376</v>
      </c>
      <c r="W32" s="60">
        <f t="shared" si="5"/>
        <v>0</v>
      </c>
    </row>
    <row r="33" spans="1:23" x14ac:dyDescent="0.25">
      <c r="B33" s="133">
        <v>4.54</v>
      </c>
      <c r="C33" s="15">
        <v>30</v>
      </c>
      <c r="D33" s="1033">
        <f t="shared" si="0"/>
        <v>136.19999999999999</v>
      </c>
      <c r="E33" s="1041">
        <v>44688</v>
      </c>
      <c r="F33" s="1033">
        <f>D33</f>
        <v>136.19999999999999</v>
      </c>
      <c r="G33" s="1034" t="s">
        <v>421</v>
      </c>
      <c r="H33" s="1035">
        <v>66</v>
      </c>
      <c r="I33" s="203">
        <f t="shared" si="6"/>
        <v>358.65999999999963</v>
      </c>
      <c r="J33" s="73">
        <f t="shared" si="7"/>
        <v>79</v>
      </c>
      <c r="K33" s="60">
        <f t="shared" si="4"/>
        <v>8989.1999999999989</v>
      </c>
      <c r="N33" s="133">
        <v>4.54</v>
      </c>
      <c r="O33" s="15"/>
      <c r="P33" s="69">
        <f t="shared" si="2"/>
        <v>0</v>
      </c>
      <c r="Q33" s="750"/>
      <c r="R33" s="69">
        <f>P33</f>
        <v>0</v>
      </c>
      <c r="S33" s="70"/>
      <c r="T33" s="71"/>
      <c r="U33" s="203">
        <f t="shared" si="8"/>
        <v>1707.0399999999997</v>
      </c>
      <c r="V33" s="73">
        <f t="shared" si="9"/>
        <v>376</v>
      </c>
      <c r="W33" s="60">
        <f t="shared" si="5"/>
        <v>0</v>
      </c>
    </row>
    <row r="34" spans="1:23" x14ac:dyDescent="0.25">
      <c r="B34" s="133">
        <v>4.54</v>
      </c>
      <c r="C34" s="15">
        <v>20</v>
      </c>
      <c r="D34" s="1033">
        <f t="shared" si="0"/>
        <v>90.8</v>
      </c>
      <c r="E34" s="1042">
        <v>44690</v>
      </c>
      <c r="F34" s="1033">
        <f t="shared" ref="F34:F108" si="10">D34</f>
        <v>90.8</v>
      </c>
      <c r="G34" s="1034" t="s">
        <v>423</v>
      </c>
      <c r="H34" s="1035">
        <v>66</v>
      </c>
      <c r="I34" s="203">
        <f t="shared" si="6"/>
        <v>267.85999999999962</v>
      </c>
      <c r="J34" s="73">
        <f t="shared" si="7"/>
        <v>59</v>
      </c>
      <c r="K34" s="60">
        <f t="shared" si="4"/>
        <v>5992.8</v>
      </c>
      <c r="N34" s="133">
        <v>4.54</v>
      </c>
      <c r="O34" s="15"/>
      <c r="P34" s="69">
        <f t="shared" si="2"/>
        <v>0</v>
      </c>
      <c r="Q34" s="134"/>
      <c r="R34" s="69">
        <f t="shared" ref="R34:R108" si="11">P34</f>
        <v>0</v>
      </c>
      <c r="S34" s="70"/>
      <c r="T34" s="71"/>
      <c r="U34" s="203">
        <f t="shared" si="8"/>
        <v>1707.0399999999997</v>
      </c>
      <c r="V34" s="73">
        <f t="shared" si="9"/>
        <v>376</v>
      </c>
      <c r="W34" s="60">
        <f t="shared" si="5"/>
        <v>0</v>
      </c>
    </row>
    <row r="35" spans="1:23" x14ac:dyDescent="0.25">
      <c r="B35" s="133">
        <v>4.54</v>
      </c>
      <c r="C35" s="15">
        <v>8</v>
      </c>
      <c r="D35" s="1033">
        <f t="shared" si="0"/>
        <v>36.32</v>
      </c>
      <c r="E35" s="1042">
        <v>44691</v>
      </c>
      <c r="F35" s="1033">
        <f t="shared" si="10"/>
        <v>36.32</v>
      </c>
      <c r="G35" s="1034" t="s">
        <v>434</v>
      </c>
      <c r="H35" s="1035">
        <v>66</v>
      </c>
      <c r="I35" s="203">
        <f t="shared" si="6"/>
        <v>231.53999999999962</v>
      </c>
      <c r="J35" s="73">
        <f t="shared" si="7"/>
        <v>51</v>
      </c>
      <c r="K35" s="60">
        <f t="shared" si="4"/>
        <v>2397.12</v>
      </c>
      <c r="N35" s="133">
        <v>4.54</v>
      </c>
      <c r="O35" s="15"/>
      <c r="P35" s="69">
        <f t="shared" si="2"/>
        <v>0</v>
      </c>
      <c r="Q35" s="134"/>
      <c r="R35" s="69">
        <f t="shared" si="11"/>
        <v>0</v>
      </c>
      <c r="S35" s="70"/>
      <c r="T35" s="71"/>
      <c r="U35" s="203">
        <f t="shared" si="8"/>
        <v>1707.0399999999997</v>
      </c>
      <c r="V35" s="73">
        <f t="shared" si="9"/>
        <v>376</v>
      </c>
      <c r="W35" s="60">
        <f t="shared" si="5"/>
        <v>0</v>
      </c>
    </row>
    <row r="36" spans="1:23" x14ac:dyDescent="0.25">
      <c r="A36" s="75"/>
      <c r="B36" s="133">
        <v>4.54</v>
      </c>
      <c r="C36" s="15">
        <v>6</v>
      </c>
      <c r="D36" s="1033">
        <f t="shared" si="0"/>
        <v>27.240000000000002</v>
      </c>
      <c r="E36" s="1042">
        <v>44692</v>
      </c>
      <c r="F36" s="1033">
        <f t="shared" si="10"/>
        <v>27.240000000000002</v>
      </c>
      <c r="G36" s="1034" t="s">
        <v>448</v>
      </c>
      <c r="H36" s="1035">
        <v>66</v>
      </c>
      <c r="I36" s="203">
        <f t="shared" si="6"/>
        <v>204.29999999999961</v>
      </c>
      <c r="J36" s="73">
        <f t="shared" si="7"/>
        <v>45</v>
      </c>
      <c r="K36" s="60">
        <f t="shared" si="4"/>
        <v>1797.8400000000001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1"/>
        <v>0</v>
      </c>
      <c r="S36" s="70"/>
      <c r="T36" s="71"/>
      <c r="U36" s="203">
        <f t="shared" si="8"/>
        <v>1707.0399999999997</v>
      </c>
      <c r="V36" s="73">
        <f t="shared" si="9"/>
        <v>376</v>
      </c>
      <c r="W36" s="60">
        <f t="shared" si="5"/>
        <v>0</v>
      </c>
    </row>
    <row r="37" spans="1:23" x14ac:dyDescent="0.25">
      <c r="B37" s="133">
        <v>4.54</v>
      </c>
      <c r="C37" s="15">
        <v>30</v>
      </c>
      <c r="D37" s="1033">
        <f t="shared" si="0"/>
        <v>136.19999999999999</v>
      </c>
      <c r="E37" s="1042">
        <v>44692</v>
      </c>
      <c r="F37" s="1033">
        <f t="shared" si="10"/>
        <v>136.19999999999999</v>
      </c>
      <c r="G37" s="1034" t="s">
        <v>461</v>
      </c>
      <c r="H37" s="1035">
        <v>66</v>
      </c>
      <c r="I37" s="203">
        <f t="shared" si="6"/>
        <v>68.099999999999625</v>
      </c>
      <c r="J37" s="73">
        <f t="shared" si="7"/>
        <v>15</v>
      </c>
      <c r="K37" s="60">
        <f t="shared" si="4"/>
        <v>8989.1999999999989</v>
      </c>
      <c r="N37" s="133">
        <v>4.54</v>
      </c>
      <c r="O37" s="15"/>
      <c r="P37" s="69">
        <f t="shared" si="2"/>
        <v>0</v>
      </c>
      <c r="Q37" s="134"/>
      <c r="R37" s="69">
        <f t="shared" si="11"/>
        <v>0</v>
      </c>
      <c r="S37" s="70"/>
      <c r="T37" s="71"/>
      <c r="U37" s="203">
        <f t="shared" si="8"/>
        <v>1707.0399999999997</v>
      </c>
      <c r="V37" s="73">
        <f t="shared" si="9"/>
        <v>376</v>
      </c>
      <c r="W37" s="60">
        <f t="shared" si="5"/>
        <v>0</v>
      </c>
    </row>
    <row r="38" spans="1:23" x14ac:dyDescent="0.25">
      <c r="B38" s="133">
        <v>4.54</v>
      </c>
      <c r="C38" s="15">
        <v>10</v>
      </c>
      <c r="D38" s="1033">
        <f t="shared" si="0"/>
        <v>45.4</v>
      </c>
      <c r="E38" s="1040">
        <v>44693</v>
      </c>
      <c r="F38" s="1033">
        <f t="shared" si="10"/>
        <v>45.4</v>
      </c>
      <c r="G38" s="1034" t="s">
        <v>442</v>
      </c>
      <c r="H38" s="1035">
        <v>66</v>
      </c>
      <c r="I38" s="203">
        <f t="shared" si="6"/>
        <v>22.699999999999626</v>
      </c>
      <c r="J38" s="73">
        <f t="shared" si="7"/>
        <v>5</v>
      </c>
      <c r="K38" s="60">
        <f t="shared" si="4"/>
        <v>2996.4</v>
      </c>
      <c r="N38" s="133">
        <v>4.54</v>
      </c>
      <c r="O38" s="15"/>
      <c r="P38" s="69">
        <f t="shared" si="2"/>
        <v>0</v>
      </c>
      <c r="Q38" s="208"/>
      <c r="R38" s="69">
        <f t="shared" si="11"/>
        <v>0</v>
      </c>
      <c r="S38" s="70"/>
      <c r="T38" s="71"/>
      <c r="U38" s="203">
        <f t="shared" si="8"/>
        <v>1707.0399999999997</v>
      </c>
      <c r="V38" s="73">
        <f t="shared" si="9"/>
        <v>376</v>
      </c>
      <c r="W38" s="60">
        <f t="shared" si="5"/>
        <v>0</v>
      </c>
    </row>
    <row r="39" spans="1:23" x14ac:dyDescent="0.25">
      <c r="B39" s="133">
        <v>4.54</v>
      </c>
      <c r="C39" s="15"/>
      <c r="D39" s="1033">
        <f t="shared" si="0"/>
        <v>0</v>
      </c>
      <c r="E39" s="1040"/>
      <c r="F39" s="1033">
        <f t="shared" si="10"/>
        <v>0</v>
      </c>
      <c r="G39" s="1062"/>
      <c r="H39" s="1063"/>
      <c r="I39" s="1083">
        <f t="shared" si="6"/>
        <v>22.699999999999626</v>
      </c>
      <c r="J39" s="1084">
        <f t="shared" si="7"/>
        <v>5</v>
      </c>
      <c r="K39" s="1064">
        <f t="shared" si="4"/>
        <v>0</v>
      </c>
      <c r="N39" s="133">
        <v>4.54</v>
      </c>
      <c r="O39" s="15"/>
      <c r="P39" s="69">
        <f t="shared" si="2"/>
        <v>0</v>
      </c>
      <c r="Q39" s="208"/>
      <c r="R39" s="69">
        <f t="shared" si="11"/>
        <v>0</v>
      </c>
      <c r="S39" s="70"/>
      <c r="T39" s="71"/>
      <c r="U39" s="203">
        <f t="shared" si="8"/>
        <v>1707.0399999999997</v>
      </c>
      <c r="V39" s="73">
        <f t="shared" si="9"/>
        <v>376</v>
      </c>
      <c r="W39" s="60">
        <f t="shared" si="5"/>
        <v>0</v>
      </c>
    </row>
    <row r="40" spans="1:23" x14ac:dyDescent="0.25">
      <c r="B40" s="133">
        <v>4.54</v>
      </c>
      <c r="C40" s="15"/>
      <c r="D40" s="1033">
        <f t="shared" si="0"/>
        <v>0</v>
      </c>
      <c r="E40" s="1040"/>
      <c r="F40" s="1033">
        <f t="shared" si="10"/>
        <v>0</v>
      </c>
      <c r="G40" s="1062"/>
      <c r="H40" s="1063"/>
      <c r="I40" s="1083">
        <f t="shared" si="6"/>
        <v>22.699999999999626</v>
      </c>
      <c r="J40" s="1084">
        <f t="shared" si="7"/>
        <v>5</v>
      </c>
      <c r="K40" s="1064">
        <f t="shared" si="4"/>
        <v>0</v>
      </c>
      <c r="N40" s="133">
        <v>4.54</v>
      </c>
      <c r="O40" s="15"/>
      <c r="P40" s="69">
        <f t="shared" si="2"/>
        <v>0</v>
      </c>
      <c r="Q40" s="208"/>
      <c r="R40" s="69">
        <f t="shared" si="11"/>
        <v>0</v>
      </c>
      <c r="S40" s="70"/>
      <c r="T40" s="71"/>
      <c r="U40" s="203">
        <f t="shared" si="8"/>
        <v>1707.0399999999997</v>
      </c>
      <c r="V40" s="73">
        <f t="shared" si="9"/>
        <v>376</v>
      </c>
      <c r="W40" s="60">
        <f t="shared" si="5"/>
        <v>0</v>
      </c>
    </row>
    <row r="41" spans="1:23" x14ac:dyDescent="0.25">
      <c r="B41" s="133">
        <v>4.54</v>
      </c>
      <c r="C41" s="15">
        <v>5</v>
      </c>
      <c r="D41" s="1033">
        <f t="shared" si="0"/>
        <v>22.7</v>
      </c>
      <c r="E41" s="1040"/>
      <c r="F41" s="1033">
        <f t="shared" si="10"/>
        <v>22.7</v>
      </c>
      <c r="G41" s="1062"/>
      <c r="H41" s="1063"/>
      <c r="I41" s="1083">
        <f t="shared" si="6"/>
        <v>-3.730349362740526E-13</v>
      </c>
      <c r="J41" s="1084">
        <f t="shared" si="7"/>
        <v>0</v>
      </c>
      <c r="K41" s="1064">
        <f t="shared" si="4"/>
        <v>0</v>
      </c>
      <c r="N41" s="133">
        <v>4.54</v>
      </c>
      <c r="O41" s="15"/>
      <c r="P41" s="69">
        <f t="shared" si="2"/>
        <v>0</v>
      </c>
      <c r="Q41" s="208"/>
      <c r="R41" s="69">
        <f t="shared" si="11"/>
        <v>0</v>
      </c>
      <c r="S41" s="70"/>
      <c r="T41" s="71"/>
      <c r="U41" s="203">
        <f t="shared" si="8"/>
        <v>1707.0399999999997</v>
      </c>
      <c r="V41" s="73">
        <f t="shared" si="9"/>
        <v>376</v>
      </c>
      <c r="W41" s="60">
        <f t="shared" si="5"/>
        <v>0</v>
      </c>
    </row>
    <row r="42" spans="1:23" x14ac:dyDescent="0.25">
      <c r="B42" s="133">
        <v>4.54</v>
      </c>
      <c r="C42" s="15"/>
      <c r="D42" s="1033">
        <f t="shared" si="0"/>
        <v>0</v>
      </c>
      <c r="E42" s="1040"/>
      <c r="F42" s="1033">
        <f t="shared" si="10"/>
        <v>0</v>
      </c>
      <c r="G42" s="1062"/>
      <c r="H42" s="1063"/>
      <c r="I42" s="1083">
        <f t="shared" si="6"/>
        <v>-3.730349362740526E-13</v>
      </c>
      <c r="J42" s="1084">
        <f t="shared" si="7"/>
        <v>0</v>
      </c>
      <c r="K42" s="1064">
        <f t="shared" si="4"/>
        <v>0</v>
      </c>
      <c r="N42" s="133">
        <v>4.54</v>
      </c>
      <c r="O42" s="15"/>
      <c r="P42" s="69">
        <f t="shared" si="2"/>
        <v>0</v>
      </c>
      <c r="Q42" s="208"/>
      <c r="R42" s="69">
        <f t="shared" si="11"/>
        <v>0</v>
      </c>
      <c r="S42" s="70"/>
      <c r="T42" s="71"/>
      <c r="U42" s="203">
        <f t="shared" si="8"/>
        <v>1707.0399999999997</v>
      </c>
      <c r="V42" s="73">
        <f t="shared" si="9"/>
        <v>376</v>
      </c>
      <c r="W42" s="60">
        <f t="shared" si="5"/>
        <v>0</v>
      </c>
    </row>
    <row r="43" spans="1:23" x14ac:dyDescent="0.25">
      <c r="B43" s="133">
        <v>4.54</v>
      </c>
      <c r="C43" s="15"/>
      <c r="D43" s="69">
        <f t="shared" si="0"/>
        <v>0</v>
      </c>
      <c r="E43" s="208"/>
      <c r="F43" s="69">
        <f t="shared" si="10"/>
        <v>0</v>
      </c>
      <c r="G43" s="70"/>
      <c r="H43" s="71"/>
      <c r="I43" s="203">
        <f t="shared" si="6"/>
        <v>-3.730349362740526E-13</v>
      </c>
      <c r="J43" s="73">
        <f t="shared" si="7"/>
        <v>0</v>
      </c>
      <c r="K43" s="60">
        <f t="shared" si="4"/>
        <v>0</v>
      </c>
      <c r="N43" s="133">
        <v>4.54</v>
      </c>
      <c r="O43" s="15"/>
      <c r="P43" s="69">
        <f t="shared" si="2"/>
        <v>0</v>
      </c>
      <c r="Q43" s="208"/>
      <c r="R43" s="69">
        <f t="shared" si="11"/>
        <v>0</v>
      </c>
      <c r="S43" s="70"/>
      <c r="T43" s="71"/>
      <c r="U43" s="203">
        <f t="shared" si="8"/>
        <v>1707.0399999999997</v>
      </c>
      <c r="V43" s="73">
        <f t="shared" si="9"/>
        <v>376</v>
      </c>
      <c r="W43" s="60">
        <f t="shared" si="5"/>
        <v>0</v>
      </c>
    </row>
    <row r="44" spans="1:23" x14ac:dyDescent="0.25">
      <c r="B44" s="133">
        <v>4.54</v>
      </c>
      <c r="C44" s="15"/>
      <c r="D44" s="69">
        <f t="shared" si="0"/>
        <v>0</v>
      </c>
      <c r="E44" s="208"/>
      <c r="F44" s="69">
        <f t="shared" si="10"/>
        <v>0</v>
      </c>
      <c r="G44" s="70"/>
      <c r="H44" s="71"/>
      <c r="I44" s="203">
        <f t="shared" si="6"/>
        <v>-3.730349362740526E-13</v>
      </c>
      <c r="J44" s="73">
        <f t="shared" si="7"/>
        <v>0</v>
      </c>
      <c r="K44" s="60">
        <f t="shared" si="4"/>
        <v>0</v>
      </c>
      <c r="N44" s="133">
        <v>4.54</v>
      </c>
      <c r="O44" s="15"/>
      <c r="P44" s="69">
        <f t="shared" si="2"/>
        <v>0</v>
      </c>
      <c r="Q44" s="208"/>
      <c r="R44" s="69">
        <f t="shared" si="11"/>
        <v>0</v>
      </c>
      <c r="S44" s="70"/>
      <c r="T44" s="71"/>
      <c r="U44" s="203">
        <f t="shared" si="8"/>
        <v>1707.0399999999997</v>
      </c>
      <c r="V44" s="73">
        <f t="shared" si="9"/>
        <v>376</v>
      </c>
      <c r="W44" s="60">
        <f t="shared" si="5"/>
        <v>0</v>
      </c>
    </row>
    <row r="45" spans="1:23" x14ac:dyDescent="0.25">
      <c r="B45" s="133">
        <v>4.54</v>
      </c>
      <c r="C45" s="15"/>
      <c r="D45" s="69">
        <f t="shared" si="0"/>
        <v>0</v>
      </c>
      <c r="E45" s="208"/>
      <c r="F45" s="69">
        <f t="shared" si="10"/>
        <v>0</v>
      </c>
      <c r="G45" s="70"/>
      <c r="H45" s="71"/>
      <c r="I45" s="203">
        <f t="shared" si="6"/>
        <v>-3.730349362740526E-13</v>
      </c>
      <c r="J45" s="73">
        <f t="shared" si="7"/>
        <v>0</v>
      </c>
      <c r="K45" s="60">
        <f t="shared" si="4"/>
        <v>0</v>
      </c>
      <c r="N45" s="133">
        <v>4.54</v>
      </c>
      <c r="O45" s="15"/>
      <c r="P45" s="69">
        <f t="shared" si="2"/>
        <v>0</v>
      </c>
      <c r="Q45" s="208"/>
      <c r="R45" s="69">
        <f t="shared" si="11"/>
        <v>0</v>
      </c>
      <c r="S45" s="70"/>
      <c r="T45" s="71"/>
      <c r="U45" s="203">
        <f t="shared" si="8"/>
        <v>1707.0399999999997</v>
      </c>
      <c r="V45" s="73">
        <f t="shared" si="9"/>
        <v>376</v>
      </c>
      <c r="W45" s="60">
        <f t="shared" si="5"/>
        <v>0</v>
      </c>
    </row>
    <row r="46" spans="1:23" x14ac:dyDescent="0.25">
      <c r="B46" s="133">
        <v>4.54</v>
      </c>
      <c r="C46" s="15"/>
      <c r="D46" s="69">
        <f t="shared" si="0"/>
        <v>0</v>
      </c>
      <c r="E46" s="208"/>
      <c r="F46" s="69">
        <f t="shared" si="10"/>
        <v>0</v>
      </c>
      <c r="G46" s="70"/>
      <c r="H46" s="71"/>
      <c r="I46" s="203">
        <f t="shared" si="6"/>
        <v>-3.730349362740526E-13</v>
      </c>
      <c r="J46" s="73">
        <f t="shared" si="7"/>
        <v>0</v>
      </c>
      <c r="K46" s="60">
        <f t="shared" si="4"/>
        <v>0</v>
      </c>
      <c r="N46" s="133">
        <v>4.54</v>
      </c>
      <c r="O46" s="15"/>
      <c r="P46" s="69">
        <f t="shared" si="2"/>
        <v>0</v>
      </c>
      <c r="Q46" s="208"/>
      <c r="R46" s="69">
        <f t="shared" si="11"/>
        <v>0</v>
      </c>
      <c r="S46" s="70"/>
      <c r="T46" s="71"/>
      <c r="U46" s="203">
        <f t="shared" si="8"/>
        <v>1707.0399999999997</v>
      </c>
      <c r="V46" s="73">
        <f t="shared" si="9"/>
        <v>376</v>
      </c>
      <c r="W46" s="60">
        <f t="shared" si="5"/>
        <v>0</v>
      </c>
    </row>
    <row r="47" spans="1:23" x14ac:dyDescent="0.25">
      <c r="B47" s="133">
        <v>4.54</v>
      </c>
      <c r="C47" s="15"/>
      <c r="D47" s="69">
        <f t="shared" si="0"/>
        <v>0</v>
      </c>
      <c r="E47" s="208"/>
      <c r="F47" s="69">
        <f t="shared" si="10"/>
        <v>0</v>
      </c>
      <c r="G47" s="70"/>
      <c r="H47" s="71"/>
      <c r="I47" s="203">
        <f t="shared" si="6"/>
        <v>-3.730349362740526E-13</v>
      </c>
      <c r="J47" s="73">
        <f t="shared" si="7"/>
        <v>0</v>
      </c>
      <c r="K47" s="60">
        <f t="shared" si="4"/>
        <v>0</v>
      </c>
      <c r="N47" s="133">
        <v>4.54</v>
      </c>
      <c r="O47" s="15"/>
      <c r="P47" s="69">
        <f t="shared" si="2"/>
        <v>0</v>
      </c>
      <c r="Q47" s="208"/>
      <c r="R47" s="69">
        <f t="shared" si="11"/>
        <v>0</v>
      </c>
      <c r="S47" s="70"/>
      <c r="T47" s="71"/>
      <c r="U47" s="203">
        <f t="shared" si="8"/>
        <v>1707.0399999999997</v>
      </c>
      <c r="V47" s="73">
        <f t="shared" si="9"/>
        <v>376</v>
      </c>
      <c r="W47" s="60">
        <f t="shared" si="5"/>
        <v>0</v>
      </c>
    </row>
    <row r="48" spans="1:23" x14ac:dyDescent="0.25">
      <c r="B48" s="133">
        <v>4.54</v>
      </c>
      <c r="C48" s="15"/>
      <c r="D48" s="69">
        <f t="shared" si="0"/>
        <v>0</v>
      </c>
      <c r="E48" s="208"/>
      <c r="F48" s="69">
        <f t="shared" si="10"/>
        <v>0</v>
      </c>
      <c r="G48" s="70"/>
      <c r="H48" s="71"/>
      <c r="I48" s="203">
        <f t="shared" si="6"/>
        <v>-3.730349362740526E-13</v>
      </c>
      <c r="J48" s="73">
        <f t="shared" si="7"/>
        <v>0</v>
      </c>
      <c r="K48" s="60">
        <f t="shared" si="4"/>
        <v>0</v>
      </c>
      <c r="N48" s="133">
        <v>4.54</v>
      </c>
      <c r="O48" s="15"/>
      <c r="P48" s="69">
        <f t="shared" si="2"/>
        <v>0</v>
      </c>
      <c r="Q48" s="208"/>
      <c r="R48" s="69">
        <f t="shared" si="11"/>
        <v>0</v>
      </c>
      <c r="S48" s="70"/>
      <c r="T48" s="71"/>
      <c r="U48" s="203">
        <f t="shared" si="8"/>
        <v>1707.0399999999997</v>
      </c>
      <c r="V48" s="73">
        <f t="shared" si="9"/>
        <v>376</v>
      </c>
      <c r="W48" s="60">
        <f t="shared" si="5"/>
        <v>0</v>
      </c>
    </row>
    <row r="49" spans="2:23" x14ac:dyDescent="0.25">
      <c r="B49" s="133">
        <v>4.54</v>
      </c>
      <c r="C49" s="15"/>
      <c r="D49" s="69">
        <f t="shared" si="0"/>
        <v>0</v>
      </c>
      <c r="E49" s="208"/>
      <c r="F49" s="69">
        <f t="shared" si="10"/>
        <v>0</v>
      </c>
      <c r="G49" s="70"/>
      <c r="H49" s="71"/>
      <c r="I49" s="203">
        <f t="shared" si="6"/>
        <v>-3.730349362740526E-13</v>
      </c>
      <c r="J49" s="73">
        <f t="shared" si="7"/>
        <v>0</v>
      </c>
      <c r="K49" s="60">
        <f t="shared" si="4"/>
        <v>0</v>
      </c>
      <c r="N49" s="133">
        <v>4.54</v>
      </c>
      <c r="O49" s="15"/>
      <c r="P49" s="69">
        <f t="shared" si="2"/>
        <v>0</v>
      </c>
      <c r="Q49" s="208"/>
      <c r="R49" s="69">
        <f t="shared" si="11"/>
        <v>0</v>
      </c>
      <c r="S49" s="70"/>
      <c r="T49" s="71"/>
      <c r="U49" s="203">
        <f t="shared" si="8"/>
        <v>1707.0399999999997</v>
      </c>
      <c r="V49" s="73">
        <f t="shared" si="9"/>
        <v>376</v>
      </c>
      <c r="W49" s="60">
        <f t="shared" si="5"/>
        <v>0</v>
      </c>
    </row>
    <row r="50" spans="2:23" x14ac:dyDescent="0.25">
      <c r="B50" s="133">
        <v>4.54</v>
      </c>
      <c r="C50" s="15"/>
      <c r="D50" s="69">
        <f t="shared" si="0"/>
        <v>0</v>
      </c>
      <c r="E50" s="208"/>
      <c r="F50" s="69">
        <f t="shared" si="10"/>
        <v>0</v>
      </c>
      <c r="G50" s="70"/>
      <c r="H50" s="71"/>
      <c r="I50" s="203">
        <f t="shared" si="6"/>
        <v>-3.730349362740526E-13</v>
      </c>
      <c r="J50" s="73">
        <f t="shared" si="7"/>
        <v>0</v>
      </c>
      <c r="K50" s="60">
        <f t="shared" si="4"/>
        <v>0</v>
      </c>
      <c r="N50" s="133">
        <v>4.54</v>
      </c>
      <c r="O50" s="15"/>
      <c r="P50" s="69">
        <f t="shared" si="2"/>
        <v>0</v>
      </c>
      <c r="Q50" s="208"/>
      <c r="R50" s="69">
        <f t="shared" si="11"/>
        <v>0</v>
      </c>
      <c r="S50" s="70"/>
      <c r="T50" s="71"/>
      <c r="U50" s="203">
        <f t="shared" si="8"/>
        <v>1707.0399999999997</v>
      </c>
      <c r="V50" s="73">
        <f t="shared" si="9"/>
        <v>376</v>
      </c>
      <c r="W50" s="60">
        <f t="shared" si="5"/>
        <v>0</v>
      </c>
    </row>
    <row r="51" spans="2:23" x14ac:dyDescent="0.25">
      <c r="B51" s="133">
        <v>4.54</v>
      </c>
      <c r="C51" s="15"/>
      <c r="D51" s="69">
        <f t="shared" si="0"/>
        <v>0</v>
      </c>
      <c r="E51" s="208"/>
      <c r="F51" s="69">
        <f t="shared" si="10"/>
        <v>0</v>
      </c>
      <c r="G51" s="70"/>
      <c r="H51" s="71"/>
      <c r="I51" s="203">
        <f t="shared" si="6"/>
        <v>-3.730349362740526E-13</v>
      </c>
      <c r="J51" s="73">
        <f t="shared" si="7"/>
        <v>0</v>
      </c>
      <c r="K51" s="60">
        <f t="shared" si="4"/>
        <v>0</v>
      </c>
      <c r="N51" s="133">
        <v>4.54</v>
      </c>
      <c r="O51" s="15"/>
      <c r="P51" s="69">
        <f t="shared" si="2"/>
        <v>0</v>
      </c>
      <c r="Q51" s="208"/>
      <c r="R51" s="69">
        <f t="shared" si="11"/>
        <v>0</v>
      </c>
      <c r="S51" s="70"/>
      <c r="T51" s="71"/>
      <c r="U51" s="203">
        <f t="shared" si="8"/>
        <v>1707.0399999999997</v>
      </c>
      <c r="V51" s="73">
        <f t="shared" si="9"/>
        <v>376</v>
      </c>
      <c r="W51" s="60">
        <f t="shared" si="5"/>
        <v>0</v>
      </c>
    </row>
    <row r="52" spans="2:23" x14ac:dyDescent="0.25">
      <c r="B52" s="133">
        <v>4.54</v>
      </c>
      <c r="C52" s="15"/>
      <c r="D52" s="69">
        <f t="shared" si="0"/>
        <v>0</v>
      </c>
      <c r="E52" s="208"/>
      <c r="F52" s="69">
        <f t="shared" si="10"/>
        <v>0</v>
      </c>
      <c r="G52" s="70"/>
      <c r="H52" s="71"/>
      <c r="I52" s="203">
        <f t="shared" si="6"/>
        <v>-3.730349362740526E-13</v>
      </c>
      <c r="J52" s="73">
        <f t="shared" si="7"/>
        <v>0</v>
      </c>
      <c r="K52" s="60">
        <f t="shared" si="4"/>
        <v>0</v>
      </c>
      <c r="N52" s="133">
        <v>4.54</v>
      </c>
      <c r="O52" s="15"/>
      <c r="P52" s="69">
        <f t="shared" si="2"/>
        <v>0</v>
      </c>
      <c r="Q52" s="208"/>
      <c r="R52" s="69">
        <f t="shared" si="11"/>
        <v>0</v>
      </c>
      <c r="S52" s="70"/>
      <c r="T52" s="71"/>
      <c r="U52" s="203">
        <f t="shared" si="8"/>
        <v>1707.0399999999997</v>
      </c>
      <c r="V52" s="73">
        <f t="shared" si="9"/>
        <v>376</v>
      </c>
      <c r="W52" s="60">
        <f t="shared" si="5"/>
        <v>0</v>
      </c>
    </row>
    <row r="53" spans="2:23" x14ac:dyDescent="0.25">
      <c r="B53" s="133">
        <v>4.54</v>
      </c>
      <c r="C53" s="15"/>
      <c r="D53" s="69">
        <f t="shared" si="0"/>
        <v>0</v>
      </c>
      <c r="E53" s="208"/>
      <c r="F53" s="69">
        <f t="shared" si="10"/>
        <v>0</v>
      </c>
      <c r="G53" s="70"/>
      <c r="H53" s="71"/>
      <c r="I53" s="203">
        <f t="shared" si="6"/>
        <v>-3.730349362740526E-13</v>
      </c>
      <c r="J53" s="73">
        <f t="shared" si="7"/>
        <v>0</v>
      </c>
      <c r="K53" s="60">
        <f t="shared" si="4"/>
        <v>0</v>
      </c>
      <c r="N53" s="133">
        <v>4.54</v>
      </c>
      <c r="O53" s="15"/>
      <c r="P53" s="69">
        <f t="shared" si="2"/>
        <v>0</v>
      </c>
      <c r="Q53" s="208"/>
      <c r="R53" s="69">
        <f t="shared" si="11"/>
        <v>0</v>
      </c>
      <c r="S53" s="70"/>
      <c r="T53" s="71"/>
      <c r="U53" s="203">
        <f t="shared" si="8"/>
        <v>1707.0399999999997</v>
      </c>
      <c r="V53" s="73">
        <f t="shared" si="9"/>
        <v>376</v>
      </c>
      <c r="W53" s="60">
        <f t="shared" si="5"/>
        <v>0</v>
      </c>
    </row>
    <row r="54" spans="2:23" x14ac:dyDescent="0.25">
      <c r="B54" s="133">
        <v>4.54</v>
      </c>
      <c r="C54" s="15"/>
      <c r="D54" s="69">
        <f t="shared" si="0"/>
        <v>0</v>
      </c>
      <c r="E54" s="208"/>
      <c r="F54" s="69">
        <f t="shared" si="10"/>
        <v>0</v>
      </c>
      <c r="G54" s="70"/>
      <c r="H54" s="71"/>
      <c r="I54" s="203">
        <f t="shared" si="6"/>
        <v>-3.730349362740526E-13</v>
      </c>
      <c r="J54" s="73">
        <f t="shared" si="7"/>
        <v>0</v>
      </c>
      <c r="K54" s="60">
        <f t="shared" si="4"/>
        <v>0</v>
      </c>
      <c r="N54" s="133">
        <v>4.54</v>
      </c>
      <c r="O54" s="15"/>
      <c r="P54" s="69">
        <f t="shared" si="2"/>
        <v>0</v>
      </c>
      <c r="Q54" s="208"/>
      <c r="R54" s="69">
        <f t="shared" si="11"/>
        <v>0</v>
      </c>
      <c r="S54" s="70"/>
      <c r="T54" s="71"/>
      <c r="U54" s="203">
        <f t="shared" si="8"/>
        <v>1707.0399999999997</v>
      </c>
      <c r="V54" s="73">
        <f t="shared" si="9"/>
        <v>376</v>
      </c>
      <c r="W54" s="60">
        <f t="shared" si="5"/>
        <v>0</v>
      </c>
    </row>
    <row r="55" spans="2:23" x14ac:dyDescent="0.25">
      <c r="B55" s="133">
        <v>4.54</v>
      </c>
      <c r="C55" s="15"/>
      <c r="D55" s="69">
        <f t="shared" si="0"/>
        <v>0</v>
      </c>
      <c r="E55" s="208"/>
      <c r="F55" s="69">
        <f t="shared" si="10"/>
        <v>0</v>
      </c>
      <c r="G55" s="70"/>
      <c r="H55" s="71"/>
      <c r="I55" s="203">
        <f t="shared" si="6"/>
        <v>-3.730349362740526E-13</v>
      </c>
      <c r="J55" s="73">
        <f t="shared" si="7"/>
        <v>0</v>
      </c>
      <c r="K55" s="60">
        <f t="shared" si="4"/>
        <v>0</v>
      </c>
      <c r="N55" s="133">
        <v>4.54</v>
      </c>
      <c r="O55" s="15"/>
      <c r="P55" s="69">
        <f t="shared" si="2"/>
        <v>0</v>
      </c>
      <c r="Q55" s="208"/>
      <c r="R55" s="69">
        <f t="shared" si="11"/>
        <v>0</v>
      </c>
      <c r="S55" s="70"/>
      <c r="T55" s="71"/>
      <c r="U55" s="203">
        <f t="shared" si="8"/>
        <v>1707.0399999999997</v>
      </c>
      <c r="V55" s="73">
        <f t="shared" si="9"/>
        <v>376</v>
      </c>
      <c r="W55" s="60">
        <f t="shared" si="5"/>
        <v>0</v>
      </c>
    </row>
    <row r="56" spans="2:23" x14ac:dyDescent="0.25">
      <c r="B56" s="133">
        <v>4.54</v>
      </c>
      <c r="C56" s="15"/>
      <c r="D56" s="69">
        <f t="shared" si="0"/>
        <v>0</v>
      </c>
      <c r="E56" s="208"/>
      <c r="F56" s="69">
        <f t="shared" si="10"/>
        <v>0</v>
      </c>
      <c r="G56" s="70"/>
      <c r="H56" s="71"/>
      <c r="I56" s="203">
        <f t="shared" si="6"/>
        <v>-3.730349362740526E-13</v>
      </c>
      <c r="J56" s="73">
        <f t="shared" si="7"/>
        <v>0</v>
      </c>
      <c r="K56" s="60">
        <f t="shared" si="4"/>
        <v>0</v>
      </c>
      <c r="N56" s="133">
        <v>4.54</v>
      </c>
      <c r="O56" s="15"/>
      <c r="P56" s="69">
        <f t="shared" si="2"/>
        <v>0</v>
      </c>
      <c r="Q56" s="208"/>
      <c r="R56" s="69">
        <f t="shared" si="11"/>
        <v>0</v>
      </c>
      <c r="S56" s="70"/>
      <c r="T56" s="71"/>
      <c r="U56" s="203">
        <f t="shared" si="8"/>
        <v>1707.0399999999997</v>
      </c>
      <c r="V56" s="73">
        <f t="shared" si="9"/>
        <v>376</v>
      </c>
      <c r="W56" s="60">
        <f t="shared" si="5"/>
        <v>0</v>
      </c>
    </row>
    <row r="57" spans="2:23" x14ac:dyDescent="0.25">
      <c r="B57" s="133">
        <v>4.54</v>
      </c>
      <c r="C57" s="15"/>
      <c r="D57" s="69">
        <f t="shared" si="0"/>
        <v>0</v>
      </c>
      <c r="E57" s="208"/>
      <c r="F57" s="69">
        <f t="shared" si="10"/>
        <v>0</v>
      </c>
      <c r="G57" s="70"/>
      <c r="H57" s="71"/>
      <c r="I57" s="203">
        <f t="shared" si="6"/>
        <v>-3.730349362740526E-13</v>
      </c>
      <c r="J57" s="73">
        <f t="shared" si="7"/>
        <v>0</v>
      </c>
      <c r="K57" s="60">
        <f t="shared" si="4"/>
        <v>0</v>
      </c>
      <c r="N57" s="133">
        <v>4.54</v>
      </c>
      <c r="O57" s="15"/>
      <c r="P57" s="69">
        <f t="shared" si="2"/>
        <v>0</v>
      </c>
      <c r="Q57" s="208"/>
      <c r="R57" s="69">
        <f t="shared" si="11"/>
        <v>0</v>
      </c>
      <c r="S57" s="70"/>
      <c r="T57" s="71"/>
      <c r="U57" s="203">
        <f t="shared" si="8"/>
        <v>1707.0399999999997</v>
      </c>
      <c r="V57" s="73">
        <f t="shared" si="9"/>
        <v>376</v>
      </c>
      <c r="W57" s="60">
        <f t="shared" si="5"/>
        <v>0</v>
      </c>
    </row>
    <row r="58" spans="2:23" x14ac:dyDescent="0.25">
      <c r="B58" s="133">
        <v>4.54</v>
      </c>
      <c r="C58" s="15"/>
      <c r="D58" s="69">
        <f t="shared" si="0"/>
        <v>0</v>
      </c>
      <c r="E58" s="208"/>
      <c r="F58" s="69">
        <f t="shared" si="10"/>
        <v>0</v>
      </c>
      <c r="G58" s="70"/>
      <c r="H58" s="71"/>
      <c r="I58" s="203">
        <f t="shared" si="6"/>
        <v>-3.730349362740526E-13</v>
      </c>
      <c r="J58" s="73">
        <f t="shared" si="7"/>
        <v>0</v>
      </c>
      <c r="K58" s="60">
        <f t="shared" si="4"/>
        <v>0</v>
      </c>
      <c r="N58" s="133">
        <v>4.54</v>
      </c>
      <c r="O58" s="15"/>
      <c r="P58" s="69">
        <f t="shared" si="2"/>
        <v>0</v>
      </c>
      <c r="Q58" s="208"/>
      <c r="R58" s="69">
        <f t="shared" si="11"/>
        <v>0</v>
      </c>
      <c r="S58" s="70"/>
      <c r="T58" s="71"/>
      <c r="U58" s="203">
        <f t="shared" si="8"/>
        <v>1707.0399999999997</v>
      </c>
      <c r="V58" s="73">
        <f t="shared" si="9"/>
        <v>376</v>
      </c>
      <c r="W58" s="60">
        <f t="shared" si="5"/>
        <v>0</v>
      </c>
    </row>
    <row r="59" spans="2:23" x14ac:dyDescent="0.25">
      <c r="B59" s="133">
        <v>4.54</v>
      </c>
      <c r="C59" s="15"/>
      <c r="D59" s="69">
        <f t="shared" si="0"/>
        <v>0</v>
      </c>
      <c r="E59" s="208"/>
      <c r="F59" s="69">
        <f t="shared" si="10"/>
        <v>0</v>
      </c>
      <c r="G59" s="70"/>
      <c r="H59" s="71"/>
      <c r="I59" s="203">
        <f t="shared" si="6"/>
        <v>-3.730349362740526E-13</v>
      </c>
      <c r="J59" s="73">
        <f t="shared" si="7"/>
        <v>0</v>
      </c>
      <c r="K59" s="60">
        <f t="shared" si="4"/>
        <v>0</v>
      </c>
      <c r="N59" s="133">
        <v>4.54</v>
      </c>
      <c r="O59" s="15"/>
      <c r="P59" s="69">
        <f t="shared" si="2"/>
        <v>0</v>
      </c>
      <c r="Q59" s="208"/>
      <c r="R59" s="69">
        <f t="shared" si="11"/>
        <v>0</v>
      </c>
      <c r="S59" s="70"/>
      <c r="T59" s="71"/>
      <c r="U59" s="203">
        <f t="shared" si="8"/>
        <v>1707.0399999999997</v>
      </c>
      <c r="V59" s="73">
        <f t="shared" si="9"/>
        <v>376</v>
      </c>
      <c r="W59" s="60">
        <f t="shared" si="5"/>
        <v>0</v>
      </c>
    </row>
    <row r="60" spans="2:23" x14ac:dyDescent="0.25">
      <c r="B60" s="133">
        <v>4.54</v>
      </c>
      <c r="C60" s="15"/>
      <c r="D60" s="69">
        <f t="shared" si="0"/>
        <v>0</v>
      </c>
      <c r="E60" s="208"/>
      <c r="F60" s="69">
        <f t="shared" si="10"/>
        <v>0</v>
      </c>
      <c r="G60" s="70"/>
      <c r="H60" s="71"/>
      <c r="I60" s="203">
        <f t="shared" si="6"/>
        <v>-3.730349362740526E-13</v>
      </c>
      <c r="J60" s="73">
        <f t="shared" si="7"/>
        <v>0</v>
      </c>
      <c r="K60" s="60">
        <f t="shared" si="4"/>
        <v>0</v>
      </c>
      <c r="N60" s="133">
        <v>4.54</v>
      </c>
      <c r="O60" s="15"/>
      <c r="P60" s="69">
        <f t="shared" si="2"/>
        <v>0</v>
      </c>
      <c r="Q60" s="208"/>
      <c r="R60" s="69">
        <f t="shared" si="11"/>
        <v>0</v>
      </c>
      <c r="S60" s="70"/>
      <c r="T60" s="71"/>
      <c r="U60" s="203">
        <f t="shared" si="8"/>
        <v>1707.0399999999997</v>
      </c>
      <c r="V60" s="73">
        <f t="shared" si="9"/>
        <v>376</v>
      </c>
      <c r="W60" s="60">
        <f t="shared" si="5"/>
        <v>0</v>
      </c>
    </row>
    <row r="61" spans="2:23" x14ac:dyDescent="0.25">
      <c r="B61" s="133">
        <v>4.54</v>
      </c>
      <c r="C61" s="15"/>
      <c r="D61" s="69">
        <f t="shared" si="0"/>
        <v>0</v>
      </c>
      <c r="E61" s="208"/>
      <c r="F61" s="69">
        <f t="shared" si="10"/>
        <v>0</v>
      </c>
      <c r="G61" s="70"/>
      <c r="H61" s="71"/>
      <c r="I61" s="203">
        <f t="shared" si="6"/>
        <v>-3.730349362740526E-13</v>
      </c>
      <c r="J61" s="73">
        <f t="shared" si="7"/>
        <v>0</v>
      </c>
      <c r="K61" s="60">
        <f t="shared" si="4"/>
        <v>0</v>
      </c>
      <c r="N61" s="133">
        <v>4.54</v>
      </c>
      <c r="O61" s="15"/>
      <c r="P61" s="69">
        <f t="shared" si="2"/>
        <v>0</v>
      </c>
      <c r="Q61" s="208"/>
      <c r="R61" s="69">
        <f t="shared" si="11"/>
        <v>0</v>
      </c>
      <c r="S61" s="70"/>
      <c r="T61" s="71"/>
      <c r="U61" s="203">
        <f t="shared" si="8"/>
        <v>1707.0399999999997</v>
      </c>
      <c r="V61" s="73">
        <f t="shared" si="9"/>
        <v>376</v>
      </c>
      <c r="W61" s="60">
        <f t="shared" si="5"/>
        <v>0</v>
      </c>
    </row>
    <row r="62" spans="2:23" x14ac:dyDescent="0.25">
      <c r="B62" s="133">
        <v>4.54</v>
      </c>
      <c r="C62" s="15"/>
      <c r="D62" s="69">
        <f t="shared" si="0"/>
        <v>0</v>
      </c>
      <c r="E62" s="208"/>
      <c r="F62" s="69">
        <f t="shared" si="10"/>
        <v>0</v>
      </c>
      <c r="G62" s="70"/>
      <c r="H62" s="71"/>
      <c r="I62" s="203">
        <f t="shared" si="6"/>
        <v>-3.730349362740526E-13</v>
      </c>
      <c r="J62" s="73">
        <f t="shared" si="7"/>
        <v>0</v>
      </c>
      <c r="K62" s="60">
        <f t="shared" si="4"/>
        <v>0</v>
      </c>
      <c r="N62" s="133">
        <v>4.54</v>
      </c>
      <c r="O62" s="15"/>
      <c r="P62" s="69">
        <f t="shared" si="2"/>
        <v>0</v>
      </c>
      <c r="Q62" s="208"/>
      <c r="R62" s="69">
        <f t="shared" si="11"/>
        <v>0</v>
      </c>
      <c r="S62" s="70"/>
      <c r="T62" s="71"/>
      <c r="U62" s="203">
        <f t="shared" si="8"/>
        <v>1707.0399999999997</v>
      </c>
      <c r="V62" s="73">
        <f t="shared" si="9"/>
        <v>376</v>
      </c>
      <c r="W62" s="60">
        <f t="shared" si="5"/>
        <v>0</v>
      </c>
    </row>
    <row r="63" spans="2:23" x14ac:dyDescent="0.25">
      <c r="B63" s="133">
        <v>4.54</v>
      </c>
      <c r="C63" s="15"/>
      <c r="D63" s="227">
        <f t="shared" si="0"/>
        <v>0</v>
      </c>
      <c r="E63" s="956"/>
      <c r="F63" s="227">
        <f t="shared" si="10"/>
        <v>0</v>
      </c>
      <c r="G63" s="935"/>
      <c r="H63" s="936"/>
      <c r="I63" s="203">
        <f t="shared" si="6"/>
        <v>-3.730349362740526E-13</v>
      </c>
      <c r="J63" s="73">
        <f t="shared" si="7"/>
        <v>0</v>
      </c>
      <c r="K63" s="60">
        <f t="shared" si="4"/>
        <v>0</v>
      </c>
      <c r="N63" s="133">
        <v>4.54</v>
      </c>
      <c r="O63" s="15"/>
      <c r="P63" s="227">
        <f t="shared" si="2"/>
        <v>0</v>
      </c>
      <c r="Q63" s="956"/>
      <c r="R63" s="227">
        <f t="shared" si="11"/>
        <v>0</v>
      </c>
      <c r="S63" s="935"/>
      <c r="T63" s="936"/>
      <c r="U63" s="203">
        <f t="shared" si="8"/>
        <v>1707.0399999999997</v>
      </c>
      <c r="V63" s="73">
        <f t="shared" si="9"/>
        <v>376</v>
      </c>
      <c r="W63" s="60">
        <f t="shared" si="5"/>
        <v>0</v>
      </c>
    </row>
    <row r="64" spans="2:23" x14ac:dyDescent="0.25">
      <c r="B64" s="133">
        <v>4.54</v>
      </c>
      <c r="C64" s="15"/>
      <c r="D64" s="227">
        <f t="shared" si="0"/>
        <v>0</v>
      </c>
      <c r="E64" s="956"/>
      <c r="F64" s="227">
        <f t="shared" si="10"/>
        <v>0</v>
      </c>
      <c r="G64" s="935"/>
      <c r="H64" s="936"/>
      <c r="I64" s="203">
        <f t="shared" si="6"/>
        <v>-3.730349362740526E-13</v>
      </c>
      <c r="J64" s="73">
        <f t="shared" si="7"/>
        <v>0</v>
      </c>
      <c r="K64" s="60">
        <f t="shared" si="4"/>
        <v>0</v>
      </c>
      <c r="N64" s="133">
        <v>4.54</v>
      </c>
      <c r="O64" s="15"/>
      <c r="P64" s="227">
        <f t="shared" si="2"/>
        <v>0</v>
      </c>
      <c r="Q64" s="956"/>
      <c r="R64" s="227">
        <f t="shared" si="11"/>
        <v>0</v>
      </c>
      <c r="S64" s="935"/>
      <c r="T64" s="936"/>
      <c r="U64" s="203">
        <f t="shared" si="8"/>
        <v>1707.0399999999997</v>
      </c>
      <c r="V64" s="73">
        <f t="shared" si="9"/>
        <v>376</v>
      </c>
      <c r="W64" s="60">
        <f t="shared" si="5"/>
        <v>0</v>
      </c>
    </row>
    <row r="65" spans="2:23" x14ac:dyDescent="0.25">
      <c r="B65" s="133">
        <v>4.54</v>
      </c>
      <c r="C65" s="15"/>
      <c r="D65" s="227">
        <f t="shared" si="0"/>
        <v>0</v>
      </c>
      <c r="E65" s="956"/>
      <c r="F65" s="227">
        <f t="shared" si="10"/>
        <v>0</v>
      </c>
      <c r="G65" s="935"/>
      <c r="H65" s="936"/>
      <c r="I65" s="203">
        <f t="shared" si="6"/>
        <v>-3.730349362740526E-13</v>
      </c>
      <c r="J65" s="73">
        <f t="shared" si="7"/>
        <v>0</v>
      </c>
      <c r="K65" s="60">
        <f t="shared" si="4"/>
        <v>0</v>
      </c>
      <c r="N65" s="133">
        <v>4.54</v>
      </c>
      <c r="O65" s="15"/>
      <c r="P65" s="227">
        <f t="shared" si="2"/>
        <v>0</v>
      </c>
      <c r="Q65" s="956"/>
      <c r="R65" s="227">
        <f t="shared" si="11"/>
        <v>0</v>
      </c>
      <c r="S65" s="935"/>
      <c r="T65" s="936"/>
      <c r="U65" s="203">
        <f t="shared" si="8"/>
        <v>1707.0399999999997</v>
      </c>
      <c r="V65" s="73">
        <f t="shared" si="9"/>
        <v>376</v>
      </c>
      <c r="W65" s="60">
        <f t="shared" si="5"/>
        <v>0</v>
      </c>
    </row>
    <row r="66" spans="2:23" x14ac:dyDescent="0.25">
      <c r="B66" s="133">
        <v>4.54</v>
      </c>
      <c r="C66" s="15"/>
      <c r="D66" s="227">
        <f t="shared" si="0"/>
        <v>0</v>
      </c>
      <c r="E66" s="956"/>
      <c r="F66" s="227">
        <f t="shared" si="10"/>
        <v>0</v>
      </c>
      <c r="G66" s="935"/>
      <c r="H66" s="936"/>
      <c r="I66" s="203">
        <f t="shared" si="6"/>
        <v>-3.730349362740526E-13</v>
      </c>
      <c r="J66" s="73">
        <f t="shared" si="7"/>
        <v>0</v>
      </c>
      <c r="K66" s="60">
        <f t="shared" si="4"/>
        <v>0</v>
      </c>
      <c r="N66" s="133">
        <v>4.54</v>
      </c>
      <c r="O66" s="15"/>
      <c r="P66" s="227">
        <f t="shared" si="2"/>
        <v>0</v>
      </c>
      <c r="Q66" s="956"/>
      <c r="R66" s="227">
        <f t="shared" si="11"/>
        <v>0</v>
      </c>
      <c r="S66" s="935"/>
      <c r="T66" s="936"/>
      <c r="U66" s="203">
        <f t="shared" si="8"/>
        <v>1707.0399999999997</v>
      </c>
      <c r="V66" s="73">
        <f t="shared" si="9"/>
        <v>376</v>
      </c>
      <c r="W66" s="60">
        <f t="shared" si="5"/>
        <v>0</v>
      </c>
    </row>
    <row r="67" spans="2:23" x14ac:dyDescent="0.25">
      <c r="B67" s="133">
        <v>4.54</v>
      </c>
      <c r="C67" s="15"/>
      <c r="D67" s="227">
        <f t="shared" si="0"/>
        <v>0</v>
      </c>
      <c r="E67" s="956"/>
      <c r="F67" s="227">
        <f t="shared" si="10"/>
        <v>0</v>
      </c>
      <c r="G67" s="935"/>
      <c r="H67" s="936"/>
      <c r="I67" s="203">
        <f t="shared" si="6"/>
        <v>-3.730349362740526E-13</v>
      </c>
      <c r="J67" s="73">
        <f t="shared" si="7"/>
        <v>0</v>
      </c>
      <c r="K67" s="60">
        <f t="shared" si="4"/>
        <v>0</v>
      </c>
      <c r="N67" s="133">
        <v>4.54</v>
      </c>
      <c r="O67" s="15"/>
      <c r="P67" s="227">
        <f t="shared" si="2"/>
        <v>0</v>
      </c>
      <c r="Q67" s="956"/>
      <c r="R67" s="227">
        <f t="shared" si="11"/>
        <v>0</v>
      </c>
      <c r="S67" s="935"/>
      <c r="T67" s="936"/>
      <c r="U67" s="203">
        <f t="shared" si="8"/>
        <v>1707.0399999999997</v>
      </c>
      <c r="V67" s="73">
        <f t="shared" si="9"/>
        <v>376</v>
      </c>
      <c r="W67" s="60">
        <f t="shared" si="5"/>
        <v>0</v>
      </c>
    </row>
    <row r="68" spans="2:23" x14ac:dyDescent="0.25">
      <c r="B68" s="133">
        <v>4.54</v>
      </c>
      <c r="C68" s="15"/>
      <c r="D68" s="227">
        <f t="shared" si="0"/>
        <v>0</v>
      </c>
      <c r="E68" s="956"/>
      <c r="F68" s="227">
        <f t="shared" si="10"/>
        <v>0</v>
      </c>
      <c r="G68" s="935"/>
      <c r="H68" s="936"/>
      <c r="I68" s="203">
        <f t="shared" si="6"/>
        <v>-3.730349362740526E-13</v>
      </c>
      <c r="J68" s="73">
        <f t="shared" si="7"/>
        <v>0</v>
      </c>
      <c r="K68" s="60">
        <f t="shared" si="4"/>
        <v>0</v>
      </c>
      <c r="N68" s="133">
        <v>4.54</v>
      </c>
      <c r="O68" s="15"/>
      <c r="P68" s="227">
        <f t="shared" si="2"/>
        <v>0</v>
      </c>
      <c r="Q68" s="956"/>
      <c r="R68" s="227">
        <f t="shared" si="11"/>
        <v>0</v>
      </c>
      <c r="S68" s="935"/>
      <c r="T68" s="936"/>
      <c r="U68" s="203">
        <f t="shared" si="8"/>
        <v>1707.0399999999997</v>
      </c>
      <c r="V68" s="73">
        <f t="shared" si="9"/>
        <v>376</v>
      </c>
      <c r="W68" s="60">
        <f t="shared" si="5"/>
        <v>0</v>
      </c>
    </row>
    <row r="69" spans="2:23" x14ac:dyDescent="0.25">
      <c r="B69" s="133">
        <v>4.54</v>
      </c>
      <c r="C69" s="15"/>
      <c r="D69" s="227">
        <f t="shared" si="0"/>
        <v>0</v>
      </c>
      <c r="E69" s="956"/>
      <c r="F69" s="227">
        <f t="shared" si="10"/>
        <v>0</v>
      </c>
      <c r="G69" s="935"/>
      <c r="H69" s="936"/>
      <c r="I69" s="203">
        <f t="shared" si="6"/>
        <v>-3.730349362740526E-13</v>
      </c>
      <c r="J69" s="73">
        <f t="shared" si="7"/>
        <v>0</v>
      </c>
      <c r="K69" s="60">
        <f t="shared" si="4"/>
        <v>0</v>
      </c>
      <c r="N69" s="133">
        <v>4.54</v>
      </c>
      <c r="O69" s="15"/>
      <c r="P69" s="227">
        <f t="shared" si="2"/>
        <v>0</v>
      </c>
      <c r="Q69" s="956"/>
      <c r="R69" s="227">
        <f t="shared" si="11"/>
        <v>0</v>
      </c>
      <c r="S69" s="935"/>
      <c r="T69" s="936"/>
      <c r="U69" s="203">
        <f t="shared" si="8"/>
        <v>1707.0399999999997</v>
      </c>
      <c r="V69" s="73">
        <f t="shared" si="9"/>
        <v>376</v>
      </c>
      <c r="W69" s="60">
        <f t="shared" si="5"/>
        <v>0</v>
      </c>
    </row>
    <row r="70" spans="2:23" x14ac:dyDescent="0.25">
      <c r="B70" s="133">
        <v>4.54</v>
      </c>
      <c r="C70" s="15"/>
      <c r="D70" s="227">
        <f t="shared" si="0"/>
        <v>0</v>
      </c>
      <c r="E70" s="956"/>
      <c r="F70" s="227">
        <f t="shared" si="10"/>
        <v>0</v>
      </c>
      <c r="G70" s="935"/>
      <c r="H70" s="936"/>
      <c r="I70" s="203">
        <f t="shared" si="6"/>
        <v>-3.730349362740526E-13</v>
      </c>
      <c r="J70" s="73">
        <f t="shared" si="7"/>
        <v>0</v>
      </c>
      <c r="K70" s="60">
        <f t="shared" si="4"/>
        <v>0</v>
      </c>
      <c r="N70" s="133">
        <v>4.54</v>
      </c>
      <c r="O70" s="15"/>
      <c r="P70" s="227">
        <f t="shared" si="2"/>
        <v>0</v>
      </c>
      <c r="Q70" s="956"/>
      <c r="R70" s="227">
        <f t="shared" si="11"/>
        <v>0</v>
      </c>
      <c r="S70" s="935"/>
      <c r="T70" s="936"/>
      <c r="U70" s="203">
        <f t="shared" si="8"/>
        <v>1707.0399999999997</v>
      </c>
      <c r="V70" s="73">
        <f t="shared" si="9"/>
        <v>376</v>
      </c>
      <c r="W70" s="60">
        <f t="shared" si="5"/>
        <v>0</v>
      </c>
    </row>
    <row r="71" spans="2:23" x14ac:dyDescent="0.25">
      <c r="B71" s="133">
        <v>4.54</v>
      </c>
      <c r="C71" s="15"/>
      <c r="D71" s="227">
        <f t="shared" si="0"/>
        <v>0</v>
      </c>
      <c r="E71" s="956"/>
      <c r="F71" s="227">
        <f t="shared" si="10"/>
        <v>0</v>
      </c>
      <c r="G71" s="935"/>
      <c r="H71" s="936"/>
      <c r="I71" s="203">
        <f t="shared" si="6"/>
        <v>-3.730349362740526E-13</v>
      </c>
      <c r="J71" s="73">
        <f t="shared" si="7"/>
        <v>0</v>
      </c>
      <c r="K71" s="60">
        <f t="shared" si="4"/>
        <v>0</v>
      </c>
      <c r="N71" s="133">
        <v>4.54</v>
      </c>
      <c r="O71" s="15"/>
      <c r="P71" s="227">
        <f t="shared" si="2"/>
        <v>0</v>
      </c>
      <c r="Q71" s="956"/>
      <c r="R71" s="227">
        <f t="shared" si="11"/>
        <v>0</v>
      </c>
      <c r="S71" s="935"/>
      <c r="T71" s="936"/>
      <c r="U71" s="203">
        <f t="shared" si="8"/>
        <v>1707.0399999999997</v>
      </c>
      <c r="V71" s="73">
        <f t="shared" si="9"/>
        <v>376</v>
      </c>
      <c r="W71" s="60">
        <f t="shared" si="5"/>
        <v>0</v>
      </c>
    </row>
    <row r="72" spans="2:23" x14ac:dyDescent="0.25">
      <c r="B72" s="133">
        <v>4.54</v>
      </c>
      <c r="C72" s="15"/>
      <c r="D72" s="227">
        <f t="shared" si="0"/>
        <v>0</v>
      </c>
      <c r="E72" s="956"/>
      <c r="F72" s="227">
        <f t="shared" si="10"/>
        <v>0</v>
      </c>
      <c r="G72" s="935"/>
      <c r="H72" s="936"/>
      <c r="I72" s="203">
        <f t="shared" si="6"/>
        <v>-3.730349362740526E-13</v>
      </c>
      <c r="J72" s="73">
        <f t="shared" si="7"/>
        <v>0</v>
      </c>
      <c r="K72" s="60">
        <f t="shared" si="4"/>
        <v>0</v>
      </c>
      <c r="N72" s="133">
        <v>4.54</v>
      </c>
      <c r="O72" s="15"/>
      <c r="P72" s="227">
        <f t="shared" si="2"/>
        <v>0</v>
      </c>
      <c r="Q72" s="956"/>
      <c r="R72" s="227">
        <f t="shared" si="11"/>
        <v>0</v>
      </c>
      <c r="S72" s="935"/>
      <c r="T72" s="936"/>
      <c r="U72" s="203">
        <f t="shared" si="8"/>
        <v>1707.0399999999997</v>
      </c>
      <c r="V72" s="73">
        <f t="shared" si="9"/>
        <v>376</v>
      </c>
      <c r="W72" s="60">
        <f t="shared" si="5"/>
        <v>0</v>
      </c>
    </row>
    <row r="73" spans="2:23" x14ac:dyDescent="0.25">
      <c r="B73" s="133">
        <v>4.54</v>
      </c>
      <c r="C73" s="15"/>
      <c r="D73" s="227">
        <f t="shared" si="0"/>
        <v>0</v>
      </c>
      <c r="E73" s="956"/>
      <c r="F73" s="227">
        <f t="shared" si="10"/>
        <v>0</v>
      </c>
      <c r="G73" s="935"/>
      <c r="H73" s="936"/>
      <c r="I73" s="203">
        <f t="shared" si="6"/>
        <v>-3.730349362740526E-13</v>
      </c>
      <c r="J73" s="73">
        <f t="shared" si="7"/>
        <v>0</v>
      </c>
      <c r="K73" s="60">
        <f t="shared" si="4"/>
        <v>0</v>
      </c>
      <c r="N73" s="133">
        <v>4.54</v>
      </c>
      <c r="O73" s="15"/>
      <c r="P73" s="227">
        <f t="shared" si="2"/>
        <v>0</v>
      </c>
      <c r="Q73" s="956"/>
      <c r="R73" s="227">
        <f t="shared" si="11"/>
        <v>0</v>
      </c>
      <c r="S73" s="935"/>
      <c r="T73" s="936"/>
      <c r="U73" s="203">
        <f t="shared" si="8"/>
        <v>1707.0399999999997</v>
      </c>
      <c r="V73" s="73">
        <f t="shared" si="9"/>
        <v>376</v>
      </c>
      <c r="W73" s="60">
        <f t="shared" si="5"/>
        <v>0</v>
      </c>
    </row>
    <row r="74" spans="2:23" x14ac:dyDescent="0.25">
      <c r="B74" s="133">
        <v>4.54</v>
      </c>
      <c r="C74" s="15"/>
      <c r="D74" s="227">
        <f t="shared" si="0"/>
        <v>0</v>
      </c>
      <c r="E74" s="956"/>
      <c r="F74" s="227">
        <f t="shared" si="10"/>
        <v>0</v>
      </c>
      <c r="G74" s="935"/>
      <c r="H74" s="936"/>
      <c r="I74" s="203">
        <f t="shared" si="6"/>
        <v>-3.730349362740526E-13</v>
      </c>
      <c r="J74" s="73">
        <f t="shared" si="7"/>
        <v>0</v>
      </c>
      <c r="K74" s="60">
        <f t="shared" si="4"/>
        <v>0</v>
      </c>
      <c r="N74" s="133">
        <v>4.54</v>
      </c>
      <c r="O74" s="15"/>
      <c r="P74" s="227">
        <f t="shared" si="2"/>
        <v>0</v>
      </c>
      <c r="Q74" s="956"/>
      <c r="R74" s="227">
        <f t="shared" si="11"/>
        <v>0</v>
      </c>
      <c r="S74" s="935"/>
      <c r="T74" s="936"/>
      <c r="U74" s="203">
        <f t="shared" si="8"/>
        <v>1707.0399999999997</v>
      </c>
      <c r="V74" s="73">
        <f t="shared" si="9"/>
        <v>376</v>
      </c>
      <c r="W74" s="60">
        <f t="shared" si="5"/>
        <v>0</v>
      </c>
    </row>
    <row r="75" spans="2:23" x14ac:dyDescent="0.25">
      <c r="B75" s="133">
        <v>4.54</v>
      </c>
      <c r="C75" s="15"/>
      <c r="D75" s="227">
        <f t="shared" si="0"/>
        <v>0</v>
      </c>
      <c r="E75" s="956"/>
      <c r="F75" s="227">
        <f t="shared" si="10"/>
        <v>0</v>
      </c>
      <c r="G75" s="935"/>
      <c r="H75" s="936"/>
      <c r="I75" s="203">
        <f t="shared" ref="I75:I107" si="12">I74-F75</f>
        <v>-3.730349362740526E-13</v>
      </c>
      <c r="J75" s="73">
        <f t="shared" ref="J75:J106" si="13">J74-C75</f>
        <v>0</v>
      </c>
      <c r="K75" s="60">
        <f t="shared" si="4"/>
        <v>0</v>
      </c>
      <c r="N75" s="133">
        <v>4.54</v>
      </c>
      <c r="O75" s="15"/>
      <c r="P75" s="227">
        <f t="shared" si="2"/>
        <v>0</v>
      </c>
      <c r="Q75" s="956"/>
      <c r="R75" s="227">
        <f t="shared" si="11"/>
        <v>0</v>
      </c>
      <c r="S75" s="935"/>
      <c r="T75" s="936"/>
      <c r="U75" s="203">
        <f t="shared" ref="U75:U107" si="14">U74-R75</f>
        <v>1707.0399999999997</v>
      </c>
      <c r="V75" s="73">
        <f t="shared" ref="V75:V106" si="15">V74-O75</f>
        <v>376</v>
      </c>
      <c r="W75" s="60">
        <f t="shared" si="5"/>
        <v>0</v>
      </c>
    </row>
    <row r="76" spans="2:23" x14ac:dyDescent="0.25">
      <c r="B76" s="133">
        <v>4.54</v>
      </c>
      <c r="C76" s="15"/>
      <c r="D76" s="227">
        <f t="shared" si="0"/>
        <v>0</v>
      </c>
      <c r="E76" s="956"/>
      <c r="F76" s="227">
        <f t="shared" si="10"/>
        <v>0</v>
      </c>
      <c r="G76" s="935"/>
      <c r="H76" s="936"/>
      <c r="I76" s="203">
        <f t="shared" si="12"/>
        <v>-3.730349362740526E-13</v>
      </c>
      <c r="J76" s="73">
        <f t="shared" si="13"/>
        <v>0</v>
      </c>
      <c r="K76" s="60">
        <f t="shared" si="4"/>
        <v>0</v>
      </c>
      <c r="N76" s="133">
        <v>4.54</v>
      </c>
      <c r="O76" s="15"/>
      <c r="P76" s="227">
        <f t="shared" si="2"/>
        <v>0</v>
      </c>
      <c r="Q76" s="956"/>
      <c r="R76" s="227">
        <f t="shared" si="11"/>
        <v>0</v>
      </c>
      <c r="S76" s="935"/>
      <c r="T76" s="936"/>
      <c r="U76" s="203">
        <f t="shared" si="14"/>
        <v>1707.0399999999997</v>
      </c>
      <c r="V76" s="73">
        <f t="shared" si="15"/>
        <v>376</v>
      </c>
      <c r="W76" s="60">
        <f t="shared" si="5"/>
        <v>0</v>
      </c>
    </row>
    <row r="77" spans="2:23" x14ac:dyDescent="0.25">
      <c r="B77" s="133">
        <v>4.54</v>
      </c>
      <c r="C77" s="15"/>
      <c r="D77" s="227">
        <f t="shared" si="0"/>
        <v>0</v>
      </c>
      <c r="E77" s="956"/>
      <c r="F77" s="227">
        <f t="shared" si="10"/>
        <v>0</v>
      </c>
      <c r="G77" s="935"/>
      <c r="H77" s="936"/>
      <c r="I77" s="203">
        <f t="shared" si="12"/>
        <v>-3.730349362740526E-13</v>
      </c>
      <c r="J77" s="73">
        <f t="shared" si="13"/>
        <v>0</v>
      </c>
      <c r="K77" s="60">
        <f t="shared" si="4"/>
        <v>0</v>
      </c>
      <c r="N77" s="133">
        <v>4.54</v>
      </c>
      <c r="O77" s="15"/>
      <c r="P77" s="227">
        <f t="shared" si="2"/>
        <v>0</v>
      </c>
      <c r="Q77" s="956"/>
      <c r="R77" s="227">
        <f t="shared" si="11"/>
        <v>0</v>
      </c>
      <c r="S77" s="935"/>
      <c r="T77" s="936"/>
      <c r="U77" s="203">
        <f t="shared" si="14"/>
        <v>1707.0399999999997</v>
      </c>
      <c r="V77" s="73">
        <f t="shared" si="15"/>
        <v>376</v>
      </c>
      <c r="W77" s="60">
        <f t="shared" si="5"/>
        <v>0</v>
      </c>
    </row>
    <row r="78" spans="2:23" x14ac:dyDescent="0.25">
      <c r="B78" s="133">
        <v>4.54</v>
      </c>
      <c r="C78" s="15"/>
      <c r="D78" s="227">
        <f t="shared" si="0"/>
        <v>0</v>
      </c>
      <c r="E78" s="956"/>
      <c r="F78" s="227">
        <f t="shared" si="10"/>
        <v>0</v>
      </c>
      <c r="G78" s="935"/>
      <c r="H78" s="936"/>
      <c r="I78" s="203">
        <f t="shared" si="12"/>
        <v>-3.730349362740526E-13</v>
      </c>
      <c r="J78" s="73">
        <f t="shared" si="13"/>
        <v>0</v>
      </c>
      <c r="K78" s="60">
        <f t="shared" si="4"/>
        <v>0</v>
      </c>
      <c r="N78" s="133">
        <v>4.54</v>
      </c>
      <c r="O78" s="15"/>
      <c r="P78" s="227">
        <f t="shared" si="2"/>
        <v>0</v>
      </c>
      <c r="Q78" s="956"/>
      <c r="R78" s="227">
        <f t="shared" si="11"/>
        <v>0</v>
      </c>
      <c r="S78" s="935"/>
      <c r="T78" s="936"/>
      <c r="U78" s="203">
        <f t="shared" si="14"/>
        <v>1707.0399999999997</v>
      </c>
      <c r="V78" s="73">
        <f t="shared" si="15"/>
        <v>376</v>
      </c>
      <c r="W78" s="60">
        <f t="shared" si="5"/>
        <v>0</v>
      </c>
    </row>
    <row r="79" spans="2:23" x14ac:dyDescent="0.25">
      <c r="B79" s="133">
        <v>4.54</v>
      </c>
      <c r="C79" s="15"/>
      <c r="D79" s="227">
        <f t="shared" si="0"/>
        <v>0</v>
      </c>
      <c r="E79" s="956"/>
      <c r="F79" s="227">
        <f t="shared" si="10"/>
        <v>0</v>
      </c>
      <c r="G79" s="935"/>
      <c r="H79" s="936"/>
      <c r="I79" s="203">
        <f t="shared" si="12"/>
        <v>-3.730349362740526E-13</v>
      </c>
      <c r="J79" s="73">
        <f t="shared" si="13"/>
        <v>0</v>
      </c>
      <c r="K79" s="60">
        <f t="shared" si="4"/>
        <v>0</v>
      </c>
      <c r="N79" s="133">
        <v>4.54</v>
      </c>
      <c r="O79" s="15"/>
      <c r="P79" s="227">
        <f t="shared" si="2"/>
        <v>0</v>
      </c>
      <c r="Q79" s="956"/>
      <c r="R79" s="227">
        <f t="shared" si="11"/>
        <v>0</v>
      </c>
      <c r="S79" s="935"/>
      <c r="T79" s="936"/>
      <c r="U79" s="203">
        <f t="shared" si="14"/>
        <v>1707.0399999999997</v>
      </c>
      <c r="V79" s="73">
        <f t="shared" si="15"/>
        <v>376</v>
      </c>
      <c r="W79" s="60">
        <f t="shared" si="5"/>
        <v>0</v>
      </c>
    </row>
    <row r="80" spans="2:23" x14ac:dyDescent="0.25">
      <c r="B80" s="133">
        <v>4.54</v>
      </c>
      <c r="C80" s="15"/>
      <c r="D80" s="227">
        <f t="shared" si="0"/>
        <v>0</v>
      </c>
      <c r="E80" s="956"/>
      <c r="F80" s="227">
        <f t="shared" si="10"/>
        <v>0</v>
      </c>
      <c r="G80" s="935"/>
      <c r="H80" s="936"/>
      <c r="I80" s="203">
        <f t="shared" si="12"/>
        <v>-3.730349362740526E-13</v>
      </c>
      <c r="J80" s="73">
        <f t="shared" si="13"/>
        <v>0</v>
      </c>
      <c r="K80" s="60">
        <f t="shared" si="4"/>
        <v>0</v>
      </c>
      <c r="N80" s="133">
        <v>4.54</v>
      </c>
      <c r="O80" s="15"/>
      <c r="P80" s="227">
        <f t="shared" si="2"/>
        <v>0</v>
      </c>
      <c r="Q80" s="956"/>
      <c r="R80" s="227">
        <f t="shared" si="11"/>
        <v>0</v>
      </c>
      <c r="S80" s="935"/>
      <c r="T80" s="936"/>
      <c r="U80" s="203">
        <f t="shared" si="14"/>
        <v>1707.0399999999997</v>
      </c>
      <c r="V80" s="73">
        <f t="shared" si="15"/>
        <v>376</v>
      </c>
      <c r="W80" s="60">
        <f t="shared" si="5"/>
        <v>0</v>
      </c>
    </row>
    <row r="81" spans="2:23" x14ac:dyDescent="0.25">
      <c r="B81" s="133">
        <v>4.54</v>
      </c>
      <c r="C81" s="15"/>
      <c r="D81" s="227">
        <f t="shared" si="0"/>
        <v>0</v>
      </c>
      <c r="E81" s="956"/>
      <c r="F81" s="227">
        <f t="shared" si="10"/>
        <v>0</v>
      </c>
      <c r="G81" s="935"/>
      <c r="H81" s="936"/>
      <c r="I81" s="203">
        <f t="shared" si="12"/>
        <v>-3.730349362740526E-13</v>
      </c>
      <c r="J81" s="73">
        <f t="shared" si="13"/>
        <v>0</v>
      </c>
      <c r="K81" s="60">
        <f t="shared" si="4"/>
        <v>0</v>
      </c>
      <c r="N81" s="133">
        <v>4.54</v>
      </c>
      <c r="O81" s="15"/>
      <c r="P81" s="227">
        <f t="shared" si="2"/>
        <v>0</v>
      </c>
      <c r="Q81" s="956"/>
      <c r="R81" s="227">
        <f t="shared" si="11"/>
        <v>0</v>
      </c>
      <c r="S81" s="935"/>
      <c r="T81" s="936"/>
      <c r="U81" s="203">
        <f t="shared" si="14"/>
        <v>1707.0399999999997</v>
      </c>
      <c r="V81" s="73">
        <f t="shared" si="15"/>
        <v>376</v>
      </c>
      <c r="W81" s="60">
        <f t="shared" si="5"/>
        <v>0</v>
      </c>
    </row>
    <row r="82" spans="2:23" x14ac:dyDescent="0.25">
      <c r="B82" s="133">
        <v>4.54</v>
      </c>
      <c r="C82" s="15"/>
      <c r="D82" s="227">
        <f t="shared" si="0"/>
        <v>0</v>
      </c>
      <c r="E82" s="956"/>
      <c r="F82" s="227">
        <f t="shared" si="10"/>
        <v>0</v>
      </c>
      <c r="G82" s="935"/>
      <c r="H82" s="936"/>
      <c r="I82" s="203">
        <f t="shared" si="12"/>
        <v>-3.730349362740526E-13</v>
      </c>
      <c r="J82" s="73">
        <f t="shared" si="13"/>
        <v>0</v>
      </c>
      <c r="K82" s="60">
        <f t="shared" si="4"/>
        <v>0</v>
      </c>
      <c r="N82" s="133">
        <v>4.54</v>
      </c>
      <c r="O82" s="15"/>
      <c r="P82" s="227">
        <f t="shared" si="2"/>
        <v>0</v>
      </c>
      <c r="Q82" s="956"/>
      <c r="R82" s="227">
        <f t="shared" si="11"/>
        <v>0</v>
      </c>
      <c r="S82" s="935"/>
      <c r="T82" s="936"/>
      <c r="U82" s="203">
        <f t="shared" si="14"/>
        <v>1707.0399999999997</v>
      </c>
      <c r="V82" s="73">
        <f t="shared" si="15"/>
        <v>376</v>
      </c>
      <c r="W82" s="60">
        <f t="shared" si="5"/>
        <v>0</v>
      </c>
    </row>
    <row r="83" spans="2:23" x14ac:dyDescent="0.25">
      <c r="B83" s="133">
        <v>4.54</v>
      </c>
      <c r="C83" s="15"/>
      <c r="D83" s="227">
        <f t="shared" si="0"/>
        <v>0</v>
      </c>
      <c r="E83" s="956"/>
      <c r="F83" s="227">
        <f t="shared" si="10"/>
        <v>0</v>
      </c>
      <c r="G83" s="935"/>
      <c r="H83" s="936"/>
      <c r="I83" s="203">
        <f t="shared" si="12"/>
        <v>-3.730349362740526E-13</v>
      </c>
      <c r="J83" s="73">
        <f t="shared" si="13"/>
        <v>0</v>
      </c>
      <c r="K83" s="60">
        <f t="shared" si="4"/>
        <v>0</v>
      </c>
      <c r="N83" s="133">
        <v>4.54</v>
      </c>
      <c r="O83" s="15"/>
      <c r="P83" s="227">
        <f t="shared" si="2"/>
        <v>0</v>
      </c>
      <c r="Q83" s="956"/>
      <c r="R83" s="227">
        <f t="shared" si="11"/>
        <v>0</v>
      </c>
      <c r="S83" s="935"/>
      <c r="T83" s="936"/>
      <c r="U83" s="203">
        <f t="shared" si="14"/>
        <v>1707.0399999999997</v>
      </c>
      <c r="V83" s="73">
        <f t="shared" si="15"/>
        <v>376</v>
      </c>
      <c r="W83" s="60">
        <f t="shared" si="5"/>
        <v>0</v>
      </c>
    </row>
    <row r="84" spans="2:23" x14ac:dyDescent="0.25">
      <c r="B84" s="133">
        <v>4.54</v>
      </c>
      <c r="C84" s="15"/>
      <c r="D84" s="227">
        <f t="shared" si="0"/>
        <v>0</v>
      </c>
      <c r="E84" s="956"/>
      <c r="F84" s="227">
        <f t="shared" si="10"/>
        <v>0</v>
      </c>
      <c r="G84" s="935"/>
      <c r="H84" s="936"/>
      <c r="I84" s="203">
        <f t="shared" si="12"/>
        <v>-3.730349362740526E-13</v>
      </c>
      <c r="J84" s="73">
        <f t="shared" si="13"/>
        <v>0</v>
      </c>
      <c r="K84" s="60"/>
      <c r="N84" s="133">
        <v>4.54</v>
      </c>
      <c r="O84" s="15"/>
      <c r="P84" s="227">
        <f t="shared" si="2"/>
        <v>0</v>
      </c>
      <c r="Q84" s="956"/>
      <c r="R84" s="227">
        <f t="shared" si="11"/>
        <v>0</v>
      </c>
      <c r="S84" s="935"/>
      <c r="T84" s="936"/>
      <c r="U84" s="203">
        <f t="shared" si="14"/>
        <v>1707.0399999999997</v>
      </c>
      <c r="V84" s="73">
        <f t="shared" si="15"/>
        <v>376</v>
      </c>
      <c r="W84" s="60"/>
    </row>
    <row r="85" spans="2:23" x14ac:dyDescent="0.25">
      <c r="B85" s="133">
        <v>4.54</v>
      </c>
      <c r="C85" s="15"/>
      <c r="D85" s="227">
        <f t="shared" si="0"/>
        <v>0</v>
      </c>
      <c r="E85" s="956"/>
      <c r="F85" s="227">
        <f t="shared" si="10"/>
        <v>0</v>
      </c>
      <c r="G85" s="935"/>
      <c r="H85" s="936"/>
      <c r="I85" s="203">
        <f t="shared" si="12"/>
        <v>-3.730349362740526E-13</v>
      </c>
      <c r="J85" s="73">
        <f t="shared" si="13"/>
        <v>0</v>
      </c>
      <c r="K85" s="60"/>
      <c r="N85" s="133">
        <v>4.54</v>
      </c>
      <c r="O85" s="15"/>
      <c r="P85" s="227">
        <f t="shared" si="2"/>
        <v>0</v>
      </c>
      <c r="Q85" s="956"/>
      <c r="R85" s="227">
        <f t="shared" si="11"/>
        <v>0</v>
      </c>
      <c r="S85" s="935"/>
      <c r="T85" s="936"/>
      <c r="U85" s="203">
        <f t="shared" si="14"/>
        <v>1707.0399999999997</v>
      </c>
      <c r="V85" s="73">
        <f t="shared" si="15"/>
        <v>376</v>
      </c>
      <c r="W85" s="60"/>
    </row>
    <row r="86" spans="2:23" x14ac:dyDescent="0.25">
      <c r="B86" s="133">
        <v>4.54</v>
      </c>
      <c r="C86" s="15"/>
      <c r="D86" s="227">
        <f t="shared" si="0"/>
        <v>0</v>
      </c>
      <c r="E86" s="956"/>
      <c r="F86" s="227">
        <f t="shared" si="10"/>
        <v>0</v>
      </c>
      <c r="G86" s="935"/>
      <c r="H86" s="936"/>
      <c r="I86" s="203">
        <f t="shared" si="12"/>
        <v>-3.730349362740526E-13</v>
      </c>
      <c r="J86" s="73">
        <f t="shared" si="13"/>
        <v>0</v>
      </c>
      <c r="K86" s="60"/>
      <c r="N86" s="133">
        <v>4.54</v>
      </c>
      <c r="O86" s="15"/>
      <c r="P86" s="227">
        <f t="shared" si="2"/>
        <v>0</v>
      </c>
      <c r="Q86" s="956"/>
      <c r="R86" s="227">
        <f t="shared" si="11"/>
        <v>0</v>
      </c>
      <c r="S86" s="935"/>
      <c r="T86" s="936"/>
      <c r="U86" s="203">
        <f t="shared" si="14"/>
        <v>1707.0399999999997</v>
      </c>
      <c r="V86" s="73">
        <f t="shared" si="15"/>
        <v>376</v>
      </c>
      <c r="W86" s="60"/>
    </row>
    <row r="87" spans="2:23" x14ac:dyDescent="0.25">
      <c r="B87" s="133">
        <v>4.54</v>
      </c>
      <c r="C87" s="15"/>
      <c r="D87" s="227">
        <f t="shared" si="0"/>
        <v>0</v>
      </c>
      <c r="E87" s="956"/>
      <c r="F87" s="227">
        <f t="shared" si="10"/>
        <v>0</v>
      </c>
      <c r="G87" s="935"/>
      <c r="H87" s="936"/>
      <c r="I87" s="203">
        <f t="shared" si="12"/>
        <v>-3.730349362740526E-13</v>
      </c>
      <c r="J87" s="73">
        <f t="shared" si="13"/>
        <v>0</v>
      </c>
      <c r="K87" s="60"/>
      <c r="N87" s="133">
        <v>4.54</v>
      </c>
      <c r="O87" s="15"/>
      <c r="P87" s="227">
        <f t="shared" si="2"/>
        <v>0</v>
      </c>
      <c r="Q87" s="956"/>
      <c r="R87" s="227">
        <f t="shared" si="11"/>
        <v>0</v>
      </c>
      <c r="S87" s="935"/>
      <c r="T87" s="936"/>
      <c r="U87" s="203">
        <f t="shared" si="14"/>
        <v>1707.0399999999997</v>
      </c>
      <c r="V87" s="73">
        <f t="shared" si="15"/>
        <v>376</v>
      </c>
      <c r="W87" s="60"/>
    </row>
    <row r="88" spans="2:23" x14ac:dyDescent="0.25">
      <c r="B88" s="133">
        <v>4.54</v>
      </c>
      <c r="C88" s="15"/>
      <c r="D88" s="227">
        <f t="shared" si="0"/>
        <v>0</v>
      </c>
      <c r="E88" s="956"/>
      <c r="F88" s="227">
        <f t="shared" si="10"/>
        <v>0</v>
      </c>
      <c r="G88" s="935"/>
      <c r="H88" s="936"/>
      <c r="I88" s="203">
        <f t="shared" si="12"/>
        <v>-3.730349362740526E-13</v>
      </c>
      <c r="J88" s="73">
        <f t="shared" si="13"/>
        <v>0</v>
      </c>
      <c r="K88" s="60"/>
      <c r="N88" s="133">
        <v>4.54</v>
      </c>
      <c r="O88" s="15"/>
      <c r="P88" s="227">
        <f t="shared" si="2"/>
        <v>0</v>
      </c>
      <c r="Q88" s="956"/>
      <c r="R88" s="227">
        <f t="shared" si="11"/>
        <v>0</v>
      </c>
      <c r="S88" s="935"/>
      <c r="T88" s="936"/>
      <c r="U88" s="203">
        <f t="shared" si="14"/>
        <v>1707.0399999999997</v>
      </c>
      <c r="V88" s="73">
        <f t="shared" si="15"/>
        <v>376</v>
      </c>
      <c r="W88" s="60"/>
    </row>
    <row r="89" spans="2:23" x14ac:dyDescent="0.25">
      <c r="B89" s="133">
        <v>4.54</v>
      </c>
      <c r="C89" s="15"/>
      <c r="D89" s="227">
        <f t="shared" si="0"/>
        <v>0</v>
      </c>
      <c r="E89" s="956"/>
      <c r="F89" s="227">
        <f t="shared" si="10"/>
        <v>0</v>
      </c>
      <c r="G89" s="935"/>
      <c r="H89" s="936"/>
      <c r="I89" s="203">
        <f t="shared" si="12"/>
        <v>-3.730349362740526E-13</v>
      </c>
      <c r="J89" s="73">
        <f t="shared" si="13"/>
        <v>0</v>
      </c>
      <c r="K89" s="60"/>
      <c r="N89" s="133">
        <v>4.54</v>
      </c>
      <c r="O89" s="15"/>
      <c r="P89" s="227">
        <f t="shared" si="2"/>
        <v>0</v>
      </c>
      <c r="Q89" s="956"/>
      <c r="R89" s="227">
        <f t="shared" si="11"/>
        <v>0</v>
      </c>
      <c r="S89" s="935"/>
      <c r="T89" s="936"/>
      <c r="U89" s="203">
        <f t="shared" si="14"/>
        <v>1707.0399999999997</v>
      </c>
      <c r="V89" s="73">
        <f t="shared" si="15"/>
        <v>376</v>
      </c>
      <c r="W89" s="60"/>
    </row>
    <row r="90" spans="2:23" x14ac:dyDescent="0.25">
      <c r="B90" s="133">
        <v>4.54</v>
      </c>
      <c r="C90" s="15"/>
      <c r="D90" s="227">
        <f t="shared" si="0"/>
        <v>0</v>
      </c>
      <c r="E90" s="956"/>
      <c r="F90" s="227">
        <f t="shared" si="10"/>
        <v>0</v>
      </c>
      <c r="G90" s="935"/>
      <c r="H90" s="936"/>
      <c r="I90" s="203">
        <f t="shared" si="12"/>
        <v>-3.730349362740526E-13</v>
      </c>
      <c r="J90" s="73">
        <f t="shared" si="13"/>
        <v>0</v>
      </c>
      <c r="K90" s="60"/>
      <c r="N90" s="133">
        <v>4.54</v>
      </c>
      <c r="O90" s="15"/>
      <c r="P90" s="227">
        <f t="shared" si="2"/>
        <v>0</v>
      </c>
      <c r="Q90" s="956"/>
      <c r="R90" s="227">
        <f t="shared" si="11"/>
        <v>0</v>
      </c>
      <c r="S90" s="935"/>
      <c r="T90" s="936"/>
      <c r="U90" s="203">
        <f t="shared" si="14"/>
        <v>1707.0399999999997</v>
      </c>
      <c r="V90" s="73">
        <f t="shared" si="15"/>
        <v>376</v>
      </c>
      <c r="W90" s="60"/>
    </row>
    <row r="91" spans="2:23" x14ac:dyDescent="0.25">
      <c r="B91" s="133">
        <v>4.54</v>
      </c>
      <c r="C91" s="15"/>
      <c r="D91" s="227">
        <f t="shared" si="0"/>
        <v>0</v>
      </c>
      <c r="E91" s="956"/>
      <c r="F91" s="227">
        <f t="shared" si="10"/>
        <v>0</v>
      </c>
      <c r="G91" s="935"/>
      <c r="H91" s="936"/>
      <c r="I91" s="203">
        <f t="shared" si="12"/>
        <v>-3.730349362740526E-13</v>
      </c>
      <c r="J91" s="73">
        <f t="shared" si="13"/>
        <v>0</v>
      </c>
      <c r="K91" s="60"/>
      <c r="N91" s="133">
        <v>4.54</v>
      </c>
      <c r="O91" s="15"/>
      <c r="P91" s="227">
        <f t="shared" si="2"/>
        <v>0</v>
      </c>
      <c r="Q91" s="956"/>
      <c r="R91" s="227">
        <f t="shared" si="11"/>
        <v>0</v>
      </c>
      <c r="S91" s="935"/>
      <c r="T91" s="936"/>
      <c r="U91" s="203">
        <f t="shared" si="14"/>
        <v>1707.0399999999997</v>
      </c>
      <c r="V91" s="73">
        <f t="shared" si="15"/>
        <v>376</v>
      </c>
      <c r="W91" s="60"/>
    </row>
    <row r="92" spans="2:23" x14ac:dyDescent="0.25">
      <c r="B92" s="133">
        <v>4.54</v>
      </c>
      <c r="C92" s="15"/>
      <c r="D92" s="227">
        <f t="shared" si="0"/>
        <v>0</v>
      </c>
      <c r="E92" s="956"/>
      <c r="F92" s="227">
        <f t="shared" si="10"/>
        <v>0</v>
      </c>
      <c r="G92" s="935"/>
      <c r="H92" s="936"/>
      <c r="I92" s="203">
        <f t="shared" si="12"/>
        <v>-3.730349362740526E-13</v>
      </c>
      <c r="J92" s="73">
        <f t="shared" si="13"/>
        <v>0</v>
      </c>
      <c r="K92" s="60"/>
      <c r="N92" s="133">
        <v>4.54</v>
      </c>
      <c r="O92" s="15"/>
      <c r="P92" s="227">
        <f t="shared" si="2"/>
        <v>0</v>
      </c>
      <c r="Q92" s="956"/>
      <c r="R92" s="227">
        <f t="shared" si="11"/>
        <v>0</v>
      </c>
      <c r="S92" s="935"/>
      <c r="T92" s="936"/>
      <c r="U92" s="203">
        <f t="shared" si="14"/>
        <v>1707.0399999999997</v>
      </c>
      <c r="V92" s="73">
        <f t="shared" si="15"/>
        <v>376</v>
      </c>
      <c r="W92" s="60"/>
    </row>
    <row r="93" spans="2:23" x14ac:dyDescent="0.25">
      <c r="B93" s="133">
        <v>4.54</v>
      </c>
      <c r="C93" s="15"/>
      <c r="D93" s="227">
        <f t="shared" si="0"/>
        <v>0</v>
      </c>
      <c r="E93" s="956"/>
      <c r="F93" s="227">
        <f t="shared" si="10"/>
        <v>0</v>
      </c>
      <c r="G93" s="935"/>
      <c r="H93" s="936"/>
      <c r="I93" s="203">
        <f t="shared" si="12"/>
        <v>-3.730349362740526E-13</v>
      </c>
      <c r="J93" s="73">
        <f t="shared" si="13"/>
        <v>0</v>
      </c>
      <c r="K93" s="60"/>
      <c r="N93" s="133">
        <v>4.54</v>
      </c>
      <c r="O93" s="15"/>
      <c r="P93" s="227">
        <f t="shared" si="2"/>
        <v>0</v>
      </c>
      <c r="Q93" s="956"/>
      <c r="R93" s="227">
        <f t="shared" si="11"/>
        <v>0</v>
      </c>
      <c r="S93" s="935"/>
      <c r="T93" s="936"/>
      <c r="U93" s="203">
        <f t="shared" si="14"/>
        <v>1707.0399999999997</v>
      </c>
      <c r="V93" s="73">
        <f t="shared" si="15"/>
        <v>376</v>
      </c>
      <c r="W93" s="60"/>
    </row>
    <row r="94" spans="2:23" x14ac:dyDescent="0.25">
      <c r="B94" s="133">
        <v>4.54</v>
      </c>
      <c r="C94" s="15"/>
      <c r="D94" s="227">
        <f t="shared" si="0"/>
        <v>0</v>
      </c>
      <c r="E94" s="956"/>
      <c r="F94" s="227">
        <f t="shared" si="10"/>
        <v>0</v>
      </c>
      <c r="G94" s="935"/>
      <c r="H94" s="936"/>
      <c r="I94" s="203">
        <f t="shared" si="12"/>
        <v>-3.730349362740526E-13</v>
      </c>
      <c r="J94" s="73">
        <f t="shared" si="13"/>
        <v>0</v>
      </c>
      <c r="K94" s="60"/>
      <c r="N94" s="133">
        <v>4.54</v>
      </c>
      <c r="O94" s="15"/>
      <c r="P94" s="227">
        <f t="shared" si="2"/>
        <v>0</v>
      </c>
      <c r="Q94" s="956"/>
      <c r="R94" s="227">
        <f t="shared" si="11"/>
        <v>0</v>
      </c>
      <c r="S94" s="935"/>
      <c r="T94" s="936"/>
      <c r="U94" s="203">
        <f t="shared" si="14"/>
        <v>1707.0399999999997</v>
      </c>
      <c r="V94" s="73">
        <f t="shared" si="15"/>
        <v>376</v>
      </c>
      <c r="W94" s="60"/>
    </row>
    <row r="95" spans="2:23" x14ac:dyDescent="0.25">
      <c r="B95" s="133">
        <v>4.54</v>
      </c>
      <c r="C95" s="15"/>
      <c r="D95" s="227">
        <f t="shared" si="0"/>
        <v>0</v>
      </c>
      <c r="E95" s="956"/>
      <c r="F95" s="227">
        <f t="shared" si="10"/>
        <v>0</v>
      </c>
      <c r="G95" s="935"/>
      <c r="H95" s="936"/>
      <c r="I95" s="203">
        <f t="shared" si="12"/>
        <v>-3.730349362740526E-13</v>
      </c>
      <c r="J95" s="73">
        <f t="shared" si="13"/>
        <v>0</v>
      </c>
      <c r="K95" s="60"/>
      <c r="N95" s="133">
        <v>4.54</v>
      </c>
      <c r="O95" s="15"/>
      <c r="P95" s="227">
        <f t="shared" si="2"/>
        <v>0</v>
      </c>
      <c r="Q95" s="956"/>
      <c r="R95" s="227">
        <f t="shared" si="11"/>
        <v>0</v>
      </c>
      <c r="S95" s="935"/>
      <c r="T95" s="936"/>
      <c r="U95" s="203">
        <f t="shared" si="14"/>
        <v>1707.0399999999997</v>
      </c>
      <c r="V95" s="73">
        <f t="shared" si="15"/>
        <v>376</v>
      </c>
      <c r="W95" s="60"/>
    </row>
    <row r="96" spans="2:23" x14ac:dyDescent="0.25">
      <c r="B96" s="133">
        <v>4.54</v>
      </c>
      <c r="C96" s="15"/>
      <c r="D96" s="227">
        <f t="shared" si="0"/>
        <v>0</v>
      </c>
      <c r="E96" s="956"/>
      <c r="F96" s="227">
        <f t="shared" si="10"/>
        <v>0</v>
      </c>
      <c r="G96" s="935"/>
      <c r="H96" s="936"/>
      <c r="I96" s="203">
        <f t="shared" si="12"/>
        <v>-3.730349362740526E-13</v>
      </c>
      <c r="J96" s="73">
        <f t="shared" si="13"/>
        <v>0</v>
      </c>
      <c r="K96" s="60"/>
      <c r="N96" s="133">
        <v>4.54</v>
      </c>
      <c r="O96" s="15"/>
      <c r="P96" s="227">
        <f t="shared" si="2"/>
        <v>0</v>
      </c>
      <c r="Q96" s="956"/>
      <c r="R96" s="227">
        <f t="shared" si="11"/>
        <v>0</v>
      </c>
      <c r="S96" s="935"/>
      <c r="T96" s="936"/>
      <c r="U96" s="203">
        <f t="shared" si="14"/>
        <v>1707.0399999999997</v>
      </c>
      <c r="V96" s="73">
        <f t="shared" si="15"/>
        <v>376</v>
      </c>
      <c r="W96" s="60"/>
    </row>
    <row r="97" spans="2:23" x14ac:dyDescent="0.25">
      <c r="B97" s="133">
        <v>4.54</v>
      </c>
      <c r="C97" s="15"/>
      <c r="D97" s="227">
        <f t="shared" si="0"/>
        <v>0</v>
      </c>
      <c r="E97" s="956"/>
      <c r="F97" s="227">
        <f t="shared" si="10"/>
        <v>0</v>
      </c>
      <c r="G97" s="935"/>
      <c r="H97" s="936"/>
      <c r="I97" s="203">
        <f t="shared" si="12"/>
        <v>-3.730349362740526E-13</v>
      </c>
      <c r="J97" s="73">
        <f t="shared" si="13"/>
        <v>0</v>
      </c>
      <c r="K97" s="60"/>
      <c r="N97" s="133">
        <v>4.54</v>
      </c>
      <c r="O97" s="15"/>
      <c r="P97" s="227">
        <f t="shared" si="2"/>
        <v>0</v>
      </c>
      <c r="Q97" s="956"/>
      <c r="R97" s="227">
        <f t="shared" si="11"/>
        <v>0</v>
      </c>
      <c r="S97" s="935"/>
      <c r="T97" s="936"/>
      <c r="U97" s="203">
        <f t="shared" si="14"/>
        <v>1707.0399999999997</v>
      </c>
      <c r="V97" s="73">
        <f t="shared" si="15"/>
        <v>376</v>
      </c>
      <c r="W97" s="60"/>
    </row>
    <row r="98" spans="2:23" x14ac:dyDescent="0.25">
      <c r="B98" s="133">
        <v>4.54</v>
      </c>
      <c r="C98" s="15"/>
      <c r="D98" s="227">
        <f t="shared" si="0"/>
        <v>0</v>
      </c>
      <c r="E98" s="956"/>
      <c r="F98" s="227">
        <f t="shared" si="10"/>
        <v>0</v>
      </c>
      <c r="G98" s="935"/>
      <c r="H98" s="936"/>
      <c r="I98" s="203">
        <f t="shared" si="12"/>
        <v>-3.730349362740526E-13</v>
      </c>
      <c r="J98" s="73">
        <f t="shared" si="13"/>
        <v>0</v>
      </c>
      <c r="K98" s="60"/>
      <c r="N98" s="133">
        <v>4.54</v>
      </c>
      <c r="O98" s="15"/>
      <c r="P98" s="227">
        <f t="shared" si="2"/>
        <v>0</v>
      </c>
      <c r="Q98" s="956"/>
      <c r="R98" s="227">
        <f t="shared" si="11"/>
        <v>0</v>
      </c>
      <c r="S98" s="935"/>
      <c r="T98" s="936"/>
      <c r="U98" s="203">
        <f t="shared" si="14"/>
        <v>1707.0399999999997</v>
      </c>
      <c r="V98" s="73">
        <f t="shared" si="15"/>
        <v>376</v>
      </c>
      <c r="W98" s="60"/>
    </row>
    <row r="99" spans="2:23" x14ac:dyDescent="0.25">
      <c r="B99" s="133">
        <v>4.54</v>
      </c>
      <c r="C99" s="15"/>
      <c r="D99" s="227">
        <f t="shared" si="0"/>
        <v>0</v>
      </c>
      <c r="E99" s="956"/>
      <c r="F99" s="227">
        <f t="shared" si="10"/>
        <v>0</v>
      </c>
      <c r="G99" s="935"/>
      <c r="H99" s="936"/>
      <c r="I99" s="203">
        <f t="shared" si="12"/>
        <v>-3.730349362740526E-13</v>
      </c>
      <c r="J99" s="73">
        <f t="shared" si="13"/>
        <v>0</v>
      </c>
      <c r="K99" s="60"/>
      <c r="N99" s="133">
        <v>4.54</v>
      </c>
      <c r="O99" s="15"/>
      <c r="P99" s="227">
        <f t="shared" si="2"/>
        <v>0</v>
      </c>
      <c r="Q99" s="956"/>
      <c r="R99" s="227">
        <f t="shared" si="11"/>
        <v>0</v>
      </c>
      <c r="S99" s="935"/>
      <c r="T99" s="936"/>
      <c r="U99" s="203">
        <f t="shared" si="14"/>
        <v>1707.0399999999997</v>
      </c>
      <c r="V99" s="73">
        <f t="shared" si="15"/>
        <v>376</v>
      </c>
      <c r="W99" s="60"/>
    </row>
    <row r="100" spans="2:23" x14ac:dyDescent="0.25">
      <c r="B100" s="133">
        <v>4.54</v>
      </c>
      <c r="C100" s="15"/>
      <c r="D100" s="227">
        <f t="shared" si="0"/>
        <v>0</v>
      </c>
      <c r="E100" s="956"/>
      <c r="F100" s="227">
        <f t="shared" si="10"/>
        <v>0</v>
      </c>
      <c r="G100" s="935"/>
      <c r="H100" s="936"/>
      <c r="I100" s="203">
        <f t="shared" si="12"/>
        <v>-3.730349362740526E-13</v>
      </c>
      <c r="J100" s="73">
        <f t="shared" si="13"/>
        <v>0</v>
      </c>
      <c r="K100" s="60"/>
      <c r="N100" s="133">
        <v>4.54</v>
      </c>
      <c r="O100" s="15"/>
      <c r="P100" s="227">
        <f t="shared" si="2"/>
        <v>0</v>
      </c>
      <c r="Q100" s="956"/>
      <c r="R100" s="227">
        <f t="shared" si="11"/>
        <v>0</v>
      </c>
      <c r="S100" s="935"/>
      <c r="T100" s="936"/>
      <c r="U100" s="203">
        <f t="shared" si="14"/>
        <v>1707.0399999999997</v>
      </c>
      <c r="V100" s="73">
        <f t="shared" si="15"/>
        <v>376</v>
      </c>
      <c r="W100" s="60"/>
    </row>
    <row r="101" spans="2:23" x14ac:dyDescent="0.25">
      <c r="B101" s="133">
        <v>4.54</v>
      </c>
      <c r="C101" s="15"/>
      <c r="D101" s="227">
        <f t="shared" si="0"/>
        <v>0</v>
      </c>
      <c r="E101" s="956"/>
      <c r="F101" s="227">
        <f t="shared" si="10"/>
        <v>0</v>
      </c>
      <c r="G101" s="935"/>
      <c r="H101" s="936"/>
      <c r="I101" s="203">
        <f t="shared" si="12"/>
        <v>-3.730349362740526E-13</v>
      </c>
      <c r="J101" s="73">
        <f t="shared" si="13"/>
        <v>0</v>
      </c>
      <c r="K101" s="60"/>
      <c r="N101" s="133">
        <v>4.54</v>
      </c>
      <c r="O101" s="15"/>
      <c r="P101" s="227">
        <f t="shared" si="2"/>
        <v>0</v>
      </c>
      <c r="Q101" s="956"/>
      <c r="R101" s="227">
        <f t="shared" si="11"/>
        <v>0</v>
      </c>
      <c r="S101" s="935"/>
      <c r="T101" s="936"/>
      <c r="U101" s="203">
        <f t="shared" si="14"/>
        <v>1707.0399999999997</v>
      </c>
      <c r="V101" s="73">
        <f t="shared" si="15"/>
        <v>376</v>
      </c>
      <c r="W101" s="60"/>
    </row>
    <row r="102" spans="2:23" x14ac:dyDescent="0.25">
      <c r="B102" s="133">
        <v>4.54</v>
      </c>
      <c r="C102" s="15"/>
      <c r="D102" s="227">
        <f t="shared" si="0"/>
        <v>0</v>
      </c>
      <c r="E102" s="956"/>
      <c r="F102" s="227">
        <f t="shared" si="10"/>
        <v>0</v>
      </c>
      <c r="G102" s="935"/>
      <c r="H102" s="936"/>
      <c r="I102" s="203">
        <f t="shared" si="12"/>
        <v>-3.730349362740526E-13</v>
      </c>
      <c r="J102" s="73">
        <f t="shared" si="13"/>
        <v>0</v>
      </c>
      <c r="K102" s="60"/>
      <c r="N102" s="133">
        <v>4.54</v>
      </c>
      <c r="O102" s="15"/>
      <c r="P102" s="227">
        <f t="shared" si="2"/>
        <v>0</v>
      </c>
      <c r="Q102" s="956"/>
      <c r="R102" s="227">
        <f t="shared" si="11"/>
        <v>0</v>
      </c>
      <c r="S102" s="935"/>
      <c r="T102" s="936"/>
      <c r="U102" s="203">
        <f t="shared" si="14"/>
        <v>1707.0399999999997</v>
      </c>
      <c r="V102" s="73">
        <f t="shared" si="15"/>
        <v>376</v>
      </c>
      <c r="W102" s="60"/>
    </row>
    <row r="103" spans="2:23" x14ac:dyDescent="0.25">
      <c r="B103" s="133">
        <v>4.54</v>
      </c>
      <c r="C103" s="15"/>
      <c r="D103" s="227">
        <f t="shared" si="0"/>
        <v>0</v>
      </c>
      <c r="E103" s="956"/>
      <c r="F103" s="227">
        <f t="shared" si="10"/>
        <v>0</v>
      </c>
      <c r="G103" s="935"/>
      <c r="H103" s="936"/>
      <c r="I103" s="203">
        <f t="shared" si="12"/>
        <v>-3.730349362740526E-13</v>
      </c>
      <c r="J103" s="73">
        <f t="shared" si="13"/>
        <v>0</v>
      </c>
      <c r="K103" s="60"/>
      <c r="N103" s="133">
        <v>4.54</v>
      </c>
      <c r="O103" s="15"/>
      <c r="P103" s="227">
        <f t="shared" si="2"/>
        <v>0</v>
      </c>
      <c r="Q103" s="956"/>
      <c r="R103" s="227">
        <f t="shared" si="11"/>
        <v>0</v>
      </c>
      <c r="S103" s="935"/>
      <c r="T103" s="936"/>
      <c r="U103" s="203">
        <f t="shared" si="14"/>
        <v>1707.0399999999997</v>
      </c>
      <c r="V103" s="73">
        <f t="shared" si="15"/>
        <v>376</v>
      </c>
      <c r="W103" s="60"/>
    </row>
    <row r="104" spans="2:23" x14ac:dyDescent="0.25">
      <c r="B104" s="133">
        <v>4.54</v>
      </c>
      <c r="C104" s="15"/>
      <c r="D104" s="227">
        <f t="shared" si="0"/>
        <v>0</v>
      </c>
      <c r="E104" s="956"/>
      <c r="F104" s="227">
        <f t="shared" si="10"/>
        <v>0</v>
      </c>
      <c r="G104" s="935"/>
      <c r="H104" s="936"/>
      <c r="I104" s="203">
        <f t="shared" si="12"/>
        <v>-3.730349362740526E-13</v>
      </c>
      <c r="J104" s="73">
        <f t="shared" si="13"/>
        <v>0</v>
      </c>
      <c r="K104" s="60"/>
      <c r="N104" s="133">
        <v>4.54</v>
      </c>
      <c r="O104" s="15"/>
      <c r="P104" s="227">
        <f t="shared" si="2"/>
        <v>0</v>
      </c>
      <c r="Q104" s="956"/>
      <c r="R104" s="227">
        <f t="shared" si="11"/>
        <v>0</v>
      </c>
      <c r="S104" s="935"/>
      <c r="T104" s="936"/>
      <c r="U104" s="203">
        <f t="shared" si="14"/>
        <v>1707.0399999999997</v>
      </c>
      <c r="V104" s="73">
        <f t="shared" si="15"/>
        <v>376</v>
      </c>
      <c r="W104" s="60"/>
    </row>
    <row r="105" spans="2:23" x14ac:dyDescent="0.25">
      <c r="B105" s="133">
        <v>4.54</v>
      </c>
      <c r="C105" s="15"/>
      <c r="D105" s="227">
        <f t="shared" si="0"/>
        <v>0</v>
      </c>
      <c r="E105" s="956"/>
      <c r="F105" s="227">
        <f t="shared" si="10"/>
        <v>0</v>
      </c>
      <c r="G105" s="935"/>
      <c r="H105" s="936"/>
      <c r="I105" s="203">
        <f t="shared" si="12"/>
        <v>-3.730349362740526E-13</v>
      </c>
      <c r="J105" s="73">
        <f t="shared" si="13"/>
        <v>0</v>
      </c>
      <c r="K105" s="60"/>
      <c r="N105" s="133">
        <v>4.54</v>
      </c>
      <c r="O105" s="15"/>
      <c r="P105" s="227">
        <f t="shared" si="2"/>
        <v>0</v>
      </c>
      <c r="Q105" s="956"/>
      <c r="R105" s="227">
        <f t="shared" si="11"/>
        <v>0</v>
      </c>
      <c r="S105" s="935"/>
      <c r="T105" s="936"/>
      <c r="U105" s="203">
        <f t="shared" si="14"/>
        <v>1707.0399999999997</v>
      </c>
      <c r="V105" s="73">
        <f t="shared" si="15"/>
        <v>376</v>
      </c>
      <c r="W105" s="60"/>
    </row>
    <row r="106" spans="2:23" x14ac:dyDescent="0.25">
      <c r="B106" s="133">
        <v>4.54</v>
      </c>
      <c r="C106" s="15"/>
      <c r="D106" s="227">
        <f t="shared" si="0"/>
        <v>0</v>
      </c>
      <c r="E106" s="956"/>
      <c r="F106" s="227">
        <f t="shared" si="10"/>
        <v>0</v>
      </c>
      <c r="G106" s="935"/>
      <c r="H106" s="936"/>
      <c r="I106" s="203">
        <f t="shared" si="12"/>
        <v>-3.730349362740526E-13</v>
      </c>
      <c r="J106" s="73">
        <f t="shared" si="13"/>
        <v>0</v>
      </c>
      <c r="K106" s="60"/>
      <c r="N106" s="133">
        <v>4.54</v>
      </c>
      <c r="O106" s="15"/>
      <c r="P106" s="227">
        <f t="shared" si="2"/>
        <v>0</v>
      </c>
      <c r="Q106" s="956"/>
      <c r="R106" s="227">
        <f t="shared" si="11"/>
        <v>0</v>
      </c>
      <c r="S106" s="935"/>
      <c r="T106" s="936"/>
      <c r="U106" s="203">
        <f t="shared" si="14"/>
        <v>1707.0399999999997</v>
      </c>
      <c r="V106" s="73">
        <f t="shared" si="15"/>
        <v>376</v>
      </c>
      <c r="W106" s="60"/>
    </row>
    <row r="107" spans="2:23" x14ac:dyDescent="0.25">
      <c r="B107" s="133">
        <v>4.54</v>
      </c>
      <c r="C107" s="15"/>
      <c r="D107" s="227">
        <f t="shared" si="0"/>
        <v>0</v>
      </c>
      <c r="E107" s="956"/>
      <c r="F107" s="227">
        <f t="shared" si="10"/>
        <v>0</v>
      </c>
      <c r="G107" s="935"/>
      <c r="H107" s="936"/>
      <c r="I107" s="203">
        <f t="shared" si="12"/>
        <v>-3.730349362740526E-13</v>
      </c>
      <c r="J107" s="73">
        <f>J83-C107</f>
        <v>0</v>
      </c>
      <c r="K107" s="60">
        <f t="shared" si="4"/>
        <v>0</v>
      </c>
      <c r="N107" s="133">
        <v>4.54</v>
      </c>
      <c r="O107" s="15"/>
      <c r="P107" s="227">
        <f t="shared" si="2"/>
        <v>0</v>
      </c>
      <c r="Q107" s="956"/>
      <c r="R107" s="227">
        <f t="shared" si="11"/>
        <v>0</v>
      </c>
      <c r="S107" s="935"/>
      <c r="T107" s="936"/>
      <c r="U107" s="203">
        <f t="shared" si="14"/>
        <v>1707.0399999999997</v>
      </c>
      <c r="V107" s="73">
        <f>V83-O107</f>
        <v>376</v>
      </c>
      <c r="W107" s="60">
        <f t="shared" ref="W107" si="16">T107*R107</f>
        <v>0</v>
      </c>
    </row>
    <row r="108" spans="2:23" ht="15.75" thickBot="1" x14ac:dyDescent="0.3">
      <c r="B108" s="133">
        <v>4.54</v>
      </c>
      <c r="C108" s="37"/>
      <c r="D108" s="937">
        <f t="shared" si="0"/>
        <v>0</v>
      </c>
      <c r="E108" s="210"/>
      <c r="F108" s="155">
        <f t="shared" si="10"/>
        <v>0</v>
      </c>
      <c r="G108" s="139"/>
      <c r="H108" s="211"/>
      <c r="I108" s="132"/>
      <c r="J108" s="73"/>
      <c r="N108" s="133">
        <v>4.54</v>
      </c>
      <c r="O108" s="37"/>
      <c r="P108" s="937">
        <f t="shared" si="2"/>
        <v>0</v>
      </c>
      <c r="Q108" s="210"/>
      <c r="R108" s="155">
        <f t="shared" si="11"/>
        <v>0</v>
      </c>
      <c r="S108" s="139"/>
      <c r="T108" s="211"/>
      <c r="U108" s="132"/>
      <c r="V108" s="73"/>
    </row>
    <row r="109" spans="2:23" ht="15.75" thickTop="1" x14ac:dyDescent="0.25">
      <c r="C109" s="15">
        <f>SUM(C9:C108)</f>
        <v>458</v>
      </c>
      <c r="D109" s="6">
        <f>SUM(D9:D108)</f>
        <v>2079.3199999999997</v>
      </c>
      <c r="E109" s="13"/>
      <c r="F109" s="6">
        <f>SUM(F9:F108)</f>
        <v>2079.3199999999997</v>
      </c>
      <c r="G109" s="31"/>
      <c r="H109" s="17"/>
      <c r="I109" s="132"/>
      <c r="J109" s="73"/>
      <c r="O109" s="15">
        <f>SUM(O9:O108)</f>
        <v>181</v>
      </c>
      <c r="P109" s="6">
        <f>SUM(P9:P108)</f>
        <v>821.74</v>
      </c>
      <c r="Q109" s="13"/>
      <c r="R109" s="6">
        <f>SUM(R9:R108)</f>
        <v>821.74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21">
        <f>F4+F5-C109+F6+F7</f>
        <v>0</v>
      </c>
      <c r="E111" s="40"/>
      <c r="F111" s="6"/>
      <c r="G111" s="31"/>
      <c r="H111" s="17"/>
      <c r="I111" s="132"/>
      <c r="J111" s="73"/>
      <c r="O111" s="50" t="s">
        <v>4</v>
      </c>
      <c r="P111" s="221">
        <f>R4+R5-O109+R6+R7</f>
        <v>376</v>
      </c>
      <c r="Q111" s="40"/>
      <c r="R111" s="6"/>
      <c r="S111" s="31"/>
      <c r="T111" s="17"/>
      <c r="U111" s="132"/>
      <c r="V111" s="73"/>
    </row>
    <row r="112" spans="2:23" x14ac:dyDescent="0.25">
      <c r="C112" s="1235" t="s">
        <v>19</v>
      </c>
      <c r="D112" s="1236"/>
      <c r="E112" s="39">
        <f>E4+E5-F109+E6+E7</f>
        <v>4.5474735088646412E-13</v>
      </c>
      <c r="F112" s="6"/>
      <c r="G112" s="6"/>
      <c r="H112" s="17"/>
      <c r="I112" s="132"/>
      <c r="J112" s="73"/>
      <c r="O112" s="1235" t="s">
        <v>19</v>
      </c>
      <c r="P112" s="1236"/>
      <c r="Q112" s="39">
        <f>Q4+Q5-R109+Q6+Q7</f>
        <v>1707.04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6">
    <mergeCell ref="A1:G1"/>
    <mergeCell ref="B5:B6"/>
    <mergeCell ref="C112:D112"/>
    <mergeCell ref="M1:S1"/>
    <mergeCell ref="N5:N6"/>
    <mergeCell ref="O112:P112"/>
  </mergeCells>
  <pageMargins left="0.25" right="0.25" top="0.75" bottom="0.75" header="0.3" footer="0.3"/>
  <pageSetup scale="85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36"/>
  <sheetViews>
    <sheetView workbookViewId="0">
      <selection activeCell="A17" sqref="A17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8" ht="40.5" x14ac:dyDescent="0.55000000000000004">
      <c r="A1" s="1202" t="s">
        <v>325</v>
      </c>
      <c r="B1" s="1202"/>
      <c r="C1" s="1202"/>
      <c r="D1" s="1202"/>
      <c r="E1" s="1202"/>
      <c r="F1" s="1202"/>
      <c r="G1" s="1202"/>
      <c r="H1" s="11">
        <v>1</v>
      </c>
    </row>
    <row r="2" spans="1:8" ht="15.75" thickBot="1" x14ac:dyDescent="0.3"/>
    <row r="3" spans="1:8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8" ht="15.75" thickTop="1" x14ac:dyDescent="0.25">
      <c r="B4" s="12"/>
      <c r="C4" s="128"/>
      <c r="D4" s="154"/>
      <c r="E4" s="5"/>
      <c r="F4" s="73"/>
      <c r="G4" s="73"/>
    </row>
    <row r="5" spans="1:8" x14ac:dyDescent="0.25">
      <c r="A5" s="1214" t="s">
        <v>323</v>
      </c>
      <c r="B5" s="1237" t="s">
        <v>324</v>
      </c>
      <c r="C5" s="212"/>
      <c r="D5" s="154">
        <v>44695</v>
      </c>
      <c r="E5" s="132">
        <v>18534.28</v>
      </c>
      <c r="F5" s="1084">
        <v>21</v>
      </c>
      <c r="G5" s="1080">
        <v>19051.400000000001</v>
      </c>
      <c r="H5" s="138">
        <f>E4+E5-G5+E6+E7</f>
        <v>-517.12000000000262</v>
      </c>
    </row>
    <row r="6" spans="1:8" x14ac:dyDescent="0.25">
      <c r="A6" s="1214"/>
      <c r="B6" s="1237"/>
      <c r="C6" s="212"/>
      <c r="D6" s="154"/>
      <c r="E6" s="105"/>
      <c r="F6" s="1084"/>
      <c r="G6" s="1094"/>
    </row>
    <row r="7" spans="1:8" ht="15.75" customHeight="1" thickBot="1" x14ac:dyDescent="0.3">
      <c r="B7" s="12"/>
      <c r="C7" s="212"/>
      <c r="D7" s="154"/>
      <c r="E7" s="105"/>
      <c r="F7" s="1084"/>
      <c r="G7" s="1094"/>
    </row>
    <row r="8" spans="1:8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</row>
    <row r="9" spans="1:8" ht="15.75" thickTop="1" x14ac:dyDescent="0.25">
      <c r="A9" s="73"/>
      <c r="B9" s="1027"/>
      <c r="C9" s="263">
        <v>1</v>
      </c>
      <c r="D9" s="92">
        <v>898.6</v>
      </c>
      <c r="E9" s="208">
        <v>44697</v>
      </c>
      <c r="F9" s="69">
        <v>898.6</v>
      </c>
      <c r="G9" s="70" t="s">
        <v>511</v>
      </c>
      <c r="H9" s="71">
        <v>38</v>
      </c>
    </row>
    <row r="10" spans="1:8" x14ac:dyDescent="0.25">
      <c r="B10" s="1027"/>
      <c r="C10" s="15">
        <v>2</v>
      </c>
      <c r="D10" s="92">
        <v>897.7</v>
      </c>
      <c r="E10" s="208">
        <v>44697</v>
      </c>
      <c r="F10" s="69">
        <v>897.7</v>
      </c>
      <c r="G10" s="70" t="s">
        <v>511</v>
      </c>
      <c r="H10" s="266">
        <v>38</v>
      </c>
    </row>
    <row r="11" spans="1:8" x14ac:dyDescent="0.25">
      <c r="A11" s="55" t="s">
        <v>32</v>
      </c>
      <c r="B11" s="1027"/>
      <c r="C11" s="263">
        <v>3</v>
      </c>
      <c r="D11" s="92">
        <v>985.7</v>
      </c>
      <c r="E11" s="208">
        <v>44697</v>
      </c>
      <c r="F11" s="69">
        <v>985.7</v>
      </c>
      <c r="G11" s="70" t="s">
        <v>511</v>
      </c>
      <c r="H11" s="71">
        <v>38</v>
      </c>
    </row>
    <row r="12" spans="1:8" x14ac:dyDescent="0.25">
      <c r="A12" s="85"/>
      <c r="B12" s="1027"/>
      <c r="C12" s="15">
        <v>4</v>
      </c>
      <c r="D12" s="92">
        <v>960.3</v>
      </c>
      <c r="E12" s="208">
        <v>44697</v>
      </c>
      <c r="F12" s="69">
        <v>960.3</v>
      </c>
      <c r="G12" s="70" t="s">
        <v>511</v>
      </c>
      <c r="H12" s="71">
        <v>38</v>
      </c>
    </row>
    <row r="13" spans="1:8" x14ac:dyDescent="0.25">
      <c r="B13" s="1027"/>
      <c r="C13" s="263">
        <v>5</v>
      </c>
      <c r="D13" s="92">
        <v>905.8</v>
      </c>
      <c r="E13" s="208">
        <v>44697</v>
      </c>
      <c r="F13" s="69">
        <v>905.8</v>
      </c>
      <c r="G13" s="70" t="s">
        <v>511</v>
      </c>
      <c r="H13" s="71">
        <v>38</v>
      </c>
    </row>
    <row r="14" spans="1:8" x14ac:dyDescent="0.25">
      <c r="A14" s="55" t="s">
        <v>33</v>
      </c>
      <c r="B14" s="1027"/>
      <c r="C14" s="15">
        <v>6</v>
      </c>
      <c r="D14" s="92">
        <v>916.7</v>
      </c>
      <c r="E14" s="470">
        <v>44697</v>
      </c>
      <c r="F14" s="69">
        <v>916.7</v>
      </c>
      <c r="G14" s="265" t="s">
        <v>507</v>
      </c>
      <c r="H14" s="266">
        <v>38</v>
      </c>
    </row>
    <row r="15" spans="1:8" x14ac:dyDescent="0.25">
      <c r="B15" s="1027"/>
      <c r="C15" s="263">
        <v>7</v>
      </c>
      <c r="D15" s="92">
        <v>897.7</v>
      </c>
      <c r="E15" s="208">
        <v>44697</v>
      </c>
      <c r="F15" s="69">
        <v>897.7</v>
      </c>
      <c r="G15" s="70" t="s">
        <v>511</v>
      </c>
      <c r="H15" s="266">
        <v>38</v>
      </c>
    </row>
    <row r="16" spans="1:8" x14ac:dyDescent="0.25">
      <c r="B16" s="1027"/>
      <c r="C16" s="15">
        <v>8</v>
      </c>
      <c r="D16" s="92">
        <v>932.1</v>
      </c>
      <c r="E16" s="208">
        <v>44698</v>
      </c>
      <c r="F16" s="69">
        <v>932.1</v>
      </c>
      <c r="G16" s="70" t="s">
        <v>514</v>
      </c>
      <c r="H16" s="266">
        <v>38</v>
      </c>
    </row>
    <row r="17" spans="2:8" x14ac:dyDescent="0.25">
      <c r="B17" s="1027"/>
      <c r="C17" s="263">
        <v>9</v>
      </c>
      <c r="D17" s="92">
        <v>925.8</v>
      </c>
      <c r="E17" s="208">
        <v>44697</v>
      </c>
      <c r="F17" s="69">
        <v>925.8</v>
      </c>
      <c r="G17" s="70" t="s">
        <v>511</v>
      </c>
      <c r="H17" s="266">
        <v>38</v>
      </c>
    </row>
    <row r="18" spans="2:8" x14ac:dyDescent="0.25">
      <c r="B18" s="1027"/>
      <c r="C18" s="15">
        <v>10</v>
      </c>
      <c r="D18" s="92">
        <v>936.7</v>
      </c>
      <c r="E18" s="208">
        <v>44697</v>
      </c>
      <c r="F18" s="69">
        <v>936.7</v>
      </c>
      <c r="G18" s="70" t="s">
        <v>507</v>
      </c>
      <c r="H18" s="266">
        <v>38</v>
      </c>
    </row>
    <row r="19" spans="2:8" x14ac:dyDescent="0.25">
      <c r="B19" s="1027"/>
      <c r="C19" s="263">
        <v>11</v>
      </c>
      <c r="D19" s="92">
        <v>838.7</v>
      </c>
      <c r="E19" s="208">
        <v>44697</v>
      </c>
      <c r="F19" s="69">
        <v>838.7</v>
      </c>
      <c r="G19" s="70" t="s">
        <v>511</v>
      </c>
      <c r="H19" s="266">
        <v>38</v>
      </c>
    </row>
    <row r="20" spans="2:8" x14ac:dyDescent="0.25">
      <c r="B20" s="1027"/>
      <c r="C20" s="15">
        <v>12</v>
      </c>
      <c r="D20" s="92">
        <v>892.2</v>
      </c>
      <c r="E20" s="208">
        <v>44697</v>
      </c>
      <c r="F20" s="69">
        <v>892.2</v>
      </c>
      <c r="G20" s="70" t="s">
        <v>507</v>
      </c>
      <c r="H20" s="266">
        <v>38</v>
      </c>
    </row>
    <row r="21" spans="2:8" x14ac:dyDescent="0.25">
      <c r="B21" s="1027"/>
      <c r="C21" s="263">
        <v>13</v>
      </c>
      <c r="D21" s="92">
        <v>894.9</v>
      </c>
      <c r="E21" s="208">
        <v>44697</v>
      </c>
      <c r="F21" s="69">
        <v>894.9</v>
      </c>
      <c r="G21" s="70" t="s">
        <v>507</v>
      </c>
      <c r="H21" s="266">
        <v>38</v>
      </c>
    </row>
    <row r="22" spans="2:8" x14ac:dyDescent="0.25">
      <c r="B22" s="1027"/>
      <c r="C22" s="15">
        <v>14</v>
      </c>
      <c r="D22" s="92">
        <v>945.7</v>
      </c>
      <c r="E22" s="208">
        <v>44697</v>
      </c>
      <c r="F22" s="69">
        <v>945.7</v>
      </c>
      <c r="G22" s="70" t="s">
        <v>507</v>
      </c>
      <c r="H22" s="266">
        <v>38</v>
      </c>
    </row>
    <row r="23" spans="2:8" x14ac:dyDescent="0.25">
      <c r="B23" s="1027"/>
      <c r="C23" s="263">
        <v>15</v>
      </c>
      <c r="D23" s="92">
        <v>893.1</v>
      </c>
      <c r="E23" s="208">
        <v>44697</v>
      </c>
      <c r="F23" s="69">
        <v>893.1</v>
      </c>
      <c r="G23" s="70" t="s">
        <v>511</v>
      </c>
      <c r="H23" s="71">
        <v>38</v>
      </c>
    </row>
    <row r="24" spans="2:8" x14ac:dyDescent="0.25">
      <c r="B24" s="1027"/>
      <c r="C24" s="15">
        <v>16</v>
      </c>
      <c r="D24" s="92">
        <v>873.2</v>
      </c>
      <c r="E24" s="208">
        <v>44697</v>
      </c>
      <c r="F24" s="69">
        <v>873.2</v>
      </c>
      <c r="G24" s="70" t="s">
        <v>507</v>
      </c>
      <c r="H24" s="71">
        <v>38</v>
      </c>
    </row>
    <row r="25" spans="2:8" x14ac:dyDescent="0.25">
      <c r="B25" s="1027"/>
      <c r="C25" s="263">
        <v>17</v>
      </c>
      <c r="D25" s="92">
        <v>881.3</v>
      </c>
      <c r="E25" s="208">
        <v>44697</v>
      </c>
      <c r="F25" s="69">
        <v>881.3</v>
      </c>
      <c r="G25" s="70" t="s">
        <v>507</v>
      </c>
      <c r="H25" s="71">
        <v>38</v>
      </c>
    </row>
    <row r="26" spans="2:8" x14ac:dyDescent="0.25">
      <c r="B26" s="1027"/>
      <c r="C26" s="15">
        <v>18</v>
      </c>
      <c r="D26" s="92">
        <v>890.4</v>
      </c>
      <c r="E26" s="208">
        <v>44697</v>
      </c>
      <c r="F26" s="69">
        <v>890.4</v>
      </c>
      <c r="G26" s="70" t="s">
        <v>507</v>
      </c>
      <c r="H26" s="71">
        <v>38</v>
      </c>
    </row>
    <row r="27" spans="2:8" x14ac:dyDescent="0.25">
      <c r="B27" s="1027"/>
      <c r="C27" s="263">
        <v>19</v>
      </c>
      <c r="D27" s="92">
        <v>916.7</v>
      </c>
      <c r="E27" s="208">
        <v>44697</v>
      </c>
      <c r="F27" s="69">
        <v>916.7</v>
      </c>
      <c r="G27" s="70" t="s">
        <v>511</v>
      </c>
      <c r="H27" s="71">
        <v>38</v>
      </c>
    </row>
    <row r="28" spans="2:8" x14ac:dyDescent="0.25">
      <c r="B28" s="1027"/>
      <c r="C28" s="15">
        <v>20</v>
      </c>
      <c r="D28" s="384">
        <v>862.3</v>
      </c>
      <c r="E28" s="208">
        <v>44697</v>
      </c>
      <c r="F28" s="69">
        <v>862.3</v>
      </c>
      <c r="G28" s="70" t="s">
        <v>507</v>
      </c>
      <c r="H28" s="71">
        <v>38</v>
      </c>
    </row>
    <row r="29" spans="2:8" x14ac:dyDescent="0.25">
      <c r="B29" s="1027"/>
      <c r="C29" s="263">
        <v>21</v>
      </c>
      <c r="D29" s="384">
        <v>905.8</v>
      </c>
      <c r="E29" s="208">
        <v>44697</v>
      </c>
      <c r="F29" s="69">
        <v>905.8</v>
      </c>
      <c r="G29" s="70" t="s">
        <v>507</v>
      </c>
      <c r="H29" s="71">
        <v>38</v>
      </c>
    </row>
    <row r="30" spans="2:8" ht="15.75" thickBot="1" x14ac:dyDescent="0.3">
      <c r="B30" s="133"/>
      <c r="C30" s="37"/>
      <c r="D30" s="155">
        <f t="shared" ref="D30" si="0">C30*B30</f>
        <v>0</v>
      </c>
      <c r="E30" s="210"/>
      <c r="F30" s="69">
        <v>0</v>
      </c>
      <c r="G30" s="139"/>
      <c r="H30" s="211"/>
    </row>
    <row r="31" spans="2:8" ht="15.75" thickTop="1" x14ac:dyDescent="0.25">
      <c r="C31" s="15">
        <f>SUM(C9:C30)</f>
        <v>231</v>
      </c>
      <c r="D31" s="6">
        <f>SUM(D9:D30)</f>
        <v>19051.400000000001</v>
      </c>
      <c r="E31" s="13"/>
      <c r="F31" s="6">
        <f>SUM(F9:F30)</f>
        <v>19051.400000000001</v>
      </c>
      <c r="G31" s="31"/>
      <c r="H31" s="17"/>
    </row>
    <row r="32" spans="2:8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21</v>
      </c>
      <c r="E33" s="40"/>
      <c r="F33" s="6"/>
      <c r="G33" s="31"/>
      <c r="H33" s="17"/>
    </row>
    <row r="34" spans="3:8" x14ac:dyDescent="0.25">
      <c r="C34" s="1235" t="s">
        <v>19</v>
      </c>
      <c r="D34" s="1236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C34:D34"/>
    <mergeCell ref="A1:G1"/>
    <mergeCell ref="B5:B6"/>
    <mergeCell ref="A5:A6"/>
  </mergeCells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K1" workbookViewId="0">
      <selection activeCell="R28" sqref="R28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198" t="s">
        <v>227</v>
      </c>
      <c r="B1" s="1198"/>
      <c r="C1" s="1198"/>
      <c r="D1" s="1198"/>
      <c r="E1" s="1198"/>
      <c r="F1" s="1198"/>
      <c r="G1" s="1198"/>
      <c r="H1" s="11">
        <v>1</v>
      </c>
      <c r="K1" s="1198" t="str">
        <f>A1</f>
        <v>INVENTARIO DEL MES DE ABRIL   2022</v>
      </c>
      <c r="L1" s="1198"/>
      <c r="M1" s="1198"/>
      <c r="N1" s="1198"/>
      <c r="O1" s="1198"/>
      <c r="P1" s="1198"/>
      <c r="Q1" s="1198"/>
      <c r="R1" s="11">
        <v>2</v>
      </c>
      <c r="U1" s="1202" t="s">
        <v>240</v>
      </c>
      <c r="V1" s="1202"/>
      <c r="W1" s="1202"/>
      <c r="X1" s="1202"/>
      <c r="Y1" s="1202"/>
      <c r="Z1" s="1202"/>
      <c r="AA1" s="1202"/>
      <c r="AB1" s="11">
        <v>3</v>
      </c>
      <c r="AE1" s="1202" t="str">
        <f>U1</f>
        <v>ENTRADA DEL MES DE MAYO 2022</v>
      </c>
      <c r="AF1" s="1202"/>
      <c r="AG1" s="1202"/>
      <c r="AH1" s="1202"/>
      <c r="AI1" s="1202"/>
      <c r="AJ1" s="1202"/>
      <c r="AK1" s="1202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6.5" thickTop="1" thickBot="1" x14ac:dyDescent="0.3">
      <c r="A4" s="12"/>
      <c r="B4" s="12"/>
      <c r="C4" s="612">
        <v>85</v>
      </c>
      <c r="D4" s="248">
        <v>44658</v>
      </c>
      <c r="E4" s="259">
        <v>100</v>
      </c>
      <c r="F4" s="253">
        <v>10</v>
      </c>
      <c r="G4" s="160"/>
      <c r="H4" s="160"/>
      <c r="K4" s="12"/>
      <c r="L4" s="12"/>
      <c r="M4" s="612">
        <v>105</v>
      </c>
      <c r="N4" s="248">
        <v>44658</v>
      </c>
      <c r="O4" s="259">
        <v>160</v>
      </c>
      <c r="P4" s="253">
        <v>16</v>
      </c>
      <c r="Q4" s="160"/>
      <c r="R4" s="160"/>
      <c r="U4" s="12"/>
      <c r="V4" s="12"/>
      <c r="W4" s="612"/>
      <c r="X4" s="248"/>
      <c r="Y4" s="259"/>
      <c r="Z4" s="253"/>
      <c r="AA4" s="160"/>
      <c r="AB4" s="160"/>
      <c r="AE4" s="12"/>
      <c r="AF4" s="12"/>
      <c r="AG4" s="612">
        <v>105</v>
      </c>
      <c r="AH4" s="248">
        <v>44664</v>
      </c>
      <c r="AI4" s="259">
        <v>100</v>
      </c>
      <c r="AJ4" s="253">
        <v>10</v>
      </c>
      <c r="AK4" s="160"/>
      <c r="AL4" s="160"/>
    </row>
    <row r="5" spans="1:39" x14ac:dyDescent="0.25">
      <c r="A5" s="250" t="s">
        <v>66</v>
      </c>
      <c r="B5" s="1238" t="s">
        <v>72</v>
      </c>
      <c r="C5" s="566">
        <v>85</v>
      </c>
      <c r="D5" s="248">
        <v>44665</v>
      </c>
      <c r="E5" s="267">
        <v>100</v>
      </c>
      <c r="F5" s="253">
        <v>10</v>
      </c>
      <c r="G5" s="260"/>
      <c r="K5" s="250" t="s">
        <v>66</v>
      </c>
      <c r="L5" s="1227" t="s">
        <v>71</v>
      </c>
      <c r="M5" s="566">
        <v>105</v>
      </c>
      <c r="N5" s="248">
        <v>44664</v>
      </c>
      <c r="O5" s="267">
        <v>100</v>
      </c>
      <c r="P5" s="253">
        <v>10</v>
      </c>
      <c r="Q5" s="260"/>
      <c r="U5" s="250" t="s">
        <v>66</v>
      </c>
      <c r="V5" s="1238" t="s">
        <v>72</v>
      </c>
      <c r="W5" s="566">
        <v>85</v>
      </c>
      <c r="X5" s="248">
        <v>44690</v>
      </c>
      <c r="Y5" s="267">
        <v>100</v>
      </c>
      <c r="Z5" s="253">
        <v>10</v>
      </c>
      <c r="AA5" s="260"/>
      <c r="AE5" s="250" t="s">
        <v>66</v>
      </c>
      <c r="AF5" s="1239" t="s">
        <v>71</v>
      </c>
      <c r="AG5" s="566"/>
      <c r="AH5" s="248"/>
      <c r="AI5" s="267"/>
      <c r="AJ5" s="253"/>
      <c r="AK5" s="260"/>
    </row>
    <row r="6" spans="1:39" ht="22.5" customHeight="1" thickBot="1" x14ac:dyDescent="0.3">
      <c r="A6" s="250"/>
      <c r="B6" s="1238"/>
      <c r="C6" s="12"/>
      <c r="D6" s="12"/>
      <c r="E6" s="987">
        <v>30</v>
      </c>
      <c r="F6" s="145">
        <v>3</v>
      </c>
      <c r="G6" s="262">
        <f>F78</f>
        <v>230</v>
      </c>
      <c r="H6" s="7">
        <f>E6-G6+E7+E5-G5+E4</f>
        <v>0</v>
      </c>
      <c r="K6" s="250"/>
      <c r="L6" s="1228"/>
      <c r="M6" s="566">
        <v>105</v>
      </c>
      <c r="N6" s="248">
        <v>44679</v>
      </c>
      <c r="O6" s="267">
        <v>150</v>
      </c>
      <c r="P6" s="62">
        <v>15</v>
      </c>
      <c r="Q6" s="262">
        <f>P78</f>
        <v>400</v>
      </c>
      <c r="R6" s="7">
        <f>O6-Q6+O7+O5-Q5+O4</f>
        <v>10</v>
      </c>
      <c r="U6" s="250"/>
      <c r="V6" s="1238"/>
      <c r="W6" s="12"/>
      <c r="X6" s="12"/>
      <c r="Y6" s="987">
        <v>10</v>
      </c>
      <c r="Z6" s="145">
        <v>1</v>
      </c>
      <c r="AA6" s="262">
        <f>Z78</f>
        <v>20</v>
      </c>
      <c r="AB6" s="7">
        <f>Y6-AA6+Y7+Y5-AA5+Y4</f>
        <v>90</v>
      </c>
      <c r="AE6" s="250"/>
      <c r="AF6" s="1240"/>
      <c r="AG6" s="566"/>
      <c r="AH6" s="248"/>
      <c r="AI6" s="267"/>
      <c r="AJ6" s="62"/>
      <c r="AK6" s="262">
        <f>AJ78</f>
        <v>0</v>
      </c>
      <c r="AL6" s="7">
        <f>AI6-AK6+AI7+AI5-AK5+AI4</f>
        <v>100</v>
      </c>
    </row>
    <row r="7" spans="1:39" ht="15.75" thickBot="1" x14ac:dyDescent="0.3">
      <c r="A7" s="240"/>
      <c r="B7" s="272"/>
      <c r="C7" s="273"/>
      <c r="D7" s="274"/>
      <c r="E7" s="259"/>
      <c r="F7" s="253"/>
      <c r="G7" s="240"/>
      <c r="K7" s="240"/>
      <c r="L7" s="272"/>
      <c r="M7" s="273"/>
      <c r="N7" s="274"/>
      <c r="O7" s="259"/>
      <c r="P7" s="253"/>
      <c r="Q7" s="240"/>
      <c r="U7" s="240"/>
      <c r="V7" s="272"/>
      <c r="W7" s="273"/>
      <c r="X7" s="274"/>
      <c r="Y7" s="259"/>
      <c r="Z7" s="253"/>
      <c r="AA7" s="240"/>
      <c r="AE7" s="240"/>
      <c r="AF7" s="272"/>
      <c r="AG7" s="273"/>
      <c r="AH7" s="274"/>
      <c r="AI7" s="259"/>
      <c r="AJ7" s="253"/>
      <c r="AK7" s="240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18</v>
      </c>
      <c r="C9" s="15">
        <v>5</v>
      </c>
      <c r="D9" s="264">
        <v>50</v>
      </c>
      <c r="E9" s="293">
        <v>44664</v>
      </c>
      <c r="F9" s="264">
        <f>D9</f>
        <v>50</v>
      </c>
      <c r="G9" s="265" t="s">
        <v>152</v>
      </c>
      <c r="H9" s="266">
        <v>100</v>
      </c>
      <c r="I9" s="275">
        <f>E6-F9+E5+E7+E4</f>
        <v>180</v>
      </c>
      <c r="K9" s="80" t="s">
        <v>32</v>
      </c>
      <c r="L9" s="83">
        <f>P6-M9+P5+P7+P4</f>
        <v>39</v>
      </c>
      <c r="M9" s="15">
        <v>2</v>
      </c>
      <c r="N9" s="264">
        <v>20</v>
      </c>
      <c r="O9" s="293">
        <v>44663</v>
      </c>
      <c r="P9" s="264">
        <f>N9</f>
        <v>20</v>
      </c>
      <c r="Q9" s="265" t="s">
        <v>151</v>
      </c>
      <c r="R9" s="266">
        <v>115</v>
      </c>
      <c r="S9" s="275">
        <f>O6-P9+O5+O7+O4</f>
        <v>390</v>
      </c>
      <c r="U9" s="80" t="s">
        <v>32</v>
      </c>
      <c r="V9" s="83">
        <f>Z6-W9+Z5+Z7+Z4</f>
        <v>9</v>
      </c>
      <c r="W9" s="15">
        <v>2</v>
      </c>
      <c r="X9" s="264">
        <v>20</v>
      </c>
      <c r="Y9" s="293">
        <v>44692</v>
      </c>
      <c r="Z9" s="264">
        <f>X9</f>
        <v>20</v>
      </c>
      <c r="AA9" s="265" t="s">
        <v>450</v>
      </c>
      <c r="AB9" s="266">
        <v>100</v>
      </c>
      <c r="AC9" s="275">
        <f>Y6-Z9+Y5+Y7+Y4</f>
        <v>90</v>
      </c>
      <c r="AE9" s="80" t="s">
        <v>32</v>
      </c>
      <c r="AF9" s="83">
        <f>AJ6-AG9+AJ5+AJ7+AJ4</f>
        <v>10</v>
      </c>
      <c r="AG9" s="15"/>
      <c r="AH9" s="264"/>
      <c r="AI9" s="293"/>
      <c r="AJ9" s="264">
        <f>AH9</f>
        <v>0</v>
      </c>
      <c r="AK9" s="265"/>
      <c r="AL9" s="266"/>
      <c r="AM9" s="275">
        <f>AI6-AJ9+AI5+AI7+AI4</f>
        <v>100</v>
      </c>
    </row>
    <row r="10" spans="1:39" x14ac:dyDescent="0.25">
      <c r="A10" s="207"/>
      <c r="B10" s="83">
        <f t="shared" ref="B10:B73" si="0">B9-C10</f>
        <v>17</v>
      </c>
      <c r="C10" s="73">
        <v>1</v>
      </c>
      <c r="D10" s="264">
        <v>10</v>
      </c>
      <c r="E10" s="293">
        <v>44664</v>
      </c>
      <c r="F10" s="264">
        <f t="shared" ref="F10:F73" si="1">D10</f>
        <v>10</v>
      </c>
      <c r="G10" s="265" t="s">
        <v>157</v>
      </c>
      <c r="H10" s="266">
        <v>100</v>
      </c>
      <c r="I10" s="275">
        <f t="shared" ref="I10:I73" si="2">I9-F10</f>
        <v>170</v>
      </c>
      <c r="K10" s="207"/>
      <c r="L10" s="83">
        <f t="shared" ref="L10:L73" si="3">L9-M10</f>
        <v>34</v>
      </c>
      <c r="M10" s="73">
        <v>5</v>
      </c>
      <c r="N10" s="264">
        <v>50</v>
      </c>
      <c r="O10" s="293">
        <v>44664</v>
      </c>
      <c r="P10" s="264">
        <f>N10</f>
        <v>50</v>
      </c>
      <c r="Q10" s="265" t="s">
        <v>152</v>
      </c>
      <c r="R10" s="266">
        <v>115</v>
      </c>
      <c r="S10" s="275">
        <f>S9-P10</f>
        <v>340</v>
      </c>
      <c r="U10" s="207"/>
      <c r="V10" s="83">
        <f t="shared" ref="V10:V73" si="4">V9-W10</f>
        <v>9</v>
      </c>
      <c r="W10" s="73"/>
      <c r="X10" s="264"/>
      <c r="Y10" s="293"/>
      <c r="Z10" s="264">
        <f t="shared" ref="Z10:Z73" si="5">X10</f>
        <v>0</v>
      </c>
      <c r="AA10" s="265"/>
      <c r="AB10" s="266"/>
      <c r="AC10" s="275">
        <f t="shared" ref="AC10:AC73" si="6">AC9-Z10</f>
        <v>90</v>
      </c>
      <c r="AE10" s="207"/>
      <c r="AF10" s="83">
        <f t="shared" ref="AF10:AF73" si="7">AF9-AG10</f>
        <v>10</v>
      </c>
      <c r="AG10" s="73"/>
      <c r="AH10" s="264"/>
      <c r="AI10" s="293"/>
      <c r="AJ10" s="264">
        <f>AH10</f>
        <v>0</v>
      </c>
      <c r="AK10" s="265"/>
      <c r="AL10" s="266"/>
      <c r="AM10" s="275">
        <f>AM9-AJ10</f>
        <v>100</v>
      </c>
    </row>
    <row r="11" spans="1:39" x14ac:dyDescent="0.25">
      <c r="A11" s="195"/>
      <c r="B11" s="83">
        <f t="shared" si="0"/>
        <v>15</v>
      </c>
      <c r="C11" s="73">
        <v>2</v>
      </c>
      <c r="D11" s="264">
        <v>20</v>
      </c>
      <c r="E11" s="293">
        <v>44665</v>
      </c>
      <c r="F11" s="264">
        <f t="shared" si="1"/>
        <v>20</v>
      </c>
      <c r="G11" s="265" t="s">
        <v>145</v>
      </c>
      <c r="H11" s="266">
        <v>100</v>
      </c>
      <c r="I11" s="275">
        <f t="shared" si="2"/>
        <v>150</v>
      </c>
      <c r="K11" s="195"/>
      <c r="L11" s="83">
        <f t="shared" si="3"/>
        <v>33</v>
      </c>
      <c r="M11" s="73">
        <v>1</v>
      </c>
      <c r="N11" s="264">
        <v>10</v>
      </c>
      <c r="O11" s="293">
        <v>44664</v>
      </c>
      <c r="P11" s="264">
        <f t="shared" ref="P11:P74" si="8">N11</f>
        <v>10</v>
      </c>
      <c r="Q11" s="265" t="s">
        <v>155</v>
      </c>
      <c r="R11" s="266">
        <v>115</v>
      </c>
      <c r="S11" s="275">
        <f t="shared" ref="S11:S74" si="9">S10-P11</f>
        <v>330</v>
      </c>
      <c r="U11" s="195"/>
      <c r="V11" s="83">
        <f t="shared" si="4"/>
        <v>9</v>
      </c>
      <c r="W11" s="73"/>
      <c r="X11" s="264"/>
      <c r="Y11" s="293"/>
      <c r="Z11" s="264">
        <f t="shared" si="5"/>
        <v>0</v>
      </c>
      <c r="AA11" s="265"/>
      <c r="AB11" s="266"/>
      <c r="AC11" s="275">
        <f t="shared" si="6"/>
        <v>90</v>
      </c>
      <c r="AE11" s="195"/>
      <c r="AF11" s="83">
        <f t="shared" si="7"/>
        <v>10</v>
      </c>
      <c r="AG11" s="73"/>
      <c r="AH11" s="264"/>
      <c r="AI11" s="293"/>
      <c r="AJ11" s="264">
        <f t="shared" ref="AJ11:AJ74" si="10">AH11</f>
        <v>0</v>
      </c>
      <c r="AK11" s="265"/>
      <c r="AL11" s="266"/>
      <c r="AM11" s="275">
        <f t="shared" ref="AM11:AM74" si="11">AM10-AJ11</f>
        <v>100</v>
      </c>
    </row>
    <row r="12" spans="1:39" x14ac:dyDescent="0.25">
      <c r="A12" s="195"/>
      <c r="B12" s="83">
        <f t="shared" si="0"/>
        <v>13</v>
      </c>
      <c r="C12" s="73">
        <v>2</v>
      </c>
      <c r="D12" s="264">
        <v>20</v>
      </c>
      <c r="E12" s="293">
        <v>44665</v>
      </c>
      <c r="F12" s="264">
        <f t="shared" si="1"/>
        <v>20</v>
      </c>
      <c r="G12" s="265" t="s">
        <v>145</v>
      </c>
      <c r="H12" s="266">
        <v>100</v>
      </c>
      <c r="I12" s="275">
        <f t="shared" si="2"/>
        <v>130</v>
      </c>
      <c r="K12" s="195"/>
      <c r="L12" s="83">
        <f t="shared" si="3"/>
        <v>31</v>
      </c>
      <c r="M12" s="73">
        <v>2</v>
      </c>
      <c r="N12" s="264">
        <v>20</v>
      </c>
      <c r="O12" s="293">
        <v>44665</v>
      </c>
      <c r="P12" s="264">
        <f t="shared" si="8"/>
        <v>20</v>
      </c>
      <c r="Q12" s="265" t="s">
        <v>145</v>
      </c>
      <c r="R12" s="266">
        <v>115</v>
      </c>
      <c r="S12" s="275">
        <f t="shared" si="9"/>
        <v>310</v>
      </c>
      <c r="U12" s="195"/>
      <c r="V12" s="83">
        <f t="shared" si="4"/>
        <v>9</v>
      </c>
      <c r="W12" s="73"/>
      <c r="X12" s="264"/>
      <c r="Y12" s="293"/>
      <c r="Z12" s="264">
        <f t="shared" si="5"/>
        <v>0</v>
      </c>
      <c r="AA12" s="265"/>
      <c r="AB12" s="266"/>
      <c r="AC12" s="275">
        <f t="shared" si="6"/>
        <v>90</v>
      </c>
      <c r="AE12" s="195"/>
      <c r="AF12" s="83">
        <f t="shared" si="7"/>
        <v>10</v>
      </c>
      <c r="AG12" s="73"/>
      <c r="AH12" s="264"/>
      <c r="AI12" s="293"/>
      <c r="AJ12" s="264">
        <f t="shared" si="10"/>
        <v>0</v>
      </c>
      <c r="AK12" s="265"/>
      <c r="AL12" s="266"/>
      <c r="AM12" s="275">
        <f t="shared" si="11"/>
        <v>100</v>
      </c>
    </row>
    <row r="13" spans="1:39" x14ac:dyDescent="0.25">
      <c r="A13" s="82" t="s">
        <v>33</v>
      </c>
      <c r="B13" s="83">
        <f t="shared" si="0"/>
        <v>11</v>
      </c>
      <c r="C13" s="73">
        <v>2</v>
      </c>
      <c r="D13" s="264">
        <v>20</v>
      </c>
      <c r="E13" s="293">
        <v>44665</v>
      </c>
      <c r="F13" s="264">
        <f t="shared" si="1"/>
        <v>20</v>
      </c>
      <c r="G13" s="265" t="s">
        <v>165</v>
      </c>
      <c r="H13" s="266">
        <v>100</v>
      </c>
      <c r="I13" s="275">
        <f t="shared" si="2"/>
        <v>110</v>
      </c>
      <c r="K13" s="82" t="s">
        <v>33</v>
      </c>
      <c r="L13" s="83">
        <f t="shared" si="3"/>
        <v>29</v>
      </c>
      <c r="M13" s="73">
        <v>2</v>
      </c>
      <c r="N13" s="264">
        <v>20</v>
      </c>
      <c r="O13" s="293">
        <v>44665</v>
      </c>
      <c r="P13" s="264">
        <f t="shared" si="8"/>
        <v>20</v>
      </c>
      <c r="Q13" s="265" t="s">
        <v>145</v>
      </c>
      <c r="R13" s="266">
        <v>115</v>
      </c>
      <c r="S13" s="275">
        <f t="shared" si="9"/>
        <v>290</v>
      </c>
      <c r="U13" s="82" t="s">
        <v>33</v>
      </c>
      <c r="V13" s="83">
        <f t="shared" si="4"/>
        <v>9</v>
      </c>
      <c r="W13" s="73"/>
      <c r="X13" s="264"/>
      <c r="Y13" s="293"/>
      <c r="Z13" s="264">
        <f t="shared" si="5"/>
        <v>0</v>
      </c>
      <c r="AA13" s="265"/>
      <c r="AB13" s="266"/>
      <c r="AC13" s="275">
        <f t="shared" si="6"/>
        <v>90</v>
      </c>
      <c r="AE13" s="82" t="s">
        <v>33</v>
      </c>
      <c r="AF13" s="83">
        <f t="shared" si="7"/>
        <v>10</v>
      </c>
      <c r="AG13" s="73"/>
      <c r="AH13" s="264"/>
      <c r="AI13" s="293"/>
      <c r="AJ13" s="264">
        <f t="shared" si="10"/>
        <v>0</v>
      </c>
      <c r="AK13" s="265"/>
      <c r="AL13" s="266"/>
      <c r="AM13" s="275">
        <f t="shared" si="11"/>
        <v>100</v>
      </c>
    </row>
    <row r="14" spans="1:39" x14ac:dyDescent="0.25">
      <c r="A14" s="73"/>
      <c r="B14" s="83">
        <f t="shared" si="0"/>
        <v>10</v>
      </c>
      <c r="C14" s="73">
        <v>1</v>
      </c>
      <c r="D14" s="264">
        <v>10</v>
      </c>
      <c r="E14" s="293">
        <v>44672</v>
      </c>
      <c r="F14" s="264">
        <f t="shared" si="1"/>
        <v>10</v>
      </c>
      <c r="G14" s="265" t="s">
        <v>177</v>
      </c>
      <c r="H14" s="266">
        <v>100</v>
      </c>
      <c r="I14" s="275">
        <f t="shared" si="2"/>
        <v>100</v>
      </c>
      <c r="K14" s="73"/>
      <c r="L14" s="83">
        <f t="shared" si="3"/>
        <v>27</v>
      </c>
      <c r="M14" s="73">
        <v>2</v>
      </c>
      <c r="N14" s="264">
        <v>20</v>
      </c>
      <c r="O14" s="293">
        <v>44665</v>
      </c>
      <c r="P14" s="264">
        <f t="shared" si="8"/>
        <v>20</v>
      </c>
      <c r="Q14" s="265" t="s">
        <v>165</v>
      </c>
      <c r="R14" s="266">
        <v>115</v>
      </c>
      <c r="S14" s="275">
        <f t="shared" si="9"/>
        <v>270</v>
      </c>
      <c r="U14" s="73"/>
      <c r="V14" s="83">
        <f t="shared" si="4"/>
        <v>9</v>
      </c>
      <c r="W14" s="73"/>
      <c r="X14" s="264"/>
      <c r="Y14" s="293"/>
      <c r="Z14" s="264">
        <f t="shared" si="5"/>
        <v>0</v>
      </c>
      <c r="AA14" s="265"/>
      <c r="AB14" s="266"/>
      <c r="AC14" s="275">
        <f t="shared" si="6"/>
        <v>90</v>
      </c>
      <c r="AE14" s="73"/>
      <c r="AF14" s="83">
        <f t="shared" si="7"/>
        <v>10</v>
      </c>
      <c r="AG14" s="73"/>
      <c r="AH14" s="264"/>
      <c r="AI14" s="293"/>
      <c r="AJ14" s="264">
        <f t="shared" si="10"/>
        <v>0</v>
      </c>
      <c r="AK14" s="265"/>
      <c r="AL14" s="266"/>
      <c r="AM14" s="275">
        <f t="shared" si="11"/>
        <v>100</v>
      </c>
    </row>
    <row r="15" spans="1:39" x14ac:dyDescent="0.25">
      <c r="A15" s="73"/>
      <c r="B15" s="83">
        <f t="shared" si="0"/>
        <v>9</v>
      </c>
      <c r="C15" s="73">
        <v>1</v>
      </c>
      <c r="D15" s="264">
        <v>10</v>
      </c>
      <c r="E15" s="293">
        <v>44679</v>
      </c>
      <c r="F15" s="264">
        <f t="shared" si="1"/>
        <v>10</v>
      </c>
      <c r="G15" s="265" t="s">
        <v>202</v>
      </c>
      <c r="H15" s="266">
        <v>100</v>
      </c>
      <c r="I15" s="275">
        <f t="shared" si="2"/>
        <v>90</v>
      </c>
      <c r="K15" s="73" t="s">
        <v>22</v>
      </c>
      <c r="L15" s="83">
        <f t="shared" si="3"/>
        <v>26</v>
      </c>
      <c r="M15" s="73">
        <v>1</v>
      </c>
      <c r="N15" s="264">
        <v>10</v>
      </c>
      <c r="O15" s="293">
        <v>44667</v>
      </c>
      <c r="P15" s="264">
        <f t="shared" si="8"/>
        <v>10</v>
      </c>
      <c r="Q15" s="265" t="s">
        <v>166</v>
      </c>
      <c r="R15" s="266">
        <v>115</v>
      </c>
      <c r="S15" s="275">
        <f t="shared" si="9"/>
        <v>260</v>
      </c>
      <c r="U15" s="73"/>
      <c r="V15" s="83">
        <f t="shared" si="4"/>
        <v>9</v>
      </c>
      <c r="W15" s="73"/>
      <c r="X15" s="264"/>
      <c r="Y15" s="293"/>
      <c r="Z15" s="264">
        <f t="shared" si="5"/>
        <v>0</v>
      </c>
      <c r="AA15" s="265"/>
      <c r="AB15" s="266"/>
      <c r="AC15" s="275">
        <f t="shared" si="6"/>
        <v>90</v>
      </c>
      <c r="AE15" s="73" t="s">
        <v>22</v>
      </c>
      <c r="AF15" s="83">
        <f t="shared" si="7"/>
        <v>10</v>
      </c>
      <c r="AG15" s="73"/>
      <c r="AH15" s="264"/>
      <c r="AI15" s="293"/>
      <c r="AJ15" s="264">
        <f t="shared" si="10"/>
        <v>0</v>
      </c>
      <c r="AK15" s="265"/>
      <c r="AL15" s="266"/>
      <c r="AM15" s="275">
        <f t="shared" si="11"/>
        <v>100</v>
      </c>
    </row>
    <row r="16" spans="1:39" x14ac:dyDescent="0.25">
      <c r="B16" s="83">
        <f t="shared" si="0"/>
        <v>7</v>
      </c>
      <c r="C16" s="73">
        <v>2</v>
      </c>
      <c r="D16" s="264">
        <v>20</v>
      </c>
      <c r="E16" s="293">
        <v>44681</v>
      </c>
      <c r="F16" s="264">
        <f t="shared" si="1"/>
        <v>20</v>
      </c>
      <c r="G16" s="265" t="s">
        <v>210</v>
      </c>
      <c r="H16" s="266">
        <v>100</v>
      </c>
      <c r="I16" s="275">
        <f t="shared" si="2"/>
        <v>70</v>
      </c>
      <c r="L16" s="83">
        <f t="shared" si="3"/>
        <v>24</v>
      </c>
      <c r="M16" s="73">
        <v>2</v>
      </c>
      <c r="N16" s="264">
        <v>20</v>
      </c>
      <c r="O16" s="293">
        <v>44667</v>
      </c>
      <c r="P16" s="264">
        <f t="shared" si="8"/>
        <v>20</v>
      </c>
      <c r="Q16" s="265" t="s">
        <v>168</v>
      </c>
      <c r="R16" s="266">
        <v>115</v>
      </c>
      <c r="S16" s="275">
        <f t="shared" si="9"/>
        <v>240</v>
      </c>
      <c r="V16" s="83">
        <f t="shared" si="4"/>
        <v>9</v>
      </c>
      <c r="W16" s="73"/>
      <c r="X16" s="264"/>
      <c r="Y16" s="293"/>
      <c r="Z16" s="264">
        <f t="shared" si="5"/>
        <v>0</v>
      </c>
      <c r="AA16" s="265"/>
      <c r="AB16" s="266"/>
      <c r="AC16" s="275">
        <f t="shared" si="6"/>
        <v>90</v>
      </c>
      <c r="AF16" s="83">
        <f t="shared" si="7"/>
        <v>10</v>
      </c>
      <c r="AG16" s="73"/>
      <c r="AH16" s="264"/>
      <c r="AI16" s="293"/>
      <c r="AJ16" s="264">
        <f t="shared" si="10"/>
        <v>0</v>
      </c>
      <c r="AK16" s="265"/>
      <c r="AL16" s="266"/>
      <c r="AM16" s="275">
        <f t="shared" si="11"/>
        <v>100</v>
      </c>
    </row>
    <row r="17" spans="1:39" x14ac:dyDescent="0.25">
      <c r="B17" s="83">
        <f t="shared" si="0"/>
        <v>2</v>
      </c>
      <c r="C17" s="73">
        <v>5</v>
      </c>
      <c r="D17" s="1043">
        <v>50</v>
      </c>
      <c r="E17" s="1044">
        <v>44683</v>
      </c>
      <c r="F17" s="1043">
        <f t="shared" si="1"/>
        <v>50</v>
      </c>
      <c r="G17" s="1037" t="s">
        <v>355</v>
      </c>
      <c r="H17" s="1038">
        <v>100</v>
      </c>
      <c r="I17" s="275">
        <f t="shared" si="2"/>
        <v>20</v>
      </c>
      <c r="L17" s="83">
        <f t="shared" si="3"/>
        <v>22</v>
      </c>
      <c r="M17" s="73">
        <v>2</v>
      </c>
      <c r="N17" s="264">
        <v>20</v>
      </c>
      <c r="O17" s="293">
        <v>44669</v>
      </c>
      <c r="P17" s="264">
        <f t="shared" si="8"/>
        <v>20</v>
      </c>
      <c r="Q17" s="265" t="s">
        <v>169</v>
      </c>
      <c r="R17" s="266">
        <v>115</v>
      </c>
      <c r="S17" s="275">
        <f t="shared" si="9"/>
        <v>220</v>
      </c>
      <c r="V17" s="83">
        <f t="shared" si="4"/>
        <v>9</v>
      </c>
      <c r="W17" s="73"/>
      <c r="X17" s="264"/>
      <c r="Y17" s="293"/>
      <c r="Z17" s="264">
        <f t="shared" si="5"/>
        <v>0</v>
      </c>
      <c r="AA17" s="265"/>
      <c r="AB17" s="266"/>
      <c r="AC17" s="275">
        <f t="shared" si="6"/>
        <v>90</v>
      </c>
      <c r="AF17" s="83">
        <f t="shared" si="7"/>
        <v>10</v>
      </c>
      <c r="AG17" s="73"/>
      <c r="AH17" s="264"/>
      <c r="AI17" s="293"/>
      <c r="AJ17" s="264">
        <f t="shared" si="10"/>
        <v>0</v>
      </c>
      <c r="AK17" s="265"/>
      <c r="AL17" s="266"/>
      <c r="AM17" s="275">
        <f t="shared" si="11"/>
        <v>100</v>
      </c>
    </row>
    <row r="18" spans="1:39" x14ac:dyDescent="0.25">
      <c r="A18" s="122"/>
      <c r="B18" s="83">
        <f t="shared" si="0"/>
        <v>1</v>
      </c>
      <c r="C18" s="73">
        <v>1</v>
      </c>
      <c r="D18" s="1043">
        <v>10</v>
      </c>
      <c r="E18" s="1044">
        <v>44686</v>
      </c>
      <c r="F18" s="1043">
        <f t="shared" si="1"/>
        <v>10</v>
      </c>
      <c r="G18" s="1037" t="s">
        <v>391</v>
      </c>
      <c r="H18" s="1038">
        <v>100</v>
      </c>
      <c r="I18" s="275">
        <f t="shared" si="2"/>
        <v>10</v>
      </c>
      <c r="K18" s="122"/>
      <c r="L18" s="83">
        <f t="shared" si="3"/>
        <v>21</v>
      </c>
      <c r="M18" s="73">
        <v>1</v>
      </c>
      <c r="N18" s="264">
        <v>10</v>
      </c>
      <c r="O18" s="293">
        <v>44669</v>
      </c>
      <c r="P18" s="264">
        <f t="shared" si="8"/>
        <v>10</v>
      </c>
      <c r="Q18" s="265" t="s">
        <v>170</v>
      </c>
      <c r="R18" s="266">
        <v>115</v>
      </c>
      <c r="S18" s="275">
        <f t="shared" si="9"/>
        <v>210</v>
      </c>
      <c r="U18" s="122"/>
      <c r="V18" s="83">
        <f t="shared" si="4"/>
        <v>9</v>
      </c>
      <c r="W18" s="73"/>
      <c r="X18" s="264"/>
      <c r="Y18" s="293"/>
      <c r="Z18" s="264">
        <f t="shared" si="5"/>
        <v>0</v>
      </c>
      <c r="AA18" s="265"/>
      <c r="AB18" s="266"/>
      <c r="AC18" s="275">
        <f t="shared" si="6"/>
        <v>90</v>
      </c>
      <c r="AE18" s="122"/>
      <c r="AF18" s="83">
        <f t="shared" si="7"/>
        <v>10</v>
      </c>
      <c r="AG18" s="73"/>
      <c r="AH18" s="264"/>
      <c r="AI18" s="293"/>
      <c r="AJ18" s="264">
        <f t="shared" si="10"/>
        <v>0</v>
      </c>
      <c r="AK18" s="265"/>
      <c r="AL18" s="266"/>
      <c r="AM18" s="275">
        <f t="shared" si="11"/>
        <v>100</v>
      </c>
    </row>
    <row r="19" spans="1:39" x14ac:dyDescent="0.25">
      <c r="A19" s="122"/>
      <c r="B19" s="83">
        <f t="shared" si="0"/>
        <v>1</v>
      </c>
      <c r="C19" s="15"/>
      <c r="D19" s="1043"/>
      <c r="E19" s="1044"/>
      <c r="F19" s="1061">
        <f t="shared" si="1"/>
        <v>0</v>
      </c>
      <c r="G19" s="1062"/>
      <c r="H19" s="1063"/>
      <c r="I19" s="1075">
        <f t="shared" si="2"/>
        <v>10</v>
      </c>
      <c r="K19" s="122"/>
      <c r="L19" s="83">
        <f t="shared" si="3"/>
        <v>16</v>
      </c>
      <c r="M19" s="15">
        <v>5</v>
      </c>
      <c r="N19" s="264">
        <v>50</v>
      </c>
      <c r="O19" s="293">
        <v>44670</v>
      </c>
      <c r="P19" s="264">
        <f t="shared" si="8"/>
        <v>50</v>
      </c>
      <c r="Q19" s="265" t="s">
        <v>163</v>
      </c>
      <c r="R19" s="266">
        <v>115</v>
      </c>
      <c r="S19" s="275">
        <f t="shared" si="9"/>
        <v>160</v>
      </c>
      <c r="U19" s="122"/>
      <c r="V19" s="83">
        <f t="shared" si="4"/>
        <v>9</v>
      </c>
      <c r="W19" s="15"/>
      <c r="X19" s="264"/>
      <c r="Y19" s="293"/>
      <c r="Z19" s="264">
        <f t="shared" si="5"/>
        <v>0</v>
      </c>
      <c r="AA19" s="265"/>
      <c r="AB19" s="266"/>
      <c r="AC19" s="275">
        <f t="shared" si="6"/>
        <v>90</v>
      </c>
      <c r="AE19" s="122"/>
      <c r="AF19" s="83">
        <f t="shared" si="7"/>
        <v>10</v>
      </c>
      <c r="AG19" s="15"/>
      <c r="AH19" s="264"/>
      <c r="AI19" s="293"/>
      <c r="AJ19" s="264">
        <f t="shared" si="10"/>
        <v>0</v>
      </c>
      <c r="AK19" s="265"/>
      <c r="AL19" s="266"/>
      <c r="AM19" s="275">
        <f t="shared" si="11"/>
        <v>100</v>
      </c>
    </row>
    <row r="20" spans="1:39" x14ac:dyDescent="0.25">
      <c r="A20" s="122"/>
      <c r="B20" s="83">
        <f t="shared" si="0"/>
        <v>1</v>
      </c>
      <c r="C20" s="15"/>
      <c r="D20" s="1043"/>
      <c r="E20" s="1044"/>
      <c r="F20" s="1061">
        <f t="shared" si="1"/>
        <v>0</v>
      </c>
      <c r="G20" s="1062"/>
      <c r="H20" s="1063"/>
      <c r="I20" s="1075">
        <f t="shared" si="2"/>
        <v>10</v>
      </c>
      <c r="K20" s="122"/>
      <c r="L20" s="83">
        <f t="shared" si="3"/>
        <v>15</v>
      </c>
      <c r="M20" s="15">
        <v>1</v>
      </c>
      <c r="N20" s="264">
        <v>10</v>
      </c>
      <c r="O20" s="293">
        <v>44677</v>
      </c>
      <c r="P20" s="264">
        <f t="shared" si="8"/>
        <v>10</v>
      </c>
      <c r="Q20" s="265" t="s">
        <v>195</v>
      </c>
      <c r="R20" s="266">
        <v>115</v>
      </c>
      <c r="S20" s="275">
        <f t="shared" si="9"/>
        <v>150</v>
      </c>
      <c r="U20" s="122"/>
      <c r="V20" s="83">
        <f t="shared" si="4"/>
        <v>9</v>
      </c>
      <c r="W20" s="15"/>
      <c r="X20" s="264"/>
      <c r="Y20" s="293"/>
      <c r="Z20" s="264">
        <f t="shared" si="5"/>
        <v>0</v>
      </c>
      <c r="AA20" s="265"/>
      <c r="AB20" s="266"/>
      <c r="AC20" s="275">
        <f t="shared" si="6"/>
        <v>90</v>
      </c>
      <c r="AE20" s="122"/>
      <c r="AF20" s="83">
        <f t="shared" si="7"/>
        <v>10</v>
      </c>
      <c r="AG20" s="15"/>
      <c r="AH20" s="264"/>
      <c r="AI20" s="293"/>
      <c r="AJ20" s="264">
        <f t="shared" si="10"/>
        <v>0</v>
      </c>
      <c r="AK20" s="265"/>
      <c r="AL20" s="266"/>
      <c r="AM20" s="275">
        <f t="shared" si="11"/>
        <v>100</v>
      </c>
    </row>
    <row r="21" spans="1:39" x14ac:dyDescent="0.25">
      <c r="A21" s="122"/>
      <c r="B21" s="83">
        <f t="shared" si="0"/>
        <v>0</v>
      </c>
      <c r="C21" s="15">
        <v>1</v>
      </c>
      <c r="D21" s="1043"/>
      <c r="E21" s="1044"/>
      <c r="F21" s="1061">
        <v>10</v>
      </c>
      <c r="G21" s="1062"/>
      <c r="H21" s="1063"/>
      <c r="I21" s="1075">
        <f t="shared" si="2"/>
        <v>0</v>
      </c>
      <c r="K21" s="122"/>
      <c r="L21" s="83">
        <f t="shared" si="3"/>
        <v>14</v>
      </c>
      <c r="M21" s="15">
        <v>1</v>
      </c>
      <c r="N21" s="264">
        <v>10</v>
      </c>
      <c r="O21" s="293">
        <v>44680</v>
      </c>
      <c r="P21" s="264">
        <f t="shared" si="8"/>
        <v>10</v>
      </c>
      <c r="Q21" s="265" t="s">
        <v>207</v>
      </c>
      <c r="R21" s="266">
        <v>115</v>
      </c>
      <c r="S21" s="275">
        <f t="shared" si="9"/>
        <v>140</v>
      </c>
      <c r="U21" s="122"/>
      <c r="V21" s="83">
        <f t="shared" si="4"/>
        <v>9</v>
      </c>
      <c r="W21" s="15"/>
      <c r="X21" s="264"/>
      <c r="Y21" s="293"/>
      <c r="Z21" s="264">
        <f t="shared" si="5"/>
        <v>0</v>
      </c>
      <c r="AA21" s="265"/>
      <c r="AB21" s="266"/>
      <c r="AC21" s="275">
        <f t="shared" si="6"/>
        <v>90</v>
      </c>
      <c r="AE21" s="122"/>
      <c r="AF21" s="83">
        <f t="shared" si="7"/>
        <v>10</v>
      </c>
      <c r="AG21" s="15"/>
      <c r="AH21" s="264"/>
      <c r="AI21" s="293"/>
      <c r="AJ21" s="264">
        <f t="shared" si="10"/>
        <v>0</v>
      </c>
      <c r="AK21" s="265"/>
      <c r="AL21" s="266"/>
      <c r="AM21" s="275">
        <f t="shared" si="11"/>
        <v>100</v>
      </c>
    </row>
    <row r="22" spans="1:39" x14ac:dyDescent="0.25">
      <c r="A22" s="122"/>
      <c r="B22" s="281">
        <f t="shared" si="0"/>
        <v>0</v>
      </c>
      <c r="C22" s="15"/>
      <c r="D22" s="264"/>
      <c r="E22" s="293"/>
      <c r="F22" s="1077">
        <f t="shared" si="1"/>
        <v>0</v>
      </c>
      <c r="G22" s="1078"/>
      <c r="H22" s="1079"/>
      <c r="I22" s="1075">
        <f t="shared" si="2"/>
        <v>0</v>
      </c>
      <c r="K22" s="122"/>
      <c r="L22" s="281">
        <f t="shared" si="3"/>
        <v>12</v>
      </c>
      <c r="M22" s="15">
        <v>2</v>
      </c>
      <c r="N22" s="264">
        <v>20</v>
      </c>
      <c r="O22" s="293">
        <v>44681</v>
      </c>
      <c r="P22" s="264">
        <f t="shared" si="8"/>
        <v>20</v>
      </c>
      <c r="Q22" s="265" t="s">
        <v>210</v>
      </c>
      <c r="R22" s="266">
        <v>115</v>
      </c>
      <c r="S22" s="275">
        <f t="shared" si="9"/>
        <v>120</v>
      </c>
      <c r="U22" s="122"/>
      <c r="V22" s="281">
        <f t="shared" si="4"/>
        <v>9</v>
      </c>
      <c r="W22" s="15"/>
      <c r="X22" s="264"/>
      <c r="Y22" s="293"/>
      <c r="Z22" s="264">
        <f t="shared" si="5"/>
        <v>0</v>
      </c>
      <c r="AA22" s="265"/>
      <c r="AB22" s="266"/>
      <c r="AC22" s="275">
        <f t="shared" si="6"/>
        <v>90</v>
      </c>
      <c r="AE22" s="122"/>
      <c r="AF22" s="281">
        <f t="shared" si="7"/>
        <v>10</v>
      </c>
      <c r="AG22" s="15"/>
      <c r="AH22" s="264"/>
      <c r="AI22" s="293"/>
      <c r="AJ22" s="264">
        <f t="shared" si="10"/>
        <v>0</v>
      </c>
      <c r="AK22" s="265"/>
      <c r="AL22" s="266"/>
      <c r="AM22" s="275">
        <f t="shared" si="11"/>
        <v>100</v>
      </c>
    </row>
    <row r="23" spans="1:39" x14ac:dyDescent="0.25">
      <c r="A23" s="123"/>
      <c r="B23" s="281">
        <f t="shared" si="0"/>
        <v>0</v>
      </c>
      <c r="C23" s="15"/>
      <c r="D23" s="264"/>
      <c r="E23" s="293"/>
      <c r="F23" s="1077">
        <f t="shared" si="1"/>
        <v>0</v>
      </c>
      <c r="G23" s="1078"/>
      <c r="H23" s="1079"/>
      <c r="I23" s="1075">
        <f t="shared" si="2"/>
        <v>0</v>
      </c>
      <c r="K23" s="123"/>
      <c r="L23" s="281">
        <f t="shared" si="3"/>
        <v>7</v>
      </c>
      <c r="M23" s="15">
        <v>5</v>
      </c>
      <c r="N23" s="1043">
        <v>50</v>
      </c>
      <c r="O23" s="1044">
        <v>44683</v>
      </c>
      <c r="P23" s="1043">
        <f t="shared" si="8"/>
        <v>50</v>
      </c>
      <c r="Q23" s="1037" t="s">
        <v>355</v>
      </c>
      <c r="R23" s="1038">
        <v>115</v>
      </c>
      <c r="S23" s="275">
        <f t="shared" si="9"/>
        <v>70</v>
      </c>
      <c r="U23" s="123"/>
      <c r="V23" s="281">
        <f t="shared" si="4"/>
        <v>9</v>
      </c>
      <c r="W23" s="15"/>
      <c r="X23" s="264"/>
      <c r="Y23" s="293"/>
      <c r="Z23" s="264">
        <f t="shared" si="5"/>
        <v>0</v>
      </c>
      <c r="AA23" s="265"/>
      <c r="AB23" s="266"/>
      <c r="AC23" s="275">
        <f t="shared" si="6"/>
        <v>90</v>
      </c>
      <c r="AE23" s="123"/>
      <c r="AF23" s="281">
        <f t="shared" si="7"/>
        <v>10</v>
      </c>
      <c r="AG23" s="15"/>
      <c r="AH23" s="264"/>
      <c r="AI23" s="293"/>
      <c r="AJ23" s="264">
        <f t="shared" si="10"/>
        <v>0</v>
      </c>
      <c r="AK23" s="265"/>
      <c r="AL23" s="266"/>
      <c r="AM23" s="275">
        <f t="shared" si="11"/>
        <v>100</v>
      </c>
    </row>
    <row r="24" spans="1:39" x14ac:dyDescent="0.25">
      <c r="A24" s="122"/>
      <c r="B24" s="281">
        <f t="shared" si="0"/>
        <v>0</v>
      </c>
      <c r="C24" s="15"/>
      <c r="D24" s="264"/>
      <c r="E24" s="293"/>
      <c r="F24" s="1077">
        <f t="shared" si="1"/>
        <v>0</v>
      </c>
      <c r="G24" s="1078"/>
      <c r="H24" s="1079"/>
      <c r="I24" s="1075">
        <f t="shared" si="2"/>
        <v>0</v>
      </c>
      <c r="K24" s="122"/>
      <c r="L24" s="281">
        <f t="shared" si="3"/>
        <v>6</v>
      </c>
      <c r="M24" s="15">
        <v>1</v>
      </c>
      <c r="N24" s="1043">
        <v>10</v>
      </c>
      <c r="O24" s="1044">
        <v>44686</v>
      </c>
      <c r="P24" s="1043">
        <f t="shared" si="8"/>
        <v>10</v>
      </c>
      <c r="Q24" s="1037" t="s">
        <v>391</v>
      </c>
      <c r="R24" s="1038">
        <v>115</v>
      </c>
      <c r="S24" s="275">
        <f t="shared" si="9"/>
        <v>60</v>
      </c>
      <c r="U24" s="122"/>
      <c r="V24" s="281">
        <f t="shared" si="4"/>
        <v>9</v>
      </c>
      <c r="W24" s="15"/>
      <c r="X24" s="264"/>
      <c r="Y24" s="293"/>
      <c r="Z24" s="264">
        <f t="shared" si="5"/>
        <v>0</v>
      </c>
      <c r="AA24" s="265"/>
      <c r="AB24" s="266"/>
      <c r="AC24" s="275">
        <f t="shared" si="6"/>
        <v>90</v>
      </c>
      <c r="AE24" s="122"/>
      <c r="AF24" s="281">
        <f t="shared" si="7"/>
        <v>10</v>
      </c>
      <c r="AG24" s="15"/>
      <c r="AH24" s="264"/>
      <c r="AI24" s="293"/>
      <c r="AJ24" s="264">
        <f t="shared" si="10"/>
        <v>0</v>
      </c>
      <c r="AK24" s="265"/>
      <c r="AL24" s="266"/>
      <c r="AM24" s="275">
        <f t="shared" si="11"/>
        <v>100</v>
      </c>
    </row>
    <row r="25" spans="1:39" x14ac:dyDescent="0.25">
      <c r="A25" s="122"/>
      <c r="B25" s="281">
        <f t="shared" si="0"/>
        <v>0</v>
      </c>
      <c r="C25" s="15"/>
      <c r="D25" s="264"/>
      <c r="E25" s="293"/>
      <c r="F25" s="264">
        <f t="shared" si="1"/>
        <v>0</v>
      </c>
      <c r="G25" s="265" t="s">
        <v>22</v>
      </c>
      <c r="H25" s="266"/>
      <c r="I25" s="275">
        <f t="shared" si="2"/>
        <v>0</v>
      </c>
      <c r="K25" s="122"/>
      <c r="L25" s="281">
        <f t="shared" si="3"/>
        <v>4</v>
      </c>
      <c r="M25" s="15">
        <v>2</v>
      </c>
      <c r="N25" s="1043">
        <v>20</v>
      </c>
      <c r="O25" s="1044">
        <v>44692</v>
      </c>
      <c r="P25" s="1043">
        <f t="shared" si="8"/>
        <v>20</v>
      </c>
      <c r="Q25" s="1037" t="s">
        <v>451</v>
      </c>
      <c r="R25" s="1038">
        <v>115</v>
      </c>
      <c r="S25" s="275">
        <f t="shared" si="9"/>
        <v>40</v>
      </c>
      <c r="U25" s="122"/>
      <c r="V25" s="281">
        <f t="shared" si="4"/>
        <v>9</v>
      </c>
      <c r="W25" s="15"/>
      <c r="X25" s="264"/>
      <c r="Y25" s="293"/>
      <c r="Z25" s="264">
        <f t="shared" si="5"/>
        <v>0</v>
      </c>
      <c r="AA25" s="265" t="s">
        <v>22</v>
      </c>
      <c r="AB25" s="266"/>
      <c r="AC25" s="275">
        <f t="shared" si="6"/>
        <v>90</v>
      </c>
      <c r="AE25" s="122"/>
      <c r="AF25" s="281">
        <f t="shared" si="7"/>
        <v>10</v>
      </c>
      <c r="AG25" s="15"/>
      <c r="AH25" s="264"/>
      <c r="AI25" s="293"/>
      <c r="AJ25" s="264">
        <f t="shared" si="10"/>
        <v>0</v>
      </c>
      <c r="AK25" s="265"/>
      <c r="AL25" s="266"/>
      <c r="AM25" s="275">
        <f t="shared" si="11"/>
        <v>100</v>
      </c>
    </row>
    <row r="26" spans="1:39" x14ac:dyDescent="0.25">
      <c r="A26" s="122"/>
      <c r="B26" s="195">
        <f t="shared" si="0"/>
        <v>0</v>
      </c>
      <c r="C26" s="15"/>
      <c r="D26" s="264"/>
      <c r="E26" s="293"/>
      <c r="F26" s="264">
        <f t="shared" si="1"/>
        <v>0</v>
      </c>
      <c r="G26" s="265"/>
      <c r="H26" s="266"/>
      <c r="I26" s="275">
        <f t="shared" si="2"/>
        <v>0</v>
      </c>
      <c r="K26" s="122"/>
      <c r="L26" s="195">
        <f t="shared" si="3"/>
        <v>2</v>
      </c>
      <c r="M26" s="15">
        <v>2</v>
      </c>
      <c r="N26" s="1043">
        <v>20</v>
      </c>
      <c r="O26" s="1044">
        <v>44697</v>
      </c>
      <c r="P26" s="1043">
        <f t="shared" si="8"/>
        <v>20</v>
      </c>
      <c r="Q26" s="1037" t="s">
        <v>505</v>
      </c>
      <c r="R26" s="1038">
        <v>115</v>
      </c>
      <c r="S26" s="275">
        <f t="shared" si="9"/>
        <v>20</v>
      </c>
      <c r="U26" s="122"/>
      <c r="V26" s="195">
        <f t="shared" si="4"/>
        <v>9</v>
      </c>
      <c r="W26" s="15"/>
      <c r="X26" s="264"/>
      <c r="Y26" s="293"/>
      <c r="Z26" s="264">
        <f t="shared" si="5"/>
        <v>0</v>
      </c>
      <c r="AA26" s="265"/>
      <c r="AB26" s="266"/>
      <c r="AC26" s="275">
        <f t="shared" si="6"/>
        <v>90</v>
      </c>
      <c r="AE26" s="122"/>
      <c r="AF26" s="195">
        <f t="shared" si="7"/>
        <v>10</v>
      </c>
      <c r="AG26" s="15"/>
      <c r="AH26" s="264"/>
      <c r="AI26" s="293"/>
      <c r="AJ26" s="264">
        <f t="shared" si="10"/>
        <v>0</v>
      </c>
      <c r="AK26" s="265"/>
      <c r="AL26" s="266"/>
      <c r="AM26" s="275">
        <f t="shared" si="11"/>
        <v>100</v>
      </c>
    </row>
    <row r="27" spans="1:39" x14ac:dyDescent="0.25">
      <c r="A27" s="122"/>
      <c r="B27" s="281">
        <f t="shared" si="0"/>
        <v>0</v>
      </c>
      <c r="C27" s="15"/>
      <c r="D27" s="264"/>
      <c r="E27" s="293"/>
      <c r="F27" s="264">
        <f t="shared" si="1"/>
        <v>0</v>
      </c>
      <c r="G27" s="265"/>
      <c r="H27" s="266"/>
      <c r="I27" s="275">
        <f t="shared" si="2"/>
        <v>0</v>
      </c>
      <c r="K27" s="122"/>
      <c r="L27" s="281">
        <f t="shared" si="3"/>
        <v>1</v>
      </c>
      <c r="M27" s="15">
        <v>1</v>
      </c>
      <c r="N27" s="1043">
        <v>10</v>
      </c>
      <c r="O27" s="1044">
        <v>44701</v>
      </c>
      <c r="P27" s="1043">
        <f t="shared" si="8"/>
        <v>10</v>
      </c>
      <c r="Q27" s="1037" t="s">
        <v>512</v>
      </c>
      <c r="R27" s="1038">
        <v>115</v>
      </c>
      <c r="S27" s="275">
        <f t="shared" si="9"/>
        <v>10</v>
      </c>
      <c r="U27" s="122"/>
      <c r="V27" s="281">
        <f t="shared" si="4"/>
        <v>9</v>
      </c>
      <c r="W27" s="15"/>
      <c r="X27" s="264"/>
      <c r="Y27" s="293"/>
      <c r="Z27" s="264">
        <f t="shared" si="5"/>
        <v>0</v>
      </c>
      <c r="AA27" s="265"/>
      <c r="AB27" s="266"/>
      <c r="AC27" s="275">
        <f t="shared" si="6"/>
        <v>90</v>
      </c>
      <c r="AE27" s="122"/>
      <c r="AF27" s="281">
        <f t="shared" si="7"/>
        <v>10</v>
      </c>
      <c r="AG27" s="15"/>
      <c r="AH27" s="264"/>
      <c r="AI27" s="293"/>
      <c r="AJ27" s="264">
        <f t="shared" si="10"/>
        <v>0</v>
      </c>
      <c r="AK27" s="265"/>
      <c r="AL27" s="266"/>
      <c r="AM27" s="275">
        <f t="shared" si="11"/>
        <v>100</v>
      </c>
    </row>
    <row r="28" spans="1:39" x14ac:dyDescent="0.25">
      <c r="A28" s="122"/>
      <c r="B28" s="195">
        <f t="shared" si="0"/>
        <v>0</v>
      </c>
      <c r="C28" s="15"/>
      <c r="D28" s="264"/>
      <c r="E28" s="293"/>
      <c r="F28" s="264">
        <f t="shared" si="1"/>
        <v>0</v>
      </c>
      <c r="G28" s="265"/>
      <c r="H28" s="266"/>
      <c r="I28" s="275">
        <f t="shared" si="2"/>
        <v>0</v>
      </c>
      <c r="K28" s="122"/>
      <c r="L28" s="195">
        <f t="shared" si="3"/>
        <v>1</v>
      </c>
      <c r="M28" s="15"/>
      <c r="N28" s="1043"/>
      <c r="O28" s="1044"/>
      <c r="P28" s="1043">
        <f t="shared" si="8"/>
        <v>0</v>
      </c>
      <c r="Q28" s="1037"/>
      <c r="R28" s="1038"/>
      <c r="S28" s="275">
        <f t="shared" si="9"/>
        <v>10</v>
      </c>
      <c r="U28" s="122"/>
      <c r="V28" s="195">
        <f t="shared" si="4"/>
        <v>9</v>
      </c>
      <c r="W28" s="15"/>
      <c r="X28" s="264"/>
      <c r="Y28" s="293"/>
      <c r="Z28" s="264">
        <f t="shared" si="5"/>
        <v>0</v>
      </c>
      <c r="AA28" s="265"/>
      <c r="AB28" s="266"/>
      <c r="AC28" s="275">
        <f t="shared" si="6"/>
        <v>90</v>
      </c>
      <c r="AE28" s="122"/>
      <c r="AF28" s="195">
        <f t="shared" si="7"/>
        <v>10</v>
      </c>
      <c r="AG28" s="15"/>
      <c r="AH28" s="264"/>
      <c r="AI28" s="293"/>
      <c r="AJ28" s="264">
        <f t="shared" si="10"/>
        <v>0</v>
      </c>
      <c r="AK28" s="265"/>
      <c r="AL28" s="266"/>
      <c r="AM28" s="275">
        <f t="shared" si="11"/>
        <v>100</v>
      </c>
    </row>
    <row r="29" spans="1:39" x14ac:dyDescent="0.25">
      <c r="A29" s="122"/>
      <c r="B29" s="281">
        <f t="shared" si="0"/>
        <v>0</v>
      </c>
      <c r="C29" s="15"/>
      <c r="D29" s="264"/>
      <c r="E29" s="293"/>
      <c r="F29" s="264">
        <f t="shared" si="1"/>
        <v>0</v>
      </c>
      <c r="G29" s="265"/>
      <c r="H29" s="266"/>
      <c r="I29" s="275">
        <f t="shared" si="2"/>
        <v>0</v>
      </c>
      <c r="K29" s="122"/>
      <c r="L29" s="281">
        <f t="shared" si="3"/>
        <v>1</v>
      </c>
      <c r="M29" s="15"/>
      <c r="N29" s="1043"/>
      <c r="O29" s="1044"/>
      <c r="P29" s="1043">
        <f t="shared" si="8"/>
        <v>0</v>
      </c>
      <c r="Q29" s="1037"/>
      <c r="R29" s="1038"/>
      <c r="S29" s="275">
        <f t="shared" si="9"/>
        <v>10</v>
      </c>
      <c r="U29" s="122"/>
      <c r="V29" s="281">
        <f t="shared" si="4"/>
        <v>9</v>
      </c>
      <c r="W29" s="15"/>
      <c r="X29" s="264"/>
      <c r="Y29" s="293"/>
      <c r="Z29" s="264">
        <f t="shared" si="5"/>
        <v>0</v>
      </c>
      <c r="AA29" s="265"/>
      <c r="AB29" s="266"/>
      <c r="AC29" s="275">
        <f t="shared" si="6"/>
        <v>90</v>
      </c>
      <c r="AE29" s="122"/>
      <c r="AF29" s="281">
        <f t="shared" si="7"/>
        <v>10</v>
      </c>
      <c r="AG29" s="15"/>
      <c r="AH29" s="264"/>
      <c r="AI29" s="293"/>
      <c r="AJ29" s="264">
        <f t="shared" si="10"/>
        <v>0</v>
      </c>
      <c r="AK29" s="265"/>
      <c r="AL29" s="266"/>
      <c r="AM29" s="275">
        <f t="shared" si="11"/>
        <v>100</v>
      </c>
    </row>
    <row r="30" spans="1:39" x14ac:dyDescent="0.25">
      <c r="A30" s="122"/>
      <c r="B30" s="281">
        <f t="shared" si="0"/>
        <v>0</v>
      </c>
      <c r="C30" s="15"/>
      <c r="D30" s="264"/>
      <c r="E30" s="293"/>
      <c r="F30" s="264">
        <f t="shared" si="1"/>
        <v>0</v>
      </c>
      <c r="G30" s="265"/>
      <c r="H30" s="266"/>
      <c r="I30" s="275">
        <f t="shared" si="2"/>
        <v>0</v>
      </c>
      <c r="K30" s="122"/>
      <c r="L30" s="281">
        <f t="shared" si="3"/>
        <v>1</v>
      </c>
      <c r="M30" s="15"/>
      <c r="N30" s="1043"/>
      <c r="O30" s="1044"/>
      <c r="P30" s="1043">
        <f t="shared" si="8"/>
        <v>0</v>
      </c>
      <c r="Q30" s="1037"/>
      <c r="R30" s="1038"/>
      <c r="S30" s="275">
        <f t="shared" si="9"/>
        <v>10</v>
      </c>
      <c r="U30" s="122"/>
      <c r="V30" s="281">
        <f t="shared" si="4"/>
        <v>9</v>
      </c>
      <c r="W30" s="15"/>
      <c r="X30" s="264"/>
      <c r="Y30" s="293"/>
      <c r="Z30" s="264">
        <f t="shared" si="5"/>
        <v>0</v>
      </c>
      <c r="AA30" s="265"/>
      <c r="AB30" s="266"/>
      <c r="AC30" s="275">
        <f t="shared" si="6"/>
        <v>90</v>
      </c>
      <c r="AE30" s="122"/>
      <c r="AF30" s="281">
        <f t="shared" si="7"/>
        <v>10</v>
      </c>
      <c r="AG30" s="15"/>
      <c r="AH30" s="264"/>
      <c r="AI30" s="293"/>
      <c r="AJ30" s="264">
        <f t="shared" si="10"/>
        <v>0</v>
      </c>
      <c r="AK30" s="265"/>
      <c r="AL30" s="266"/>
      <c r="AM30" s="275">
        <f t="shared" si="11"/>
        <v>100</v>
      </c>
    </row>
    <row r="31" spans="1:39" x14ac:dyDescent="0.25">
      <c r="A31" s="122"/>
      <c r="B31" s="281">
        <f t="shared" si="0"/>
        <v>0</v>
      </c>
      <c r="C31" s="15"/>
      <c r="D31" s="264"/>
      <c r="E31" s="293"/>
      <c r="F31" s="264">
        <f t="shared" si="1"/>
        <v>0</v>
      </c>
      <c r="G31" s="265"/>
      <c r="H31" s="266"/>
      <c r="I31" s="275">
        <f t="shared" si="2"/>
        <v>0</v>
      </c>
      <c r="K31" s="122"/>
      <c r="L31" s="281">
        <f t="shared" si="3"/>
        <v>1</v>
      </c>
      <c r="M31" s="15"/>
      <c r="N31" s="264"/>
      <c r="O31" s="293"/>
      <c r="P31" s="264">
        <f t="shared" si="8"/>
        <v>0</v>
      </c>
      <c r="Q31" s="265"/>
      <c r="R31" s="266"/>
      <c r="S31" s="275">
        <f t="shared" si="9"/>
        <v>10</v>
      </c>
      <c r="U31" s="122"/>
      <c r="V31" s="281">
        <f t="shared" si="4"/>
        <v>9</v>
      </c>
      <c r="W31" s="15"/>
      <c r="X31" s="264"/>
      <c r="Y31" s="293"/>
      <c r="Z31" s="264">
        <f t="shared" si="5"/>
        <v>0</v>
      </c>
      <c r="AA31" s="265"/>
      <c r="AB31" s="266"/>
      <c r="AC31" s="275">
        <f t="shared" si="6"/>
        <v>90</v>
      </c>
      <c r="AE31" s="122"/>
      <c r="AF31" s="281">
        <f t="shared" si="7"/>
        <v>10</v>
      </c>
      <c r="AG31" s="15"/>
      <c r="AH31" s="264"/>
      <c r="AI31" s="293"/>
      <c r="AJ31" s="264">
        <f t="shared" si="10"/>
        <v>0</v>
      </c>
      <c r="AK31" s="265"/>
      <c r="AL31" s="266"/>
      <c r="AM31" s="275">
        <f t="shared" si="11"/>
        <v>100</v>
      </c>
    </row>
    <row r="32" spans="1:39" x14ac:dyDescent="0.25">
      <c r="A32" s="122"/>
      <c r="B32" s="281">
        <f t="shared" si="0"/>
        <v>0</v>
      </c>
      <c r="C32" s="15"/>
      <c r="D32" s="264"/>
      <c r="E32" s="293"/>
      <c r="F32" s="264">
        <f t="shared" si="1"/>
        <v>0</v>
      </c>
      <c r="G32" s="265"/>
      <c r="H32" s="266"/>
      <c r="I32" s="275">
        <f t="shared" si="2"/>
        <v>0</v>
      </c>
      <c r="K32" s="122"/>
      <c r="L32" s="281">
        <f t="shared" si="3"/>
        <v>1</v>
      </c>
      <c r="M32" s="15"/>
      <c r="N32" s="264"/>
      <c r="O32" s="293"/>
      <c r="P32" s="264">
        <f t="shared" si="8"/>
        <v>0</v>
      </c>
      <c r="Q32" s="265"/>
      <c r="R32" s="266"/>
      <c r="S32" s="275">
        <f t="shared" si="9"/>
        <v>10</v>
      </c>
      <c r="U32" s="122"/>
      <c r="V32" s="281">
        <f t="shared" si="4"/>
        <v>9</v>
      </c>
      <c r="W32" s="15"/>
      <c r="X32" s="264"/>
      <c r="Y32" s="293"/>
      <c r="Z32" s="264">
        <f t="shared" si="5"/>
        <v>0</v>
      </c>
      <c r="AA32" s="265"/>
      <c r="AB32" s="266"/>
      <c r="AC32" s="275">
        <f t="shared" si="6"/>
        <v>90</v>
      </c>
      <c r="AE32" s="122"/>
      <c r="AF32" s="281">
        <f t="shared" si="7"/>
        <v>10</v>
      </c>
      <c r="AG32" s="15"/>
      <c r="AH32" s="264"/>
      <c r="AI32" s="293"/>
      <c r="AJ32" s="264">
        <f t="shared" si="10"/>
        <v>0</v>
      </c>
      <c r="AK32" s="265"/>
      <c r="AL32" s="266"/>
      <c r="AM32" s="275">
        <f t="shared" si="11"/>
        <v>100</v>
      </c>
    </row>
    <row r="33" spans="1:39" x14ac:dyDescent="0.25">
      <c r="A33" s="122"/>
      <c r="B33" s="281">
        <f t="shared" si="0"/>
        <v>0</v>
      </c>
      <c r="C33" s="15"/>
      <c r="D33" s="264"/>
      <c r="E33" s="293"/>
      <c r="F33" s="264">
        <f t="shared" si="1"/>
        <v>0</v>
      </c>
      <c r="G33" s="265"/>
      <c r="H33" s="266"/>
      <c r="I33" s="275">
        <f t="shared" si="2"/>
        <v>0</v>
      </c>
      <c r="K33" s="122"/>
      <c r="L33" s="281">
        <f t="shared" si="3"/>
        <v>1</v>
      </c>
      <c r="M33" s="15"/>
      <c r="N33" s="264"/>
      <c r="O33" s="293"/>
      <c r="P33" s="264">
        <f t="shared" si="8"/>
        <v>0</v>
      </c>
      <c r="Q33" s="265"/>
      <c r="R33" s="266"/>
      <c r="S33" s="275">
        <f t="shared" si="9"/>
        <v>10</v>
      </c>
      <c r="U33" s="122"/>
      <c r="V33" s="281">
        <f t="shared" si="4"/>
        <v>9</v>
      </c>
      <c r="W33" s="15"/>
      <c r="X33" s="264"/>
      <c r="Y33" s="293"/>
      <c r="Z33" s="264">
        <f t="shared" si="5"/>
        <v>0</v>
      </c>
      <c r="AA33" s="265"/>
      <c r="AB33" s="266"/>
      <c r="AC33" s="275">
        <f t="shared" si="6"/>
        <v>90</v>
      </c>
      <c r="AE33" s="122"/>
      <c r="AF33" s="281">
        <f t="shared" si="7"/>
        <v>10</v>
      </c>
      <c r="AG33" s="15"/>
      <c r="AH33" s="264"/>
      <c r="AI33" s="293"/>
      <c r="AJ33" s="264">
        <f t="shared" si="10"/>
        <v>0</v>
      </c>
      <c r="AK33" s="265"/>
      <c r="AL33" s="266"/>
      <c r="AM33" s="275">
        <f t="shared" si="11"/>
        <v>100</v>
      </c>
    </row>
    <row r="34" spans="1:39" x14ac:dyDescent="0.25">
      <c r="A34" s="122"/>
      <c r="B34" s="281">
        <f t="shared" si="0"/>
        <v>0</v>
      </c>
      <c r="C34" s="15"/>
      <c r="D34" s="264"/>
      <c r="E34" s="293"/>
      <c r="F34" s="264">
        <f t="shared" si="1"/>
        <v>0</v>
      </c>
      <c r="G34" s="265"/>
      <c r="H34" s="266"/>
      <c r="I34" s="275">
        <f t="shared" si="2"/>
        <v>0</v>
      </c>
      <c r="K34" s="122"/>
      <c r="L34" s="281">
        <f t="shared" si="3"/>
        <v>1</v>
      </c>
      <c r="M34" s="15"/>
      <c r="N34" s="264"/>
      <c r="O34" s="293"/>
      <c r="P34" s="264">
        <f t="shared" si="8"/>
        <v>0</v>
      </c>
      <c r="Q34" s="265"/>
      <c r="R34" s="266"/>
      <c r="S34" s="275">
        <f t="shared" si="9"/>
        <v>10</v>
      </c>
      <c r="U34" s="122"/>
      <c r="V34" s="281">
        <f t="shared" si="4"/>
        <v>9</v>
      </c>
      <c r="W34" s="15"/>
      <c r="X34" s="264"/>
      <c r="Y34" s="293"/>
      <c r="Z34" s="264">
        <f t="shared" si="5"/>
        <v>0</v>
      </c>
      <c r="AA34" s="265"/>
      <c r="AB34" s="266"/>
      <c r="AC34" s="275">
        <f t="shared" si="6"/>
        <v>90</v>
      </c>
      <c r="AE34" s="122"/>
      <c r="AF34" s="281">
        <f t="shared" si="7"/>
        <v>10</v>
      </c>
      <c r="AG34" s="15"/>
      <c r="AH34" s="264"/>
      <c r="AI34" s="293"/>
      <c r="AJ34" s="264">
        <f t="shared" si="10"/>
        <v>0</v>
      </c>
      <c r="AK34" s="265"/>
      <c r="AL34" s="266"/>
      <c r="AM34" s="275">
        <f t="shared" si="11"/>
        <v>100</v>
      </c>
    </row>
    <row r="35" spans="1:39" x14ac:dyDescent="0.25">
      <c r="A35" s="122"/>
      <c r="B35" s="281">
        <f t="shared" si="0"/>
        <v>0</v>
      </c>
      <c r="C35" s="15"/>
      <c r="D35" s="264"/>
      <c r="E35" s="293"/>
      <c r="F35" s="264">
        <f t="shared" si="1"/>
        <v>0</v>
      </c>
      <c r="G35" s="265"/>
      <c r="H35" s="266"/>
      <c r="I35" s="275">
        <f t="shared" si="2"/>
        <v>0</v>
      </c>
      <c r="K35" s="122"/>
      <c r="L35" s="281">
        <f t="shared" si="3"/>
        <v>1</v>
      </c>
      <c r="M35" s="15"/>
      <c r="N35" s="264"/>
      <c r="O35" s="293"/>
      <c r="P35" s="264">
        <f t="shared" si="8"/>
        <v>0</v>
      </c>
      <c r="Q35" s="265"/>
      <c r="R35" s="266"/>
      <c r="S35" s="275">
        <f t="shared" si="9"/>
        <v>10</v>
      </c>
      <c r="U35" s="122"/>
      <c r="V35" s="281">
        <f t="shared" si="4"/>
        <v>9</v>
      </c>
      <c r="W35" s="15"/>
      <c r="X35" s="264"/>
      <c r="Y35" s="293"/>
      <c r="Z35" s="264">
        <f t="shared" si="5"/>
        <v>0</v>
      </c>
      <c r="AA35" s="265"/>
      <c r="AB35" s="266"/>
      <c r="AC35" s="275">
        <f t="shared" si="6"/>
        <v>90</v>
      </c>
      <c r="AE35" s="122"/>
      <c r="AF35" s="281">
        <f t="shared" si="7"/>
        <v>10</v>
      </c>
      <c r="AG35" s="15"/>
      <c r="AH35" s="264"/>
      <c r="AI35" s="293"/>
      <c r="AJ35" s="264">
        <f t="shared" si="10"/>
        <v>0</v>
      </c>
      <c r="AK35" s="265"/>
      <c r="AL35" s="266"/>
      <c r="AM35" s="275">
        <f t="shared" si="11"/>
        <v>100</v>
      </c>
    </row>
    <row r="36" spans="1:39" x14ac:dyDescent="0.25">
      <c r="A36" s="122" t="s">
        <v>22</v>
      </c>
      <c r="B36" s="281">
        <f t="shared" si="0"/>
        <v>0</v>
      </c>
      <c r="C36" s="15"/>
      <c r="D36" s="264"/>
      <c r="E36" s="293"/>
      <c r="F36" s="264">
        <f t="shared" si="1"/>
        <v>0</v>
      </c>
      <c r="G36" s="265"/>
      <c r="H36" s="266"/>
      <c r="I36" s="275">
        <f t="shared" si="2"/>
        <v>0</v>
      </c>
      <c r="K36" s="122" t="s">
        <v>22</v>
      </c>
      <c r="L36" s="281">
        <f t="shared" si="3"/>
        <v>1</v>
      </c>
      <c r="M36" s="15"/>
      <c r="N36" s="264"/>
      <c r="O36" s="293"/>
      <c r="P36" s="264">
        <f t="shared" si="8"/>
        <v>0</v>
      </c>
      <c r="Q36" s="265"/>
      <c r="R36" s="266"/>
      <c r="S36" s="275">
        <f t="shared" si="9"/>
        <v>10</v>
      </c>
      <c r="U36" s="122" t="s">
        <v>22</v>
      </c>
      <c r="V36" s="281">
        <f t="shared" si="4"/>
        <v>9</v>
      </c>
      <c r="W36" s="15"/>
      <c r="X36" s="264"/>
      <c r="Y36" s="293"/>
      <c r="Z36" s="264">
        <f t="shared" si="5"/>
        <v>0</v>
      </c>
      <c r="AA36" s="265"/>
      <c r="AB36" s="266"/>
      <c r="AC36" s="275">
        <f t="shared" si="6"/>
        <v>90</v>
      </c>
      <c r="AE36" s="122" t="s">
        <v>22</v>
      </c>
      <c r="AF36" s="281">
        <f t="shared" si="7"/>
        <v>10</v>
      </c>
      <c r="AG36" s="15"/>
      <c r="AH36" s="264"/>
      <c r="AI36" s="293"/>
      <c r="AJ36" s="264">
        <f t="shared" si="10"/>
        <v>0</v>
      </c>
      <c r="AK36" s="265"/>
      <c r="AL36" s="266"/>
      <c r="AM36" s="275">
        <f t="shared" si="11"/>
        <v>100</v>
      </c>
    </row>
    <row r="37" spans="1:39" x14ac:dyDescent="0.25">
      <c r="A37" s="123"/>
      <c r="B37" s="281">
        <f t="shared" si="0"/>
        <v>0</v>
      </c>
      <c r="C37" s="15"/>
      <c r="D37" s="264"/>
      <c r="E37" s="293"/>
      <c r="F37" s="264">
        <f t="shared" si="1"/>
        <v>0</v>
      </c>
      <c r="G37" s="265"/>
      <c r="H37" s="266"/>
      <c r="I37" s="275">
        <f t="shared" si="2"/>
        <v>0</v>
      </c>
      <c r="K37" s="123"/>
      <c r="L37" s="281">
        <f t="shared" si="3"/>
        <v>1</v>
      </c>
      <c r="M37" s="15"/>
      <c r="N37" s="264"/>
      <c r="O37" s="293"/>
      <c r="P37" s="264">
        <f t="shared" si="8"/>
        <v>0</v>
      </c>
      <c r="Q37" s="265"/>
      <c r="R37" s="266"/>
      <c r="S37" s="275">
        <f t="shared" si="9"/>
        <v>10</v>
      </c>
      <c r="U37" s="123"/>
      <c r="V37" s="281">
        <f t="shared" si="4"/>
        <v>9</v>
      </c>
      <c r="W37" s="15"/>
      <c r="X37" s="264"/>
      <c r="Y37" s="293"/>
      <c r="Z37" s="264">
        <f t="shared" si="5"/>
        <v>0</v>
      </c>
      <c r="AA37" s="265"/>
      <c r="AB37" s="266"/>
      <c r="AC37" s="275">
        <f t="shared" si="6"/>
        <v>90</v>
      </c>
      <c r="AE37" s="123"/>
      <c r="AF37" s="281">
        <f t="shared" si="7"/>
        <v>10</v>
      </c>
      <c r="AG37" s="15"/>
      <c r="AH37" s="264"/>
      <c r="AI37" s="293"/>
      <c r="AJ37" s="264">
        <f t="shared" si="10"/>
        <v>0</v>
      </c>
      <c r="AK37" s="265"/>
      <c r="AL37" s="266"/>
      <c r="AM37" s="275">
        <f t="shared" si="11"/>
        <v>100</v>
      </c>
    </row>
    <row r="38" spans="1:39" x14ac:dyDescent="0.25">
      <c r="A38" s="122"/>
      <c r="B38" s="281">
        <f t="shared" si="0"/>
        <v>0</v>
      </c>
      <c r="C38" s="15"/>
      <c r="D38" s="264"/>
      <c r="E38" s="293"/>
      <c r="F38" s="264">
        <f t="shared" si="1"/>
        <v>0</v>
      </c>
      <c r="G38" s="265"/>
      <c r="H38" s="266"/>
      <c r="I38" s="275">
        <f t="shared" si="2"/>
        <v>0</v>
      </c>
      <c r="K38" s="122"/>
      <c r="L38" s="281">
        <f t="shared" si="3"/>
        <v>1</v>
      </c>
      <c r="M38" s="15"/>
      <c r="N38" s="264"/>
      <c r="O38" s="293"/>
      <c r="P38" s="264">
        <f t="shared" si="8"/>
        <v>0</v>
      </c>
      <c r="Q38" s="265"/>
      <c r="R38" s="266"/>
      <c r="S38" s="275">
        <f t="shared" si="9"/>
        <v>10</v>
      </c>
      <c r="U38" s="122"/>
      <c r="V38" s="281">
        <f t="shared" si="4"/>
        <v>9</v>
      </c>
      <c r="W38" s="15"/>
      <c r="X38" s="264"/>
      <c r="Y38" s="293"/>
      <c r="Z38" s="264">
        <f t="shared" si="5"/>
        <v>0</v>
      </c>
      <c r="AA38" s="265"/>
      <c r="AB38" s="266"/>
      <c r="AC38" s="275">
        <f t="shared" si="6"/>
        <v>90</v>
      </c>
      <c r="AE38" s="122"/>
      <c r="AF38" s="281">
        <f t="shared" si="7"/>
        <v>10</v>
      </c>
      <c r="AG38" s="15"/>
      <c r="AH38" s="264"/>
      <c r="AI38" s="293"/>
      <c r="AJ38" s="264">
        <f t="shared" si="10"/>
        <v>0</v>
      </c>
      <c r="AK38" s="265"/>
      <c r="AL38" s="266"/>
      <c r="AM38" s="275">
        <f t="shared" si="11"/>
        <v>100</v>
      </c>
    </row>
    <row r="39" spans="1:39" x14ac:dyDescent="0.25">
      <c r="A39" s="122"/>
      <c r="B39" s="83">
        <f t="shared" si="0"/>
        <v>0</v>
      </c>
      <c r="C39" s="15"/>
      <c r="D39" s="264"/>
      <c r="E39" s="293"/>
      <c r="F39" s="264">
        <f t="shared" si="1"/>
        <v>0</v>
      </c>
      <c r="G39" s="265"/>
      <c r="H39" s="266"/>
      <c r="I39" s="275">
        <f t="shared" si="2"/>
        <v>0</v>
      </c>
      <c r="K39" s="122"/>
      <c r="L39" s="83">
        <f t="shared" si="3"/>
        <v>1</v>
      </c>
      <c r="M39" s="15"/>
      <c r="N39" s="264"/>
      <c r="O39" s="293"/>
      <c r="P39" s="264">
        <f t="shared" si="8"/>
        <v>0</v>
      </c>
      <c r="Q39" s="265"/>
      <c r="R39" s="266"/>
      <c r="S39" s="275">
        <f t="shared" si="9"/>
        <v>10</v>
      </c>
      <c r="U39" s="122"/>
      <c r="V39" s="83">
        <f t="shared" si="4"/>
        <v>9</v>
      </c>
      <c r="W39" s="15"/>
      <c r="X39" s="264"/>
      <c r="Y39" s="293"/>
      <c r="Z39" s="264">
        <f t="shared" si="5"/>
        <v>0</v>
      </c>
      <c r="AA39" s="265"/>
      <c r="AB39" s="266"/>
      <c r="AC39" s="275">
        <f t="shared" si="6"/>
        <v>90</v>
      </c>
      <c r="AE39" s="122"/>
      <c r="AF39" s="83">
        <f t="shared" si="7"/>
        <v>10</v>
      </c>
      <c r="AG39" s="15"/>
      <c r="AH39" s="264"/>
      <c r="AI39" s="293"/>
      <c r="AJ39" s="264">
        <f t="shared" si="10"/>
        <v>0</v>
      </c>
      <c r="AK39" s="265"/>
      <c r="AL39" s="266"/>
      <c r="AM39" s="275">
        <f t="shared" si="11"/>
        <v>100</v>
      </c>
    </row>
    <row r="40" spans="1:39" x14ac:dyDescent="0.25">
      <c r="A40" s="122"/>
      <c r="B40" s="83">
        <f t="shared" si="0"/>
        <v>0</v>
      </c>
      <c r="C40" s="15"/>
      <c r="D40" s="264"/>
      <c r="E40" s="293"/>
      <c r="F40" s="264">
        <f t="shared" si="1"/>
        <v>0</v>
      </c>
      <c r="G40" s="265"/>
      <c r="H40" s="266"/>
      <c r="I40" s="275">
        <f t="shared" si="2"/>
        <v>0</v>
      </c>
      <c r="K40" s="122"/>
      <c r="L40" s="83">
        <f t="shared" si="3"/>
        <v>1</v>
      </c>
      <c r="M40" s="15"/>
      <c r="N40" s="264"/>
      <c r="O40" s="293"/>
      <c r="P40" s="264">
        <f t="shared" si="8"/>
        <v>0</v>
      </c>
      <c r="Q40" s="265"/>
      <c r="R40" s="266"/>
      <c r="S40" s="275">
        <f t="shared" si="9"/>
        <v>10</v>
      </c>
      <c r="U40" s="122"/>
      <c r="V40" s="83">
        <f t="shared" si="4"/>
        <v>9</v>
      </c>
      <c r="W40" s="15"/>
      <c r="X40" s="264"/>
      <c r="Y40" s="293"/>
      <c r="Z40" s="264">
        <f t="shared" si="5"/>
        <v>0</v>
      </c>
      <c r="AA40" s="265"/>
      <c r="AB40" s="266"/>
      <c r="AC40" s="275">
        <f t="shared" si="6"/>
        <v>90</v>
      </c>
      <c r="AE40" s="122"/>
      <c r="AF40" s="83">
        <f t="shared" si="7"/>
        <v>10</v>
      </c>
      <c r="AG40" s="15"/>
      <c r="AH40" s="264"/>
      <c r="AI40" s="293"/>
      <c r="AJ40" s="264">
        <f t="shared" si="10"/>
        <v>0</v>
      </c>
      <c r="AK40" s="265"/>
      <c r="AL40" s="266"/>
      <c r="AM40" s="275">
        <f t="shared" si="11"/>
        <v>100</v>
      </c>
    </row>
    <row r="41" spans="1:39" x14ac:dyDescent="0.25">
      <c r="A41" s="122"/>
      <c r="B41" s="83">
        <f t="shared" si="0"/>
        <v>0</v>
      </c>
      <c r="C41" s="15"/>
      <c r="D41" s="264"/>
      <c r="E41" s="293"/>
      <c r="F41" s="264">
        <f t="shared" si="1"/>
        <v>0</v>
      </c>
      <c r="G41" s="265"/>
      <c r="H41" s="266"/>
      <c r="I41" s="275">
        <f t="shared" si="2"/>
        <v>0</v>
      </c>
      <c r="K41" s="122"/>
      <c r="L41" s="83">
        <f t="shared" si="3"/>
        <v>1</v>
      </c>
      <c r="M41" s="15"/>
      <c r="N41" s="264"/>
      <c r="O41" s="293"/>
      <c r="P41" s="264">
        <f t="shared" si="8"/>
        <v>0</v>
      </c>
      <c r="Q41" s="265"/>
      <c r="R41" s="266"/>
      <c r="S41" s="275">
        <f t="shared" si="9"/>
        <v>10</v>
      </c>
      <c r="U41" s="122"/>
      <c r="V41" s="83">
        <f t="shared" si="4"/>
        <v>9</v>
      </c>
      <c r="W41" s="15"/>
      <c r="X41" s="264"/>
      <c r="Y41" s="293"/>
      <c r="Z41" s="264">
        <f t="shared" si="5"/>
        <v>0</v>
      </c>
      <c r="AA41" s="265"/>
      <c r="AB41" s="266"/>
      <c r="AC41" s="275">
        <f t="shared" si="6"/>
        <v>90</v>
      </c>
      <c r="AE41" s="122"/>
      <c r="AF41" s="83">
        <f t="shared" si="7"/>
        <v>10</v>
      </c>
      <c r="AG41" s="15"/>
      <c r="AH41" s="264"/>
      <c r="AI41" s="293"/>
      <c r="AJ41" s="264">
        <f t="shared" si="10"/>
        <v>0</v>
      </c>
      <c r="AK41" s="265"/>
      <c r="AL41" s="266"/>
      <c r="AM41" s="275">
        <f t="shared" si="11"/>
        <v>100</v>
      </c>
    </row>
    <row r="42" spans="1:39" x14ac:dyDescent="0.25">
      <c r="A42" s="122"/>
      <c r="B42" s="83">
        <f t="shared" si="0"/>
        <v>0</v>
      </c>
      <c r="C42" s="15"/>
      <c r="D42" s="264"/>
      <c r="E42" s="293"/>
      <c r="F42" s="264">
        <f t="shared" si="1"/>
        <v>0</v>
      </c>
      <c r="G42" s="265"/>
      <c r="H42" s="266"/>
      <c r="I42" s="275">
        <f t="shared" si="2"/>
        <v>0</v>
      </c>
      <c r="K42" s="122"/>
      <c r="L42" s="83">
        <f t="shared" si="3"/>
        <v>1</v>
      </c>
      <c r="M42" s="15"/>
      <c r="N42" s="264"/>
      <c r="O42" s="293"/>
      <c r="P42" s="264">
        <f t="shared" si="8"/>
        <v>0</v>
      </c>
      <c r="Q42" s="265"/>
      <c r="R42" s="266"/>
      <c r="S42" s="275">
        <f t="shared" si="9"/>
        <v>10</v>
      </c>
      <c r="U42" s="122"/>
      <c r="V42" s="83">
        <f t="shared" si="4"/>
        <v>9</v>
      </c>
      <c r="W42" s="15"/>
      <c r="X42" s="264"/>
      <c r="Y42" s="293"/>
      <c r="Z42" s="264">
        <f t="shared" si="5"/>
        <v>0</v>
      </c>
      <c r="AA42" s="265"/>
      <c r="AB42" s="266"/>
      <c r="AC42" s="275">
        <f t="shared" si="6"/>
        <v>90</v>
      </c>
      <c r="AE42" s="122"/>
      <c r="AF42" s="83">
        <f t="shared" si="7"/>
        <v>10</v>
      </c>
      <c r="AG42" s="15"/>
      <c r="AH42" s="264"/>
      <c r="AI42" s="293"/>
      <c r="AJ42" s="264">
        <f t="shared" si="10"/>
        <v>0</v>
      </c>
      <c r="AK42" s="265"/>
      <c r="AL42" s="266"/>
      <c r="AM42" s="275">
        <f t="shared" si="11"/>
        <v>100</v>
      </c>
    </row>
    <row r="43" spans="1:39" x14ac:dyDescent="0.25">
      <c r="A43" s="122"/>
      <c r="B43" s="83">
        <f t="shared" si="0"/>
        <v>0</v>
      </c>
      <c r="C43" s="15"/>
      <c r="D43" s="264"/>
      <c r="E43" s="293"/>
      <c r="F43" s="264">
        <f t="shared" si="1"/>
        <v>0</v>
      </c>
      <c r="G43" s="265"/>
      <c r="H43" s="266"/>
      <c r="I43" s="275">
        <f t="shared" si="2"/>
        <v>0</v>
      </c>
      <c r="K43" s="122"/>
      <c r="L43" s="83">
        <f t="shared" si="3"/>
        <v>1</v>
      </c>
      <c r="M43" s="15"/>
      <c r="N43" s="264"/>
      <c r="O43" s="293"/>
      <c r="P43" s="264">
        <f t="shared" si="8"/>
        <v>0</v>
      </c>
      <c r="Q43" s="265"/>
      <c r="R43" s="266"/>
      <c r="S43" s="275">
        <f t="shared" si="9"/>
        <v>10</v>
      </c>
      <c r="U43" s="122"/>
      <c r="V43" s="83">
        <f t="shared" si="4"/>
        <v>9</v>
      </c>
      <c r="W43" s="15"/>
      <c r="X43" s="264"/>
      <c r="Y43" s="293"/>
      <c r="Z43" s="264">
        <f t="shared" si="5"/>
        <v>0</v>
      </c>
      <c r="AA43" s="265"/>
      <c r="AB43" s="266"/>
      <c r="AC43" s="275">
        <f t="shared" si="6"/>
        <v>90</v>
      </c>
      <c r="AE43" s="122"/>
      <c r="AF43" s="83">
        <f t="shared" si="7"/>
        <v>10</v>
      </c>
      <c r="AG43" s="15"/>
      <c r="AH43" s="264"/>
      <c r="AI43" s="293"/>
      <c r="AJ43" s="264">
        <f t="shared" si="10"/>
        <v>0</v>
      </c>
      <c r="AK43" s="265"/>
      <c r="AL43" s="266"/>
      <c r="AM43" s="275">
        <f t="shared" si="11"/>
        <v>100</v>
      </c>
    </row>
    <row r="44" spans="1:39" x14ac:dyDescent="0.25">
      <c r="A44" s="122"/>
      <c r="B44" s="83">
        <f t="shared" si="0"/>
        <v>0</v>
      </c>
      <c r="C44" s="15"/>
      <c r="D44" s="264"/>
      <c r="E44" s="293"/>
      <c r="F44" s="264">
        <f t="shared" si="1"/>
        <v>0</v>
      </c>
      <c r="G44" s="265"/>
      <c r="H44" s="266"/>
      <c r="I44" s="275">
        <f t="shared" si="2"/>
        <v>0</v>
      </c>
      <c r="K44" s="122"/>
      <c r="L44" s="83">
        <f t="shared" si="3"/>
        <v>1</v>
      </c>
      <c r="M44" s="15"/>
      <c r="N44" s="264"/>
      <c r="O44" s="293"/>
      <c r="P44" s="264">
        <f t="shared" si="8"/>
        <v>0</v>
      </c>
      <c r="Q44" s="265"/>
      <c r="R44" s="266"/>
      <c r="S44" s="275">
        <f t="shared" si="9"/>
        <v>10</v>
      </c>
      <c r="U44" s="122"/>
      <c r="V44" s="83">
        <f t="shared" si="4"/>
        <v>9</v>
      </c>
      <c r="W44" s="15"/>
      <c r="X44" s="264"/>
      <c r="Y44" s="293"/>
      <c r="Z44" s="264">
        <f t="shared" si="5"/>
        <v>0</v>
      </c>
      <c r="AA44" s="265"/>
      <c r="AB44" s="266"/>
      <c r="AC44" s="275">
        <f t="shared" si="6"/>
        <v>90</v>
      </c>
      <c r="AE44" s="122"/>
      <c r="AF44" s="83">
        <f t="shared" si="7"/>
        <v>10</v>
      </c>
      <c r="AG44" s="15"/>
      <c r="AH44" s="264"/>
      <c r="AI44" s="293"/>
      <c r="AJ44" s="264">
        <f t="shared" si="10"/>
        <v>0</v>
      </c>
      <c r="AK44" s="265"/>
      <c r="AL44" s="266"/>
      <c r="AM44" s="275">
        <f t="shared" si="11"/>
        <v>100</v>
      </c>
    </row>
    <row r="45" spans="1:39" x14ac:dyDescent="0.25">
      <c r="A45" s="122"/>
      <c r="B45" s="83">
        <f t="shared" si="0"/>
        <v>0</v>
      </c>
      <c r="C45" s="15"/>
      <c r="D45" s="264"/>
      <c r="E45" s="293"/>
      <c r="F45" s="264">
        <f t="shared" si="1"/>
        <v>0</v>
      </c>
      <c r="G45" s="265"/>
      <c r="H45" s="266"/>
      <c r="I45" s="275">
        <f t="shared" si="2"/>
        <v>0</v>
      </c>
      <c r="K45" s="122"/>
      <c r="L45" s="83">
        <f t="shared" si="3"/>
        <v>1</v>
      </c>
      <c r="M45" s="15"/>
      <c r="N45" s="264"/>
      <c r="O45" s="293"/>
      <c r="P45" s="264">
        <f t="shared" si="8"/>
        <v>0</v>
      </c>
      <c r="Q45" s="265"/>
      <c r="R45" s="266"/>
      <c r="S45" s="275">
        <f t="shared" si="9"/>
        <v>10</v>
      </c>
      <c r="U45" s="122"/>
      <c r="V45" s="83">
        <f t="shared" si="4"/>
        <v>9</v>
      </c>
      <c r="W45" s="15"/>
      <c r="X45" s="264"/>
      <c r="Y45" s="293"/>
      <c r="Z45" s="264">
        <f t="shared" si="5"/>
        <v>0</v>
      </c>
      <c r="AA45" s="265"/>
      <c r="AB45" s="266"/>
      <c r="AC45" s="275">
        <f t="shared" si="6"/>
        <v>90</v>
      </c>
      <c r="AE45" s="122"/>
      <c r="AF45" s="83">
        <f t="shared" si="7"/>
        <v>10</v>
      </c>
      <c r="AG45" s="15"/>
      <c r="AH45" s="264"/>
      <c r="AI45" s="293"/>
      <c r="AJ45" s="264">
        <f t="shared" si="10"/>
        <v>0</v>
      </c>
      <c r="AK45" s="265"/>
      <c r="AL45" s="266"/>
      <c r="AM45" s="275">
        <f t="shared" si="11"/>
        <v>100</v>
      </c>
    </row>
    <row r="46" spans="1:39" x14ac:dyDescent="0.25">
      <c r="A46" s="122"/>
      <c r="B46" s="83">
        <f t="shared" si="0"/>
        <v>0</v>
      </c>
      <c r="C46" s="15"/>
      <c r="D46" s="264"/>
      <c r="E46" s="293"/>
      <c r="F46" s="264">
        <f t="shared" si="1"/>
        <v>0</v>
      </c>
      <c r="G46" s="265"/>
      <c r="H46" s="266"/>
      <c r="I46" s="275">
        <f t="shared" si="2"/>
        <v>0</v>
      </c>
      <c r="K46" s="122"/>
      <c r="L46" s="83">
        <f t="shared" si="3"/>
        <v>1</v>
      </c>
      <c r="M46" s="15"/>
      <c r="N46" s="264"/>
      <c r="O46" s="293"/>
      <c r="P46" s="264">
        <f t="shared" si="8"/>
        <v>0</v>
      </c>
      <c r="Q46" s="265"/>
      <c r="R46" s="266"/>
      <c r="S46" s="275">
        <f t="shared" si="9"/>
        <v>10</v>
      </c>
      <c r="U46" s="122"/>
      <c r="V46" s="83">
        <f t="shared" si="4"/>
        <v>9</v>
      </c>
      <c r="W46" s="15"/>
      <c r="X46" s="264"/>
      <c r="Y46" s="293"/>
      <c r="Z46" s="264">
        <f t="shared" si="5"/>
        <v>0</v>
      </c>
      <c r="AA46" s="265"/>
      <c r="AB46" s="266"/>
      <c r="AC46" s="275">
        <f t="shared" si="6"/>
        <v>90</v>
      </c>
      <c r="AE46" s="122"/>
      <c r="AF46" s="83">
        <f t="shared" si="7"/>
        <v>10</v>
      </c>
      <c r="AG46" s="15"/>
      <c r="AH46" s="264"/>
      <c r="AI46" s="293"/>
      <c r="AJ46" s="264">
        <f t="shared" si="10"/>
        <v>0</v>
      </c>
      <c r="AK46" s="265"/>
      <c r="AL46" s="266"/>
      <c r="AM46" s="275">
        <f t="shared" si="11"/>
        <v>100</v>
      </c>
    </row>
    <row r="47" spans="1:39" x14ac:dyDescent="0.25">
      <c r="A47" s="122"/>
      <c r="B47" s="83">
        <f t="shared" si="0"/>
        <v>0</v>
      </c>
      <c r="C47" s="15"/>
      <c r="D47" s="264"/>
      <c r="E47" s="293"/>
      <c r="F47" s="264">
        <f t="shared" si="1"/>
        <v>0</v>
      </c>
      <c r="G47" s="265"/>
      <c r="H47" s="266"/>
      <c r="I47" s="275">
        <f t="shared" si="2"/>
        <v>0</v>
      </c>
      <c r="K47" s="122"/>
      <c r="L47" s="83">
        <f t="shared" si="3"/>
        <v>1</v>
      </c>
      <c r="M47" s="15"/>
      <c r="N47" s="264"/>
      <c r="O47" s="293"/>
      <c r="P47" s="264">
        <f t="shared" si="8"/>
        <v>0</v>
      </c>
      <c r="Q47" s="265"/>
      <c r="R47" s="266"/>
      <c r="S47" s="275">
        <f t="shared" si="9"/>
        <v>10</v>
      </c>
      <c r="U47" s="122"/>
      <c r="V47" s="83">
        <f t="shared" si="4"/>
        <v>9</v>
      </c>
      <c r="W47" s="15"/>
      <c r="X47" s="264"/>
      <c r="Y47" s="293"/>
      <c r="Z47" s="264">
        <f t="shared" si="5"/>
        <v>0</v>
      </c>
      <c r="AA47" s="265"/>
      <c r="AB47" s="266"/>
      <c r="AC47" s="275">
        <f t="shared" si="6"/>
        <v>90</v>
      </c>
      <c r="AE47" s="122"/>
      <c r="AF47" s="83">
        <f t="shared" si="7"/>
        <v>10</v>
      </c>
      <c r="AG47" s="15"/>
      <c r="AH47" s="264"/>
      <c r="AI47" s="293"/>
      <c r="AJ47" s="264">
        <f t="shared" si="10"/>
        <v>0</v>
      </c>
      <c r="AK47" s="265"/>
      <c r="AL47" s="266"/>
      <c r="AM47" s="275">
        <f t="shared" si="11"/>
        <v>100</v>
      </c>
    </row>
    <row r="48" spans="1:39" x14ac:dyDescent="0.25">
      <c r="A48" s="122"/>
      <c r="B48" s="83">
        <f t="shared" si="0"/>
        <v>0</v>
      </c>
      <c r="C48" s="15"/>
      <c r="D48" s="264"/>
      <c r="E48" s="293"/>
      <c r="F48" s="264">
        <f t="shared" si="1"/>
        <v>0</v>
      </c>
      <c r="G48" s="265"/>
      <c r="H48" s="266"/>
      <c r="I48" s="275">
        <f t="shared" si="2"/>
        <v>0</v>
      </c>
      <c r="K48" s="122"/>
      <c r="L48" s="83">
        <f t="shared" si="3"/>
        <v>1</v>
      </c>
      <c r="M48" s="15"/>
      <c r="N48" s="264"/>
      <c r="O48" s="293"/>
      <c r="P48" s="264">
        <f t="shared" si="8"/>
        <v>0</v>
      </c>
      <c r="Q48" s="265"/>
      <c r="R48" s="266"/>
      <c r="S48" s="275">
        <f t="shared" si="9"/>
        <v>10</v>
      </c>
      <c r="U48" s="122"/>
      <c r="V48" s="83">
        <f t="shared" si="4"/>
        <v>9</v>
      </c>
      <c r="W48" s="15"/>
      <c r="X48" s="264"/>
      <c r="Y48" s="293"/>
      <c r="Z48" s="264">
        <f t="shared" si="5"/>
        <v>0</v>
      </c>
      <c r="AA48" s="265"/>
      <c r="AB48" s="266"/>
      <c r="AC48" s="275">
        <f t="shared" si="6"/>
        <v>90</v>
      </c>
      <c r="AE48" s="122"/>
      <c r="AF48" s="83">
        <f t="shared" si="7"/>
        <v>10</v>
      </c>
      <c r="AG48" s="15"/>
      <c r="AH48" s="264"/>
      <c r="AI48" s="293"/>
      <c r="AJ48" s="264">
        <f t="shared" si="10"/>
        <v>0</v>
      </c>
      <c r="AK48" s="265"/>
      <c r="AL48" s="266"/>
      <c r="AM48" s="275">
        <f t="shared" si="11"/>
        <v>100</v>
      </c>
    </row>
    <row r="49" spans="1:39" x14ac:dyDescent="0.25">
      <c r="A49" s="122"/>
      <c r="B49" s="83">
        <f t="shared" si="0"/>
        <v>0</v>
      </c>
      <c r="C49" s="15"/>
      <c r="D49" s="264"/>
      <c r="E49" s="293"/>
      <c r="F49" s="264">
        <f t="shared" si="1"/>
        <v>0</v>
      </c>
      <c r="G49" s="265"/>
      <c r="H49" s="266"/>
      <c r="I49" s="275">
        <f t="shared" si="2"/>
        <v>0</v>
      </c>
      <c r="K49" s="122"/>
      <c r="L49" s="83">
        <f t="shared" si="3"/>
        <v>1</v>
      </c>
      <c r="M49" s="15"/>
      <c r="N49" s="264"/>
      <c r="O49" s="293"/>
      <c r="P49" s="264">
        <f t="shared" si="8"/>
        <v>0</v>
      </c>
      <c r="Q49" s="265"/>
      <c r="R49" s="266"/>
      <c r="S49" s="275">
        <f t="shared" si="9"/>
        <v>10</v>
      </c>
      <c r="U49" s="122"/>
      <c r="V49" s="83">
        <f t="shared" si="4"/>
        <v>9</v>
      </c>
      <c r="W49" s="15"/>
      <c r="X49" s="264"/>
      <c r="Y49" s="293"/>
      <c r="Z49" s="264">
        <f t="shared" si="5"/>
        <v>0</v>
      </c>
      <c r="AA49" s="265"/>
      <c r="AB49" s="266"/>
      <c r="AC49" s="275">
        <f t="shared" si="6"/>
        <v>90</v>
      </c>
      <c r="AE49" s="122"/>
      <c r="AF49" s="83">
        <f t="shared" si="7"/>
        <v>10</v>
      </c>
      <c r="AG49" s="15"/>
      <c r="AH49" s="264"/>
      <c r="AI49" s="293"/>
      <c r="AJ49" s="264">
        <f t="shared" si="10"/>
        <v>0</v>
      </c>
      <c r="AK49" s="265"/>
      <c r="AL49" s="266"/>
      <c r="AM49" s="275">
        <f t="shared" si="11"/>
        <v>100</v>
      </c>
    </row>
    <row r="50" spans="1:39" x14ac:dyDescent="0.25">
      <c r="A50" s="122"/>
      <c r="B50" s="83">
        <f t="shared" si="0"/>
        <v>0</v>
      </c>
      <c r="C50" s="15"/>
      <c r="D50" s="264"/>
      <c r="E50" s="293"/>
      <c r="F50" s="264">
        <f t="shared" si="1"/>
        <v>0</v>
      </c>
      <c r="G50" s="265"/>
      <c r="H50" s="266"/>
      <c r="I50" s="275">
        <f t="shared" si="2"/>
        <v>0</v>
      </c>
      <c r="K50" s="122"/>
      <c r="L50" s="83">
        <f t="shared" si="3"/>
        <v>1</v>
      </c>
      <c r="M50" s="15"/>
      <c r="N50" s="264"/>
      <c r="O50" s="293"/>
      <c r="P50" s="264">
        <f t="shared" si="8"/>
        <v>0</v>
      </c>
      <c r="Q50" s="265"/>
      <c r="R50" s="266"/>
      <c r="S50" s="275">
        <f t="shared" si="9"/>
        <v>10</v>
      </c>
      <c r="U50" s="122"/>
      <c r="V50" s="83">
        <f t="shared" si="4"/>
        <v>9</v>
      </c>
      <c r="W50" s="15"/>
      <c r="X50" s="264"/>
      <c r="Y50" s="293"/>
      <c r="Z50" s="264">
        <f t="shared" si="5"/>
        <v>0</v>
      </c>
      <c r="AA50" s="265"/>
      <c r="AB50" s="266"/>
      <c r="AC50" s="275">
        <f t="shared" si="6"/>
        <v>90</v>
      </c>
      <c r="AE50" s="122"/>
      <c r="AF50" s="83">
        <f t="shared" si="7"/>
        <v>10</v>
      </c>
      <c r="AG50" s="15"/>
      <c r="AH50" s="264"/>
      <c r="AI50" s="293"/>
      <c r="AJ50" s="264">
        <f t="shared" si="10"/>
        <v>0</v>
      </c>
      <c r="AK50" s="265"/>
      <c r="AL50" s="266"/>
      <c r="AM50" s="275">
        <f t="shared" si="11"/>
        <v>100</v>
      </c>
    </row>
    <row r="51" spans="1:39" x14ac:dyDescent="0.25">
      <c r="A51" s="122"/>
      <c r="B51" s="83">
        <f t="shared" si="0"/>
        <v>0</v>
      </c>
      <c r="C51" s="15"/>
      <c r="D51" s="264"/>
      <c r="E51" s="293"/>
      <c r="F51" s="264">
        <f t="shared" si="1"/>
        <v>0</v>
      </c>
      <c r="G51" s="265"/>
      <c r="H51" s="266"/>
      <c r="I51" s="275">
        <f t="shared" si="2"/>
        <v>0</v>
      </c>
      <c r="K51" s="122"/>
      <c r="L51" s="83">
        <f t="shared" si="3"/>
        <v>1</v>
      </c>
      <c r="M51" s="15"/>
      <c r="N51" s="264"/>
      <c r="O51" s="293"/>
      <c r="P51" s="264">
        <f t="shared" si="8"/>
        <v>0</v>
      </c>
      <c r="Q51" s="265"/>
      <c r="R51" s="266"/>
      <c r="S51" s="275">
        <f t="shared" si="9"/>
        <v>10</v>
      </c>
      <c r="U51" s="122"/>
      <c r="V51" s="83">
        <f t="shared" si="4"/>
        <v>9</v>
      </c>
      <c r="W51" s="15"/>
      <c r="X51" s="264"/>
      <c r="Y51" s="293"/>
      <c r="Z51" s="264">
        <f t="shared" si="5"/>
        <v>0</v>
      </c>
      <c r="AA51" s="265"/>
      <c r="AB51" s="266"/>
      <c r="AC51" s="275">
        <f t="shared" si="6"/>
        <v>90</v>
      </c>
      <c r="AE51" s="122"/>
      <c r="AF51" s="83">
        <f t="shared" si="7"/>
        <v>10</v>
      </c>
      <c r="AG51" s="15"/>
      <c r="AH51" s="264"/>
      <c r="AI51" s="293"/>
      <c r="AJ51" s="264">
        <f t="shared" si="10"/>
        <v>0</v>
      </c>
      <c r="AK51" s="265"/>
      <c r="AL51" s="266"/>
      <c r="AM51" s="275">
        <f t="shared" si="11"/>
        <v>100</v>
      </c>
    </row>
    <row r="52" spans="1:39" x14ac:dyDescent="0.25">
      <c r="A52" s="122"/>
      <c r="B52" s="83">
        <f t="shared" si="0"/>
        <v>0</v>
      </c>
      <c r="C52" s="15"/>
      <c r="D52" s="264"/>
      <c r="E52" s="293"/>
      <c r="F52" s="264">
        <f t="shared" si="1"/>
        <v>0</v>
      </c>
      <c r="G52" s="265"/>
      <c r="H52" s="266"/>
      <c r="I52" s="275">
        <f t="shared" si="2"/>
        <v>0</v>
      </c>
      <c r="K52" s="122"/>
      <c r="L52" s="83">
        <f t="shared" si="3"/>
        <v>1</v>
      </c>
      <c r="M52" s="15"/>
      <c r="N52" s="264"/>
      <c r="O52" s="293"/>
      <c r="P52" s="264">
        <f t="shared" si="8"/>
        <v>0</v>
      </c>
      <c r="Q52" s="265"/>
      <c r="R52" s="266"/>
      <c r="S52" s="275">
        <f t="shared" si="9"/>
        <v>10</v>
      </c>
      <c r="U52" s="122"/>
      <c r="V52" s="83">
        <f t="shared" si="4"/>
        <v>9</v>
      </c>
      <c r="W52" s="15"/>
      <c r="X52" s="264"/>
      <c r="Y52" s="293"/>
      <c r="Z52" s="264">
        <f t="shared" si="5"/>
        <v>0</v>
      </c>
      <c r="AA52" s="265"/>
      <c r="AB52" s="266"/>
      <c r="AC52" s="275">
        <f t="shared" si="6"/>
        <v>90</v>
      </c>
      <c r="AE52" s="122"/>
      <c r="AF52" s="83">
        <f t="shared" si="7"/>
        <v>10</v>
      </c>
      <c r="AG52" s="15"/>
      <c r="AH52" s="264"/>
      <c r="AI52" s="293"/>
      <c r="AJ52" s="264">
        <f t="shared" si="10"/>
        <v>0</v>
      </c>
      <c r="AK52" s="265"/>
      <c r="AL52" s="266"/>
      <c r="AM52" s="275">
        <f t="shared" si="11"/>
        <v>100</v>
      </c>
    </row>
    <row r="53" spans="1:39" x14ac:dyDescent="0.25">
      <c r="A53" s="122"/>
      <c r="B53" s="83">
        <f t="shared" si="0"/>
        <v>0</v>
      </c>
      <c r="C53" s="15"/>
      <c r="D53" s="264"/>
      <c r="E53" s="293"/>
      <c r="F53" s="264">
        <f t="shared" si="1"/>
        <v>0</v>
      </c>
      <c r="G53" s="265"/>
      <c r="H53" s="266"/>
      <c r="I53" s="275">
        <f t="shared" si="2"/>
        <v>0</v>
      </c>
      <c r="K53" s="122"/>
      <c r="L53" s="83">
        <f t="shared" si="3"/>
        <v>1</v>
      </c>
      <c r="M53" s="15"/>
      <c r="N53" s="264"/>
      <c r="O53" s="293"/>
      <c r="P53" s="264">
        <f t="shared" si="8"/>
        <v>0</v>
      </c>
      <c r="Q53" s="265"/>
      <c r="R53" s="266"/>
      <c r="S53" s="275">
        <f t="shared" si="9"/>
        <v>10</v>
      </c>
      <c r="U53" s="122"/>
      <c r="V53" s="83">
        <f t="shared" si="4"/>
        <v>9</v>
      </c>
      <c r="W53" s="15"/>
      <c r="X53" s="264"/>
      <c r="Y53" s="293"/>
      <c r="Z53" s="264">
        <f t="shared" si="5"/>
        <v>0</v>
      </c>
      <c r="AA53" s="265"/>
      <c r="AB53" s="266"/>
      <c r="AC53" s="275">
        <f t="shared" si="6"/>
        <v>90</v>
      </c>
      <c r="AE53" s="122"/>
      <c r="AF53" s="83">
        <f t="shared" si="7"/>
        <v>10</v>
      </c>
      <c r="AG53" s="15"/>
      <c r="AH53" s="264"/>
      <c r="AI53" s="293"/>
      <c r="AJ53" s="264">
        <f t="shared" si="10"/>
        <v>0</v>
      </c>
      <c r="AK53" s="265"/>
      <c r="AL53" s="266"/>
      <c r="AM53" s="275">
        <f t="shared" si="11"/>
        <v>100</v>
      </c>
    </row>
    <row r="54" spans="1:39" x14ac:dyDescent="0.25">
      <c r="A54" s="122"/>
      <c r="B54" s="83">
        <f t="shared" si="0"/>
        <v>0</v>
      </c>
      <c r="C54" s="15"/>
      <c r="D54" s="264"/>
      <c r="E54" s="293"/>
      <c r="F54" s="264">
        <f t="shared" si="1"/>
        <v>0</v>
      </c>
      <c r="G54" s="265"/>
      <c r="H54" s="266"/>
      <c r="I54" s="275">
        <f t="shared" si="2"/>
        <v>0</v>
      </c>
      <c r="K54" s="122"/>
      <c r="L54" s="83">
        <f t="shared" si="3"/>
        <v>1</v>
      </c>
      <c r="M54" s="15"/>
      <c r="N54" s="264"/>
      <c r="O54" s="293"/>
      <c r="P54" s="264">
        <f t="shared" si="8"/>
        <v>0</v>
      </c>
      <c r="Q54" s="265"/>
      <c r="R54" s="266"/>
      <c r="S54" s="275">
        <f t="shared" si="9"/>
        <v>10</v>
      </c>
      <c r="U54" s="122"/>
      <c r="V54" s="83">
        <f t="shared" si="4"/>
        <v>9</v>
      </c>
      <c r="W54" s="15"/>
      <c r="X54" s="264"/>
      <c r="Y54" s="293"/>
      <c r="Z54" s="264">
        <f t="shared" si="5"/>
        <v>0</v>
      </c>
      <c r="AA54" s="265"/>
      <c r="AB54" s="266"/>
      <c r="AC54" s="275">
        <f t="shared" si="6"/>
        <v>90</v>
      </c>
      <c r="AE54" s="122"/>
      <c r="AF54" s="83">
        <f t="shared" si="7"/>
        <v>10</v>
      </c>
      <c r="AG54" s="15"/>
      <c r="AH54" s="264"/>
      <c r="AI54" s="293"/>
      <c r="AJ54" s="264">
        <f t="shared" si="10"/>
        <v>0</v>
      </c>
      <c r="AK54" s="265"/>
      <c r="AL54" s="266"/>
      <c r="AM54" s="275">
        <f t="shared" si="11"/>
        <v>100</v>
      </c>
    </row>
    <row r="55" spans="1:39" x14ac:dyDescent="0.25">
      <c r="A55" s="122"/>
      <c r="B55" s="12">
        <f t="shared" si="0"/>
        <v>0</v>
      </c>
      <c r="C55" s="15"/>
      <c r="D55" s="264"/>
      <c r="E55" s="293"/>
      <c r="F55" s="264">
        <f t="shared" si="1"/>
        <v>0</v>
      </c>
      <c r="G55" s="265"/>
      <c r="H55" s="266"/>
      <c r="I55" s="275">
        <f t="shared" si="2"/>
        <v>0</v>
      </c>
      <c r="K55" s="122"/>
      <c r="L55" s="12">
        <f t="shared" si="3"/>
        <v>1</v>
      </c>
      <c r="M55" s="15"/>
      <c r="N55" s="264"/>
      <c r="O55" s="293"/>
      <c r="P55" s="264">
        <f t="shared" si="8"/>
        <v>0</v>
      </c>
      <c r="Q55" s="265"/>
      <c r="R55" s="266"/>
      <c r="S55" s="275">
        <f t="shared" si="9"/>
        <v>10</v>
      </c>
      <c r="U55" s="122"/>
      <c r="V55" s="12">
        <f t="shared" si="4"/>
        <v>9</v>
      </c>
      <c r="W55" s="15"/>
      <c r="X55" s="264"/>
      <c r="Y55" s="293"/>
      <c r="Z55" s="264">
        <f t="shared" si="5"/>
        <v>0</v>
      </c>
      <c r="AA55" s="265"/>
      <c r="AB55" s="266"/>
      <c r="AC55" s="275">
        <f t="shared" si="6"/>
        <v>90</v>
      </c>
      <c r="AE55" s="122"/>
      <c r="AF55" s="12">
        <f t="shared" si="7"/>
        <v>10</v>
      </c>
      <c r="AG55" s="15"/>
      <c r="AH55" s="264"/>
      <c r="AI55" s="293"/>
      <c r="AJ55" s="264">
        <f t="shared" si="10"/>
        <v>0</v>
      </c>
      <c r="AK55" s="265"/>
      <c r="AL55" s="266"/>
      <c r="AM55" s="275">
        <f t="shared" si="11"/>
        <v>100</v>
      </c>
    </row>
    <row r="56" spans="1:39" x14ac:dyDescent="0.25">
      <c r="A56" s="122"/>
      <c r="B56" s="12">
        <f t="shared" si="0"/>
        <v>0</v>
      </c>
      <c r="C56" s="15"/>
      <c r="D56" s="264"/>
      <c r="E56" s="293"/>
      <c r="F56" s="264">
        <f t="shared" si="1"/>
        <v>0</v>
      </c>
      <c r="G56" s="265"/>
      <c r="H56" s="266"/>
      <c r="I56" s="275">
        <f t="shared" si="2"/>
        <v>0</v>
      </c>
      <c r="K56" s="122"/>
      <c r="L56" s="12">
        <f t="shared" si="3"/>
        <v>1</v>
      </c>
      <c r="M56" s="15"/>
      <c r="N56" s="264"/>
      <c r="O56" s="293"/>
      <c r="P56" s="264">
        <f t="shared" si="8"/>
        <v>0</v>
      </c>
      <c r="Q56" s="265"/>
      <c r="R56" s="266"/>
      <c r="S56" s="275">
        <f t="shared" si="9"/>
        <v>10</v>
      </c>
      <c r="U56" s="122"/>
      <c r="V56" s="12">
        <f t="shared" si="4"/>
        <v>9</v>
      </c>
      <c r="W56" s="15"/>
      <c r="X56" s="264"/>
      <c r="Y56" s="293"/>
      <c r="Z56" s="264">
        <f t="shared" si="5"/>
        <v>0</v>
      </c>
      <c r="AA56" s="265"/>
      <c r="AB56" s="266"/>
      <c r="AC56" s="275">
        <f t="shared" si="6"/>
        <v>90</v>
      </c>
      <c r="AE56" s="122"/>
      <c r="AF56" s="12">
        <f t="shared" si="7"/>
        <v>10</v>
      </c>
      <c r="AG56" s="15"/>
      <c r="AH56" s="264"/>
      <c r="AI56" s="293"/>
      <c r="AJ56" s="264">
        <f t="shared" si="10"/>
        <v>0</v>
      </c>
      <c r="AK56" s="265"/>
      <c r="AL56" s="266"/>
      <c r="AM56" s="275">
        <f t="shared" si="11"/>
        <v>100</v>
      </c>
    </row>
    <row r="57" spans="1:39" x14ac:dyDescent="0.25">
      <c r="A57" s="122"/>
      <c r="B57" s="12">
        <f t="shared" si="0"/>
        <v>0</v>
      </c>
      <c r="C57" s="15"/>
      <c r="D57" s="264"/>
      <c r="E57" s="293"/>
      <c r="F57" s="264">
        <f t="shared" si="1"/>
        <v>0</v>
      </c>
      <c r="G57" s="265"/>
      <c r="H57" s="266"/>
      <c r="I57" s="275">
        <f t="shared" si="2"/>
        <v>0</v>
      </c>
      <c r="K57" s="122"/>
      <c r="L57" s="12">
        <f t="shared" si="3"/>
        <v>1</v>
      </c>
      <c r="M57" s="15"/>
      <c r="N57" s="264"/>
      <c r="O57" s="293"/>
      <c r="P57" s="264">
        <f t="shared" si="8"/>
        <v>0</v>
      </c>
      <c r="Q57" s="265"/>
      <c r="R57" s="266"/>
      <c r="S57" s="275">
        <f t="shared" si="9"/>
        <v>10</v>
      </c>
      <c r="U57" s="122"/>
      <c r="V57" s="12">
        <f t="shared" si="4"/>
        <v>9</v>
      </c>
      <c r="W57" s="15"/>
      <c r="X57" s="264"/>
      <c r="Y57" s="293"/>
      <c r="Z57" s="264">
        <f t="shared" si="5"/>
        <v>0</v>
      </c>
      <c r="AA57" s="265"/>
      <c r="AB57" s="266"/>
      <c r="AC57" s="275">
        <f t="shared" si="6"/>
        <v>90</v>
      </c>
      <c r="AE57" s="122"/>
      <c r="AF57" s="12">
        <f t="shared" si="7"/>
        <v>10</v>
      </c>
      <c r="AG57" s="15"/>
      <c r="AH57" s="264"/>
      <c r="AI57" s="293"/>
      <c r="AJ57" s="264">
        <f t="shared" si="10"/>
        <v>0</v>
      </c>
      <c r="AK57" s="265"/>
      <c r="AL57" s="266"/>
      <c r="AM57" s="275">
        <f t="shared" si="11"/>
        <v>100</v>
      </c>
    </row>
    <row r="58" spans="1:39" x14ac:dyDescent="0.25">
      <c r="A58" s="122"/>
      <c r="B58" s="12">
        <f t="shared" si="0"/>
        <v>0</v>
      </c>
      <c r="C58" s="15"/>
      <c r="D58" s="264"/>
      <c r="E58" s="293"/>
      <c r="F58" s="264">
        <f t="shared" si="1"/>
        <v>0</v>
      </c>
      <c r="G58" s="265"/>
      <c r="H58" s="266"/>
      <c r="I58" s="275">
        <f t="shared" si="2"/>
        <v>0</v>
      </c>
      <c r="K58" s="122"/>
      <c r="L58" s="12">
        <f t="shared" si="3"/>
        <v>1</v>
      </c>
      <c r="M58" s="15"/>
      <c r="N58" s="264"/>
      <c r="O58" s="293"/>
      <c r="P58" s="264">
        <f t="shared" si="8"/>
        <v>0</v>
      </c>
      <c r="Q58" s="265"/>
      <c r="R58" s="266"/>
      <c r="S58" s="275">
        <f t="shared" si="9"/>
        <v>10</v>
      </c>
      <c r="U58" s="122"/>
      <c r="V58" s="12">
        <f t="shared" si="4"/>
        <v>9</v>
      </c>
      <c r="W58" s="15"/>
      <c r="X58" s="264"/>
      <c r="Y58" s="293"/>
      <c r="Z58" s="264">
        <f t="shared" si="5"/>
        <v>0</v>
      </c>
      <c r="AA58" s="265"/>
      <c r="AB58" s="266"/>
      <c r="AC58" s="275">
        <f t="shared" si="6"/>
        <v>90</v>
      </c>
      <c r="AE58" s="122"/>
      <c r="AF58" s="12">
        <f t="shared" si="7"/>
        <v>10</v>
      </c>
      <c r="AG58" s="15"/>
      <c r="AH58" s="264"/>
      <c r="AI58" s="293"/>
      <c r="AJ58" s="264">
        <f t="shared" si="10"/>
        <v>0</v>
      </c>
      <c r="AK58" s="265"/>
      <c r="AL58" s="266"/>
      <c r="AM58" s="275">
        <f t="shared" si="11"/>
        <v>100</v>
      </c>
    </row>
    <row r="59" spans="1:39" x14ac:dyDescent="0.25">
      <c r="A59" s="122"/>
      <c r="B59" s="12">
        <f t="shared" si="0"/>
        <v>0</v>
      </c>
      <c r="C59" s="15"/>
      <c r="D59" s="264"/>
      <c r="E59" s="293"/>
      <c r="F59" s="264">
        <f t="shared" si="1"/>
        <v>0</v>
      </c>
      <c r="G59" s="265"/>
      <c r="H59" s="266"/>
      <c r="I59" s="275">
        <f t="shared" si="2"/>
        <v>0</v>
      </c>
      <c r="K59" s="122"/>
      <c r="L59" s="12">
        <f t="shared" si="3"/>
        <v>1</v>
      </c>
      <c r="M59" s="15"/>
      <c r="N59" s="264"/>
      <c r="O59" s="293"/>
      <c r="P59" s="264">
        <f t="shared" si="8"/>
        <v>0</v>
      </c>
      <c r="Q59" s="265"/>
      <c r="R59" s="266"/>
      <c r="S59" s="275">
        <f t="shared" si="9"/>
        <v>10</v>
      </c>
      <c r="U59" s="122"/>
      <c r="V59" s="12">
        <f t="shared" si="4"/>
        <v>9</v>
      </c>
      <c r="W59" s="15"/>
      <c r="X59" s="264"/>
      <c r="Y59" s="293"/>
      <c r="Z59" s="264">
        <f t="shared" si="5"/>
        <v>0</v>
      </c>
      <c r="AA59" s="265"/>
      <c r="AB59" s="266"/>
      <c r="AC59" s="275">
        <f t="shared" si="6"/>
        <v>90</v>
      </c>
      <c r="AE59" s="122"/>
      <c r="AF59" s="12">
        <f t="shared" si="7"/>
        <v>10</v>
      </c>
      <c r="AG59" s="15"/>
      <c r="AH59" s="264"/>
      <c r="AI59" s="293"/>
      <c r="AJ59" s="264">
        <f t="shared" si="10"/>
        <v>0</v>
      </c>
      <c r="AK59" s="265"/>
      <c r="AL59" s="266"/>
      <c r="AM59" s="275">
        <f t="shared" si="11"/>
        <v>100</v>
      </c>
    </row>
    <row r="60" spans="1:39" x14ac:dyDescent="0.25">
      <c r="A60" s="122"/>
      <c r="B60" s="12">
        <f t="shared" si="0"/>
        <v>0</v>
      </c>
      <c r="C60" s="15"/>
      <c r="D60" s="264"/>
      <c r="E60" s="293"/>
      <c r="F60" s="264">
        <f t="shared" si="1"/>
        <v>0</v>
      </c>
      <c r="G60" s="265"/>
      <c r="H60" s="266"/>
      <c r="I60" s="275">
        <f t="shared" si="2"/>
        <v>0</v>
      </c>
      <c r="K60" s="122"/>
      <c r="L60" s="12">
        <f t="shared" si="3"/>
        <v>1</v>
      </c>
      <c r="M60" s="15"/>
      <c r="N60" s="264"/>
      <c r="O60" s="293"/>
      <c r="P60" s="264">
        <f t="shared" si="8"/>
        <v>0</v>
      </c>
      <c r="Q60" s="265"/>
      <c r="R60" s="266"/>
      <c r="S60" s="275">
        <f t="shared" si="9"/>
        <v>10</v>
      </c>
      <c r="U60" s="122"/>
      <c r="V60" s="12">
        <f t="shared" si="4"/>
        <v>9</v>
      </c>
      <c r="W60" s="15"/>
      <c r="X60" s="264"/>
      <c r="Y60" s="293"/>
      <c r="Z60" s="264">
        <f t="shared" si="5"/>
        <v>0</v>
      </c>
      <c r="AA60" s="265"/>
      <c r="AB60" s="266"/>
      <c r="AC60" s="275">
        <f t="shared" si="6"/>
        <v>90</v>
      </c>
      <c r="AE60" s="122"/>
      <c r="AF60" s="12">
        <f t="shared" si="7"/>
        <v>10</v>
      </c>
      <c r="AG60" s="15"/>
      <c r="AH60" s="264"/>
      <c r="AI60" s="293"/>
      <c r="AJ60" s="264">
        <f t="shared" si="10"/>
        <v>0</v>
      </c>
      <c r="AK60" s="265"/>
      <c r="AL60" s="266"/>
      <c r="AM60" s="275">
        <f t="shared" si="11"/>
        <v>100</v>
      </c>
    </row>
    <row r="61" spans="1:39" x14ac:dyDescent="0.25">
      <c r="A61" s="122"/>
      <c r="B61" s="12">
        <f t="shared" si="0"/>
        <v>0</v>
      </c>
      <c r="C61" s="15"/>
      <c r="D61" s="264"/>
      <c r="E61" s="293"/>
      <c r="F61" s="264">
        <f t="shared" si="1"/>
        <v>0</v>
      </c>
      <c r="G61" s="265"/>
      <c r="H61" s="266"/>
      <c r="I61" s="275">
        <f t="shared" si="2"/>
        <v>0</v>
      </c>
      <c r="K61" s="122"/>
      <c r="L61" s="12">
        <f t="shared" si="3"/>
        <v>1</v>
      </c>
      <c r="M61" s="15"/>
      <c r="N61" s="264"/>
      <c r="O61" s="293"/>
      <c r="P61" s="264">
        <f t="shared" si="8"/>
        <v>0</v>
      </c>
      <c r="Q61" s="265"/>
      <c r="R61" s="266"/>
      <c r="S61" s="275">
        <f t="shared" si="9"/>
        <v>10</v>
      </c>
      <c r="U61" s="122"/>
      <c r="V61" s="12">
        <f t="shared" si="4"/>
        <v>9</v>
      </c>
      <c r="W61" s="15"/>
      <c r="X61" s="264"/>
      <c r="Y61" s="293"/>
      <c r="Z61" s="264">
        <f t="shared" si="5"/>
        <v>0</v>
      </c>
      <c r="AA61" s="265"/>
      <c r="AB61" s="266"/>
      <c r="AC61" s="275">
        <f t="shared" si="6"/>
        <v>90</v>
      </c>
      <c r="AE61" s="122"/>
      <c r="AF61" s="12">
        <f t="shared" si="7"/>
        <v>10</v>
      </c>
      <c r="AG61" s="15"/>
      <c r="AH61" s="264"/>
      <c r="AI61" s="293"/>
      <c r="AJ61" s="264">
        <f t="shared" si="10"/>
        <v>0</v>
      </c>
      <c r="AK61" s="265"/>
      <c r="AL61" s="266"/>
      <c r="AM61" s="275">
        <f t="shared" si="11"/>
        <v>100</v>
      </c>
    </row>
    <row r="62" spans="1:39" x14ac:dyDescent="0.25">
      <c r="A62" s="122"/>
      <c r="B62" s="12">
        <f t="shared" si="0"/>
        <v>0</v>
      </c>
      <c r="C62" s="15"/>
      <c r="D62" s="264"/>
      <c r="E62" s="293"/>
      <c r="F62" s="264">
        <f t="shared" si="1"/>
        <v>0</v>
      </c>
      <c r="G62" s="265"/>
      <c r="H62" s="266"/>
      <c r="I62" s="275">
        <f t="shared" si="2"/>
        <v>0</v>
      </c>
      <c r="K62" s="122"/>
      <c r="L62" s="12">
        <f t="shared" si="3"/>
        <v>1</v>
      </c>
      <c r="M62" s="15"/>
      <c r="N62" s="264"/>
      <c r="O62" s="293"/>
      <c r="P62" s="264">
        <f t="shared" si="8"/>
        <v>0</v>
      </c>
      <c r="Q62" s="265"/>
      <c r="R62" s="266"/>
      <c r="S62" s="275">
        <f t="shared" si="9"/>
        <v>10</v>
      </c>
      <c r="U62" s="122"/>
      <c r="V62" s="12">
        <f t="shared" si="4"/>
        <v>9</v>
      </c>
      <c r="W62" s="15"/>
      <c r="X62" s="264"/>
      <c r="Y62" s="293"/>
      <c r="Z62" s="264">
        <f t="shared" si="5"/>
        <v>0</v>
      </c>
      <c r="AA62" s="265"/>
      <c r="AB62" s="266"/>
      <c r="AC62" s="275">
        <f t="shared" si="6"/>
        <v>90</v>
      </c>
      <c r="AE62" s="122"/>
      <c r="AF62" s="12">
        <f t="shared" si="7"/>
        <v>10</v>
      </c>
      <c r="AG62" s="15"/>
      <c r="AH62" s="264"/>
      <c r="AI62" s="293"/>
      <c r="AJ62" s="264">
        <f t="shared" si="10"/>
        <v>0</v>
      </c>
      <c r="AK62" s="265"/>
      <c r="AL62" s="266"/>
      <c r="AM62" s="275">
        <f t="shared" si="11"/>
        <v>100</v>
      </c>
    </row>
    <row r="63" spans="1:39" x14ac:dyDescent="0.25">
      <c r="A63" s="122"/>
      <c r="B63" s="12">
        <f t="shared" si="0"/>
        <v>0</v>
      </c>
      <c r="C63" s="15"/>
      <c r="D63" s="264"/>
      <c r="E63" s="293"/>
      <c r="F63" s="264">
        <f t="shared" si="1"/>
        <v>0</v>
      </c>
      <c r="G63" s="265"/>
      <c r="H63" s="266"/>
      <c r="I63" s="275">
        <f t="shared" si="2"/>
        <v>0</v>
      </c>
      <c r="K63" s="122"/>
      <c r="L63" s="12">
        <f t="shared" si="3"/>
        <v>1</v>
      </c>
      <c r="M63" s="15"/>
      <c r="N63" s="264"/>
      <c r="O63" s="293"/>
      <c r="P63" s="264">
        <f t="shared" si="8"/>
        <v>0</v>
      </c>
      <c r="Q63" s="265"/>
      <c r="R63" s="266"/>
      <c r="S63" s="275">
        <f t="shared" si="9"/>
        <v>10</v>
      </c>
      <c r="U63" s="122"/>
      <c r="V63" s="12">
        <f t="shared" si="4"/>
        <v>9</v>
      </c>
      <c r="W63" s="15"/>
      <c r="X63" s="264"/>
      <c r="Y63" s="293"/>
      <c r="Z63" s="264">
        <f t="shared" si="5"/>
        <v>0</v>
      </c>
      <c r="AA63" s="265"/>
      <c r="AB63" s="266"/>
      <c r="AC63" s="275">
        <f t="shared" si="6"/>
        <v>90</v>
      </c>
      <c r="AE63" s="122"/>
      <c r="AF63" s="12">
        <f t="shared" si="7"/>
        <v>10</v>
      </c>
      <c r="AG63" s="15"/>
      <c r="AH63" s="264"/>
      <c r="AI63" s="293"/>
      <c r="AJ63" s="264">
        <f t="shared" si="10"/>
        <v>0</v>
      </c>
      <c r="AK63" s="265"/>
      <c r="AL63" s="266"/>
      <c r="AM63" s="275">
        <f t="shared" si="11"/>
        <v>100</v>
      </c>
    </row>
    <row r="64" spans="1:39" x14ac:dyDescent="0.25">
      <c r="A64" s="122"/>
      <c r="B64" s="12">
        <f t="shared" si="0"/>
        <v>0</v>
      </c>
      <c r="C64" s="15"/>
      <c r="D64" s="264"/>
      <c r="E64" s="293"/>
      <c r="F64" s="264">
        <f t="shared" si="1"/>
        <v>0</v>
      </c>
      <c r="G64" s="265"/>
      <c r="H64" s="266"/>
      <c r="I64" s="275">
        <f t="shared" si="2"/>
        <v>0</v>
      </c>
      <c r="K64" s="122"/>
      <c r="L64" s="12">
        <f t="shared" si="3"/>
        <v>1</v>
      </c>
      <c r="M64" s="15"/>
      <c r="N64" s="264"/>
      <c r="O64" s="293"/>
      <c r="P64" s="264">
        <f t="shared" si="8"/>
        <v>0</v>
      </c>
      <c r="Q64" s="265"/>
      <c r="R64" s="266"/>
      <c r="S64" s="275">
        <f t="shared" si="9"/>
        <v>10</v>
      </c>
      <c r="U64" s="122"/>
      <c r="V64" s="12">
        <f t="shared" si="4"/>
        <v>9</v>
      </c>
      <c r="W64" s="15"/>
      <c r="X64" s="264"/>
      <c r="Y64" s="293"/>
      <c r="Z64" s="264">
        <f t="shared" si="5"/>
        <v>0</v>
      </c>
      <c r="AA64" s="265"/>
      <c r="AB64" s="266"/>
      <c r="AC64" s="275">
        <f t="shared" si="6"/>
        <v>90</v>
      </c>
      <c r="AE64" s="122"/>
      <c r="AF64" s="12">
        <f t="shared" si="7"/>
        <v>10</v>
      </c>
      <c r="AG64" s="15"/>
      <c r="AH64" s="264"/>
      <c r="AI64" s="293"/>
      <c r="AJ64" s="264">
        <f t="shared" si="10"/>
        <v>0</v>
      </c>
      <c r="AK64" s="265"/>
      <c r="AL64" s="266"/>
      <c r="AM64" s="275">
        <f t="shared" si="11"/>
        <v>100</v>
      </c>
    </row>
    <row r="65" spans="1:39" x14ac:dyDescent="0.25">
      <c r="A65" s="122"/>
      <c r="B65" s="12">
        <f t="shared" si="0"/>
        <v>0</v>
      </c>
      <c r="C65" s="15"/>
      <c r="D65" s="264"/>
      <c r="E65" s="293"/>
      <c r="F65" s="264">
        <f t="shared" si="1"/>
        <v>0</v>
      </c>
      <c r="G65" s="265"/>
      <c r="H65" s="266"/>
      <c r="I65" s="275">
        <f t="shared" si="2"/>
        <v>0</v>
      </c>
      <c r="K65" s="122"/>
      <c r="L65" s="12">
        <f t="shared" si="3"/>
        <v>1</v>
      </c>
      <c r="M65" s="15"/>
      <c r="N65" s="264"/>
      <c r="O65" s="293"/>
      <c r="P65" s="264">
        <f t="shared" si="8"/>
        <v>0</v>
      </c>
      <c r="Q65" s="265"/>
      <c r="R65" s="266"/>
      <c r="S65" s="275">
        <f t="shared" si="9"/>
        <v>10</v>
      </c>
      <c r="U65" s="122"/>
      <c r="V65" s="12">
        <f t="shared" si="4"/>
        <v>9</v>
      </c>
      <c r="W65" s="15"/>
      <c r="X65" s="264"/>
      <c r="Y65" s="293"/>
      <c r="Z65" s="264">
        <f t="shared" si="5"/>
        <v>0</v>
      </c>
      <c r="AA65" s="265"/>
      <c r="AB65" s="266"/>
      <c r="AC65" s="275">
        <f t="shared" si="6"/>
        <v>90</v>
      </c>
      <c r="AE65" s="122"/>
      <c r="AF65" s="12">
        <f t="shared" si="7"/>
        <v>10</v>
      </c>
      <c r="AG65" s="15"/>
      <c r="AH65" s="264"/>
      <c r="AI65" s="293"/>
      <c r="AJ65" s="264">
        <f t="shared" si="10"/>
        <v>0</v>
      </c>
      <c r="AK65" s="265"/>
      <c r="AL65" s="266"/>
      <c r="AM65" s="275">
        <f t="shared" si="11"/>
        <v>100</v>
      </c>
    </row>
    <row r="66" spans="1:39" x14ac:dyDescent="0.25">
      <c r="A66" s="122"/>
      <c r="B66" s="12">
        <f t="shared" si="0"/>
        <v>0</v>
      </c>
      <c r="C66" s="15"/>
      <c r="D66" s="264"/>
      <c r="E66" s="293"/>
      <c r="F66" s="264">
        <f t="shared" si="1"/>
        <v>0</v>
      </c>
      <c r="G66" s="265"/>
      <c r="H66" s="266"/>
      <c r="I66" s="275">
        <f t="shared" si="2"/>
        <v>0</v>
      </c>
      <c r="K66" s="122"/>
      <c r="L66" s="12">
        <f t="shared" si="3"/>
        <v>1</v>
      </c>
      <c r="M66" s="15"/>
      <c r="N66" s="264"/>
      <c r="O66" s="293"/>
      <c r="P66" s="264">
        <f t="shared" si="8"/>
        <v>0</v>
      </c>
      <c r="Q66" s="265"/>
      <c r="R66" s="266"/>
      <c r="S66" s="275">
        <f t="shared" si="9"/>
        <v>10</v>
      </c>
      <c r="U66" s="122"/>
      <c r="V66" s="12">
        <f t="shared" si="4"/>
        <v>9</v>
      </c>
      <c r="W66" s="15"/>
      <c r="X66" s="264"/>
      <c r="Y66" s="293"/>
      <c r="Z66" s="264">
        <f t="shared" si="5"/>
        <v>0</v>
      </c>
      <c r="AA66" s="265"/>
      <c r="AB66" s="266"/>
      <c r="AC66" s="275">
        <f t="shared" si="6"/>
        <v>90</v>
      </c>
      <c r="AE66" s="122"/>
      <c r="AF66" s="12">
        <f t="shared" si="7"/>
        <v>10</v>
      </c>
      <c r="AG66" s="15"/>
      <c r="AH66" s="264"/>
      <c r="AI66" s="293"/>
      <c r="AJ66" s="264">
        <f t="shared" si="10"/>
        <v>0</v>
      </c>
      <c r="AK66" s="265"/>
      <c r="AL66" s="266"/>
      <c r="AM66" s="275">
        <f t="shared" si="11"/>
        <v>100</v>
      </c>
    </row>
    <row r="67" spans="1:39" x14ac:dyDescent="0.25">
      <c r="A67" s="122"/>
      <c r="B67" s="12">
        <f t="shared" si="0"/>
        <v>0</v>
      </c>
      <c r="C67" s="15"/>
      <c r="D67" s="69"/>
      <c r="E67" s="216"/>
      <c r="F67" s="264">
        <f t="shared" si="1"/>
        <v>0</v>
      </c>
      <c r="G67" s="70"/>
      <c r="H67" s="71"/>
      <c r="I67" s="105">
        <f t="shared" si="2"/>
        <v>0</v>
      </c>
      <c r="K67" s="122"/>
      <c r="L67" s="12">
        <f t="shared" si="3"/>
        <v>1</v>
      </c>
      <c r="M67" s="15"/>
      <c r="N67" s="69"/>
      <c r="O67" s="216"/>
      <c r="P67" s="69">
        <f t="shared" si="8"/>
        <v>0</v>
      </c>
      <c r="Q67" s="70"/>
      <c r="R67" s="71"/>
      <c r="S67" s="105">
        <f t="shared" si="9"/>
        <v>10</v>
      </c>
      <c r="U67" s="122"/>
      <c r="V67" s="12">
        <f t="shared" si="4"/>
        <v>9</v>
      </c>
      <c r="W67" s="15"/>
      <c r="X67" s="69"/>
      <c r="Y67" s="216"/>
      <c r="Z67" s="264">
        <f t="shared" si="5"/>
        <v>0</v>
      </c>
      <c r="AA67" s="70"/>
      <c r="AB67" s="71"/>
      <c r="AC67" s="105">
        <f t="shared" si="6"/>
        <v>90</v>
      </c>
      <c r="AE67" s="122"/>
      <c r="AF67" s="12">
        <f t="shared" si="7"/>
        <v>10</v>
      </c>
      <c r="AG67" s="15"/>
      <c r="AH67" s="69"/>
      <c r="AI67" s="216"/>
      <c r="AJ67" s="69">
        <f t="shared" si="10"/>
        <v>0</v>
      </c>
      <c r="AK67" s="70"/>
      <c r="AL67" s="71"/>
      <c r="AM67" s="105">
        <f t="shared" si="11"/>
        <v>100</v>
      </c>
    </row>
    <row r="68" spans="1:39" x14ac:dyDescent="0.25">
      <c r="A68" s="122"/>
      <c r="B68" s="12">
        <f t="shared" si="0"/>
        <v>0</v>
      </c>
      <c r="C68" s="15"/>
      <c r="D68" s="59"/>
      <c r="E68" s="223"/>
      <c r="F68" s="264">
        <f t="shared" si="1"/>
        <v>0</v>
      </c>
      <c r="G68" s="70"/>
      <c r="H68" s="71"/>
      <c r="I68" s="105">
        <f t="shared" si="2"/>
        <v>0</v>
      </c>
      <c r="K68" s="122"/>
      <c r="L68" s="12">
        <f t="shared" si="3"/>
        <v>1</v>
      </c>
      <c r="M68" s="15"/>
      <c r="N68" s="59"/>
      <c r="O68" s="223"/>
      <c r="P68" s="69">
        <f t="shared" si="8"/>
        <v>0</v>
      </c>
      <c r="Q68" s="70"/>
      <c r="R68" s="71"/>
      <c r="S68" s="105">
        <f t="shared" si="9"/>
        <v>10</v>
      </c>
      <c r="U68" s="122"/>
      <c r="V68" s="12">
        <f t="shared" si="4"/>
        <v>9</v>
      </c>
      <c r="W68" s="15"/>
      <c r="X68" s="59"/>
      <c r="Y68" s="223"/>
      <c r="Z68" s="264">
        <f t="shared" si="5"/>
        <v>0</v>
      </c>
      <c r="AA68" s="70"/>
      <c r="AB68" s="71"/>
      <c r="AC68" s="105">
        <f t="shared" si="6"/>
        <v>90</v>
      </c>
      <c r="AE68" s="122"/>
      <c r="AF68" s="12">
        <f t="shared" si="7"/>
        <v>10</v>
      </c>
      <c r="AG68" s="15"/>
      <c r="AH68" s="59"/>
      <c r="AI68" s="223"/>
      <c r="AJ68" s="69">
        <f t="shared" si="10"/>
        <v>0</v>
      </c>
      <c r="AK68" s="70"/>
      <c r="AL68" s="71"/>
      <c r="AM68" s="105">
        <f t="shared" si="11"/>
        <v>100</v>
      </c>
    </row>
    <row r="69" spans="1:39" x14ac:dyDescent="0.25">
      <c r="A69" s="122"/>
      <c r="B69" s="12">
        <f t="shared" si="0"/>
        <v>0</v>
      </c>
      <c r="C69" s="15"/>
      <c r="D69" s="59"/>
      <c r="E69" s="223"/>
      <c r="F69" s="264">
        <f t="shared" si="1"/>
        <v>0</v>
      </c>
      <c r="G69" s="70"/>
      <c r="H69" s="71"/>
      <c r="I69" s="105">
        <f t="shared" si="2"/>
        <v>0</v>
      </c>
      <c r="K69" s="122"/>
      <c r="L69" s="12">
        <f t="shared" si="3"/>
        <v>1</v>
      </c>
      <c r="M69" s="15"/>
      <c r="N69" s="59"/>
      <c r="O69" s="223"/>
      <c r="P69" s="69">
        <f t="shared" si="8"/>
        <v>0</v>
      </c>
      <c r="Q69" s="70"/>
      <c r="R69" s="71"/>
      <c r="S69" s="105">
        <f t="shared" si="9"/>
        <v>10</v>
      </c>
      <c r="U69" s="122"/>
      <c r="V69" s="12">
        <f t="shared" si="4"/>
        <v>9</v>
      </c>
      <c r="W69" s="15"/>
      <c r="X69" s="59"/>
      <c r="Y69" s="223"/>
      <c r="Z69" s="264">
        <f t="shared" si="5"/>
        <v>0</v>
      </c>
      <c r="AA69" s="70"/>
      <c r="AB69" s="71"/>
      <c r="AC69" s="105">
        <f t="shared" si="6"/>
        <v>90</v>
      </c>
      <c r="AE69" s="122"/>
      <c r="AF69" s="12">
        <f t="shared" si="7"/>
        <v>10</v>
      </c>
      <c r="AG69" s="15"/>
      <c r="AH69" s="59"/>
      <c r="AI69" s="223"/>
      <c r="AJ69" s="69">
        <f t="shared" si="10"/>
        <v>0</v>
      </c>
      <c r="AK69" s="70"/>
      <c r="AL69" s="71"/>
      <c r="AM69" s="105">
        <f t="shared" si="11"/>
        <v>100</v>
      </c>
    </row>
    <row r="70" spans="1:39" x14ac:dyDescent="0.25">
      <c r="A70" s="122"/>
      <c r="B70" s="12">
        <f t="shared" si="0"/>
        <v>0</v>
      </c>
      <c r="C70" s="15"/>
      <c r="D70" s="59"/>
      <c r="E70" s="223"/>
      <c r="F70" s="264">
        <f t="shared" si="1"/>
        <v>0</v>
      </c>
      <c r="G70" s="70"/>
      <c r="H70" s="71"/>
      <c r="I70" s="105">
        <f t="shared" si="2"/>
        <v>0</v>
      </c>
      <c r="K70" s="122"/>
      <c r="L70" s="12">
        <f t="shared" si="3"/>
        <v>1</v>
      </c>
      <c r="M70" s="15"/>
      <c r="N70" s="59"/>
      <c r="O70" s="223"/>
      <c r="P70" s="69">
        <f t="shared" si="8"/>
        <v>0</v>
      </c>
      <c r="Q70" s="70"/>
      <c r="R70" s="71"/>
      <c r="S70" s="105">
        <f t="shared" si="9"/>
        <v>10</v>
      </c>
      <c r="U70" s="122"/>
      <c r="V70" s="12">
        <f t="shared" si="4"/>
        <v>9</v>
      </c>
      <c r="W70" s="15"/>
      <c r="X70" s="59"/>
      <c r="Y70" s="223"/>
      <c r="Z70" s="264">
        <f t="shared" si="5"/>
        <v>0</v>
      </c>
      <c r="AA70" s="70"/>
      <c r="AB70" s="71"/>
      <c r="AC70" s="105">
        <f t="shared" si="6"/>
        <v>90</v>
      </c>
      <c r="AE70" s="122"/>
      <c r="AF70" s="12">
        <f t="shared" si="7"/>
        <v>10</v>
      </c>
      <c r="AG70" s="15"/>
      <c r="AH70" s="59"/>
      <c r="AI70" s="223"/>
      <c r="AJ70" s="69">
        <f t="shared" si="10"/>
        <v>0</v>
      </c>
      <c r="AK70" s="70"/>
      <c r="AL70" s="71"/>
      <c r="AM70" s="105">
        <f t="shared" si="11"/>
        <v>100</v>
      </c>
    </row>
    <row r="71" spans="1:39" x14ac:dyDescent="0.25">
      <c r="A71" s="122"/>
      <c r="B71" s="12">
        <f t="shared" si="0"/>
        <v>0</v>
      </c>
      <c r="C71" s="15"/>
      <c r="D71" s="59"/>
      <c r="E71" s="223"/>
      <c r="F71" s="264">
        <f t="shared" si="1"/>
        <v>0</v>
      </c>
      <c r="G71" s="70"/>
      <c r="H71" s="71"/>
      <c r="I71" s="105">
        <f t="shared" si="2"/>
        <v>0</v>
      </c>
      <c r="K71" s="122"/>
      <c r="L71" s="12">
        <f t="shared" si="3"/>
        <v>1</v>
      </c>
      <c r="M71" s="15"/>
      <c r="N71" s="59"/>
      <c r="O71" s="223"/>
      <c r="P71" s="69">
        <f t="shared" si="8"/>
        <v>0</v>
      </c>
      <c r="Q71" s="70"/>
      <c r="R71" s="71"/>
      <c r="S71" s="105">
        <f t="shared" si="9"/>
        <v>10</v>
      </c>
      <c r="U71" s="122"/>
      <c r="V71" s="12">
        <f t="shared" si="4"/>
        <v>9</v>
      </c>
      <c r="W71" s="15"/>
      <c r="X71" s="59"/>
      <c r="Y71" s="223"/>
      <c r="Z71" s="264">
        <f t="shared" si="5"/>
        <v>0</v>
      </c>
      <c r="AA71" s="70"/>
      <c r="AB71" s="71"/>
      <c r="AC71" s="105">
        <f t="shared" si="6"/>
        <v>90</v>
      </c>
      <c r="AE71" s="122"/>
      <c r="AF71" s="12">
        <f t="shared" si="7"/>
        <v>10</v>
      </c>
      <c r="AG71" s="15"/>
      <c r="AH71" s="59"/>
      <c r="AI71" s="223"/>
      <c r="AJ71" s="69">
        <f t="shared" si="10"/>
        <v>0</v>
      </c>
      <c r="AK71" s="70"/>
      <c r="AL71" s="71"/>
      <c r="AM71" s="105">
        <f t="shared" si="11"/>
        <v>100</v>
      </c>
    </row>
    <row r="72" spans="1:39" x14ac:dyDescent="0.25">
      <c r="A72" s="122"/>
      <c r="B72" s="12">
        <f t="shared" si="0"/>
        <v>0</v>
      </c>
      <c r="C72" s="15"/>
      <c r="D72" s="59"/>
      <c r="E72" s="223"/>
      <c r="F72" s="264">
        <f t="shared" si="1"/>
        <v>0</v>
      </c>
      <c r="G72" s="70"/>
      <c r="H72" s="71"/>
      <c r="I72" s="105">
        <f t="shared" si="2"/>
        <v>0</v>
      </c>
      <c r="K72" s="122"/>
      <c r="L72" s="12">
        <f t="shared" si="3"/>
        <v>1</v>
      </c>
      <c r="M72" s="15"/>
      <c r="N72" s="59"/>
      <c r="O72" s="223"/>
      <c r="P72" s="69">
        <f t="shared" si="8"/>
        <v>0</v>
      </c>
      <c r="Q72" s="70"/>
      <c r="R72" s="71"/>
      <c r="S72" s="105">
        <f t="shared" si="9"/>
        <v>10</v>
      </c>
      <c r="U72" s="122"/>
      <c r="V72" s="12">
        <f t="shared" si="4"/>
        <v>9</v>
      </c>
      <c r="W72" s="15"/>
      <c r="X72" s="59"/>
      <c r="Y72" s="223"/>
      <c r="Z72" s="264">
        <f t="shared" si="5"/>
        <v>0</v>
      </c>
      <c r="AA72" s="70"/>
      <c r="AB72" s="71"/>
      <c r="AC72" s="105">
        <f t="shared" si="6"/>
        <v>90</v>
      </c>
      <c r="AE72" s="122"/>
      <c r="AF72" s="12">
        <f t="shared" si="7"/>
        <v>10</v>
      </c>
      <c r="AG72" s="15"/>
      <c r="AH72" s="59"/>
      <c r="AI72" s="223"/>
      <c r="AJ72" s="69">
        <f t="shared" si="10"/>
        <v>0</v>
      </c>
      <c r="AK72" s="70"/>
      <c r="AL72" s="71"/>
      <c r="AM72" s="105">
        <f t="shared" si="11"/>
        <v>100</v>
      </c>
    </row>
    <row r="73" spans="1:39" x14ac:dyDescent="0.25">
      <c r="A73" s="122"/>
      <c r="B73" s="12">
        <f t="shared" si="0"/>
        <v>0</v>
      </c>
      <c r="C73" s="15"/>
      <c r="D73" s="59"/>
      <c r="E73" s="223"/>
      <c r="F73" s="264">
        <f t="shared" si="1"/>
        <v>0</v>
      </c>
      <c r="G73" s="70"/>
      <c r="H73" s="71"/>
      <c r="I73" s="105">
        <f t="shared" si="2"/>
        <v>0</v>
      </c>
      <c r="K73" s="122"/>
      <c r="L73" s="12">
        <f t="shared" si="3"/>
        <v>1</v>
      </c>
      <c r="M73" s="15"/>
      <c r="N73" s="59"/>
      <c r="O73" s="223"/>
      <c r="P73" s="69">
        <f t="shared" si="8"/>
        <v>0</v>
      </c>
      <c r="Q73" s="70"/>
      <c r="R73" s="71"/>
      <c r="S73" s="105">
        <f t="shared" si="9"/>
        <v>10</v>
      </c>
      <c r="U73" s="122"/>
      <c r="V73" s="12">
        <f t="shared" si="4"/>
        <v>9</v>
      </c>
      <c r="W73" s="15"/>
      <c r="X73" s="59"/>
      <c r="Y73" s="223"/>
      <c r="Z73" s="264">
        <f t="shared" si="5"/>
        <v>0</v>
      </c>
      <c r="AA73" s="70"/>
      <c r="AB73" s="71"/>
      <c r="AC73" s="105">
        <f t="shared" si="6"/>
        <v>90</v>
      </c>
      <c r="AE73" s="122"/>
      <c r="AF73" s="12">
        <f t="shared" si="7"/>
        <v>10</v>
      </c>
      <c r="AG73" s="15"/>
      <c r="AH73" s="59"/>
      <c r="AI73" s="223"/>
      <c r="AJ73" s="69">
        <f t="shared" si="10"/>
        <v>0</v>
      </c>
      <c r="AK73" s="70"/>
      <c r="AL73" s="71"/>
      <c r="AM73" s="105">
        <f t="shared" si="11"/>
        <v>100</v>
      </c>
    </row>
    <row r="74" spans="1:39" x14ac:dyDescent="0.25">
      <c r="A74" s="122"/>
      <c r="B74" s="12">
        <f t="shared" ref="B74:B75" si="12">B73-C74</f>
        <v>0</v>
      </c>
      <c r="C74" s="15"/>
      <c r="D74" s="59"/>
      <c r="E74" s="223"/>
      <c r="F74" s="264">
        <f t="shared" ref="F74:F76" si="13">D74</f>
        <v>0</v>
      </c>
      <c r="G74" s="70"/>
      <c r="H74" s="71"/>
      <c r="I74" s="105">
        <f t="shared" ref="I74:I76" si="14">I73-F74</f>
        <v>0</v>
      </c>
      <c r="K74" s="122"/>
      <c r="L74" s="12">
        <f t="shared" ref="L74:L75" si="15">L73-M74</f>
        <v>1</v>
      </c>
      <c r="M74" s="15"/>
      <c r="N74" s="59"/>
      <c r="O74" s="223"/>
      <c r="P74" s="69">
        <f t="shared" si="8"/>
        <v>0</v>
      </c>
      <c r="Q74" s="70"/>
      <c r="R74" s="71"/>
      <c r="S74" s="105">
        <f t="shared" si="9"/>
        <v>10</v>
      </c>
      <c r="U74" s="122"/>
      <c r="V74" s="12">
        <f t="shared" ref="V74:V75" si="16">V73-W74</f>
        <v>9</v>
      </c>
      <c r="W74" s="15"/>
      <c r="X74" s="59"/>
      <c r="Y74" s="223"/>
      <c r="Z74" s="264">
        <f t="shared" ref="Z74:Z76" si="17">X74</f>
        <v>0</v>
      </c>
      <c r="AA74" s="70"/>
      <c r="AB74" s="71"/>
      <c r="AC74" s="105">
        <f t="shared" ref="AC74:AC76" si="18">AC73-Z74</f>
        <v>90</v>
      </c>
      <c r="AE74" s="122"/>
      <c r="AF74" s="12">
        <f t="shared" ref="AF74:AF75" si="19">AF73-AG74</f>
        <v>10</v>
      </c>
      <c r="AG74" s="15"/>
      <c r="AH74" s="59"/>
      <c r="AI74" s="223"/>
      <c r="AJ74" s="69">
        <f t="shared" si="10"/>
        <v>0</v>
      </c>
      <c r="AK74" s="70"/>
      <c r="AL74" s="71"/>
      <c r="AM74" s="105">
        <f t="shared" si="11"/>
        <v>100</v>
      </c>
    </row>
    <row r="75" spans="1:39" x14ac:dyDescent="0.25">
      <c r="A75" s="122"/>
      <c r="B75" s="12">
        <f t="shared" si="12"/>
        <v>0</v>
      </c>
      <c r="C75" s="15"/>
      <c r="D75" s="59"/>
      <c r="E75" s="223"/>
      <c r="F75" s="264">
        <f t="shared" si="13"/>
        <v>0</v>
      </c>
      <c r="G75" s="70"/>
      <c r="H75" s="71"/>
      <c r="I75" s="105">
        <f t="shared" si="14"/>
        <v>0</v>
      </c>
      <c r="K75" s="122"/>
      <c r="L75" s="12">
        <f t="shared" si="15"/>
        <v>1</v>
      </c>
      <c r="M75" s="15"/>
      <c r="N75" s="59"/>
      <c r="O75" s="223"/>
      <c r="P75" s="69">
        <f t="shared" ref="P75:P76" si="20">N75</f>
        <v>0</v>
      </c>
      <c r="Q75" s="70"/>
      <c r="R75" s="71"/>
      <c r="S75" s="105">
        <f t="shared" ref="S75:S76" si="21">S74-P75</f>
        <v>10</v>
      </c>
      <c r="U75" s="122"/>
      <c r="V75" s="12">
        <f t="shared" si="16"/>
        <v>9</v>
      </c>
      <c r="W75" s="15"/>
      <c r="X75" s="59"/>
      <c r="Y75" s="223"/>
      <c r="Z75" s="264">
        <f t="shared" si="17"/>
        <v>0</v>
      </c>
      <c r="AA75" s="70"/>
      <c r="AB75" s="71"/>
      <c r="AC75" s="105">
        <f t="shared" si="18"/>
        <v>90</v>
      </c>
      <c r="AE75" s="122"/>
      <c r="AF75" s="12">
        <f t="shared" si="19"/>
        <v>10</v>
      </c>
      <c r="AG75" s="15"/>
      <c r="AH75" s="59"/>
      <c r="AI75" s="223"/>
      <c r="AJ75" s="69">
        <f t="shared" ref="AJ75:AJ76" si="22">AH75</f>
        <v>0</v>
      </c>
      <c r="AK75" s="70"/>
      <c r="AL75" s="71"/>
      <c r="AM75" s="105">
        <f t="shared" ref="AM75:AM76" si="23">AM74-AJ75</f>
        <v>100</v>
      </c>
    </row>
    <row r="76" spans="1:39" x14ac:dyDescent="0.25">
      <c r="A76" s="122"/>
      <c r="C76" s="15"/>
      <c r="D76" s="59"/>
      <c r="E76" s="223"/>
      <c r="F76" s="264">
        <f t="shared" si="13"/>
        <v>0</v>
      </c>
      <c r="G76" s="70"/>
      <c r="H76" s="71"/>
      <c r="I76" s="105">
        <f t="shared" si="14"/>
        <v>0</v>
      </c>
      <c r="K76" s="122"/>
      <c r="M76" s="15"/>
      <c r="N76" s="59"/>
      <c r="O76" s="223"/>
      <c r="P76" s="69">
        <f t="shared" si="20"/>
        <v>0</v>
      </c>
      <c r="Q76" s="70"/>
      <c r="R76" s="71"/>
      <c r="S76" s="105">
        <f t="shared" si="21"/>
        <v>10</v>
      </c>
      <c r="U76" s="122"/>
      <c r="W76" s="15"/>
      <c r="X76" s="59"/>
      <c r="Y76" s="223"/>
      <c r="Z76" s="264">
        <f t="shared" si="17"/>
        <v>0</v>
      </c>
      <c r="AA76" s="70"/>
      <c r="AB76" s="71"/>
      <c r="AC76" s="105">
        <f t="shared" si="18"/>
        <v>90</v>
      </c>
      <c r="AE76" s="122"/>
      <c r="AG76" s="15"/>
      <c r="AH76" s="59"/>
      <c r="AI76" s="223"/>
      <c r="AJ76" s="69">
        <f t="shared" si="22"/>
        <v>0</v>
      </c>
      <c r="AK76" s="70"/>
      <c r="AL76" s="71"/>
      <c r="AM76" s="105">
        <f t="shared" si="23"/>
        <v>100</v>
      </c>
    </row>
    <row r="77" spans="1:3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  <c r="U77" s="122"/>
      <c r="V77" s="16"/>
      <c r="W77" s="52"/>
      <c r="X77" s="107"/>
      <c r="Y77" s="209"/>
      <c r="Z77" s="103"/>
      <c r="AA77" s="104"/>
      <c r="AB77" s="60"/>
      <c r="AE77" s="122"/>
      <c r="AF77" s="16"/>
      <c r="AG77" s="52"/>
      <c r="AH77" s="107"/>
      <c r="AI77" s="209"/>
      <c r="AJ77" s="103"/>
      <c r="AK77" s="104"/>
      <c r="AL77" s="60"/>
    </row>
    <row r="78" spans="1:39" x14ac:dyDescent="0.25">
      <c r="C78" s="53">
        <f>SUM(C9:C77)</f>
        <v>23</v>
      </c>
      <c r="D78" s="6">
        <f>SUM(D9:D77)</f>
        <v>220</v>
      </c>
      <c r="F78" s="6">
        <f>SUM(F9:F77)</f>
        <v>230</v>
      </c>
      <c r="M78" s="53">
        <f>SUM(M9:M77)</f>
        <v>40</v>
      </c>
      <c r="N78" s="6">
        <f>SUM(N9:N77)</f>
        <v>400</v>
      </c>
      <c r="P78" s="6">
        <f>SUM(P9:P77)</f>
        <v>400</v>
      </c>
      <c r="W78" s="53">
        <f>SUM(W9:W77)</f>
        <v>2</v>
      </c>
      <c r="X78" s="6">
        <f>SUM(X9:X77)</f>
        <v>20</v>
      </c>
      <c r="Z78" s="6">
        <f>SUM(Z9:Z77)</f>
        <v>20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-10</v>
      </c>
      <c r="N81" s="45" t="s">
        <v>4</v>
      </c>
      <c r="O81" s="56">
        <f>P5+P6-M78+P7</f>
        <v>-15</v>
      </c>
      <c r="X81" s="45" t="s">
        <v>4</v>
      </c>
      <c r="Y81" s="56">
        <f>Z5+Z6-W78+Z7</f>
        <v>9</v>
      </c>
      <c r="AH81" s="45" t="s">
        <v>4</v>
      </c>
      <c r="AI81" s="56">
        <f>AJ5+AJ6-AG78+AJ7</f>
        <v>0</v>
      </c>
    </row>
    <row r="82" spans="3:36" ht="15.75" thickBot="1" x14ac:dyDescent="0.3"/>
    <row r="83" spans="3:36" ht="15.75" thickBot="1" x14ac:dyDescent="0.3">
      <c r="C83" s="1200" t="s">
        <v>11</v>
      </c>
      <c r="D83" s="1201"/>
      <c r="E83" s="57">
        <f>E5+E6-F78+E7</f>
        <v>-100</v>
      </c>
      <c r="F83" s="73"/>
      <c r="M83" s="1200" t="s">
        <v>11</v>
      </c>
      <c r="N83" s="1201"/>
      <c r="O83" s="57">
        <f>O5+O6-P78+O7</f>
        <v>-150</v>
      </c>
      <c r="P83" s="73"/>
      <c r="W83" s="1200" t="s">
        <v>11</v>
      </c>
      <c r="X83" s="1201"/>
      <c r="Y83" s="57">
        <f>Y5+Y6-Z78+Y7</f>
        <v>90</v>
      </c>
      <c r="Z83" s="73"/>
      <c r="AG83" s="1200" t="s">
        <v>11</v>
      </c>
      <c r="AH83" s="1201"/>
      <c r="AI83" s="57">
        <f>AI5+AI6-AJ78+AI7</f>
        <v>0</v>
      </c>
      <c r="AJ83" s="73"/>
    </row>
  </sheetData>
  <sortState ref="M4:P6">
    <sortCondition ref="N4:N6"/>
  </sortState>
  <mergeCells count="12">
    <mergeCell ref="A1:G1"/>
    <mergeCell ref="B5:B6"/>
    <mergeCell ref="C83:D83"/>
    <mergeCell ref="K1:Q1"/>
    <mergeCell ref="L5:L6"/>
    <mergeCell ref="M83:N83"/>
    <mergeCell ref="U1:AA1"/>
    <mergeCell ref="V5:V6"/>
    <mergeCell ref="W83:X83"/>
    <mergeCell ref="AE1:AK1"/>
    <mergeCell ref="AF5:AF6"/>
    <mergeCell ref="AG83:AH8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83"/>
  <sheetViews>
    <sheetView topLeftCell="K1" zoomScaleNormal="100" workbookViewId="0">
      <pane ySplit="8" topLeftCell="A9" activePane="bottomLeft" state="frozen"/>
      <selection pane="bottomLeft" activeCell="P8" sqref="P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98" t="s">
        <v>216</v>
      </c>
      <c r="B1" s="1198"/>
      <c r="C1" s="1198"/>
      <c r="D1" s="1198"/>
      <c r="E1" s="1198"/>
      <c r="F1" s="1198"/>
      <c r="G1" s="1198"/>
      <c r="H1" s="11">
        <v>1</v>
      </c>
      <c r="K1" s="1202" t="s">
        <v>251</v>
      </c>
      <c r="L1" s="1202"/>
      <c r="M1" s="1202"/>
      <c r="N1" s="1202"/>
      <c r="O1" s="1202"/>
      <c r="P1" s="1202"/>
      <c r="Q1" s="1202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71"/>
      <c r="D4" s="248"/>
      <c r="E4" s="259">
        <v>97.06</v>
      </c>
      <c r="F4" s="253">
        <v>7</v>
      </c>
      <c r="G4" s="160"/>
      <c r="H4" s="160"/>
      <c r="K4" s="12"/>
      <c r="L4" s="12"/>
      <c r="M4" s="271"/>
      <c r="N4" s="248"/>
      <c r="O4" s="259"/>
      <c r="P4" s="253"/>
      <c r="Q4" s="160"/>
      <c r="R4" s="160"/>
    </row>
    <row r="5" spans="1:19" ht="15" customHeight="1" x14ac:dyDescent="0.25">
      <c r="A5" s="250" t="s">
        <v>67</v>
      </c>
      <c r="B5" s="1199" t="s">
        <v>65</v>
      </c>
      <c r="C5" s="566">
        <v>89</v>
      </c>
      <c r="D5" s="248">
        <v>44594</v>
      </c>
      <c r="E5" s="267">
        <v>651.80999999999995</v>
      </c>
      <c r="F5" s="253">
        <v>52</v>
      </c>
      <c r="G5" s="260"/>
      <c r="K5" s="250" t="s">
        <v>67</v>
      </c>
      <c r="L5" s="1199" t="s">
        <v>65</v>
      </c>
      <c r="M5" s="566">
        <v>89</v>
      </c>
      <c r="N5" s="248">
        <v>44688</v>
      </c>
      <c r="O5" s="267">
        <v>94.15</v>
      </c>
      <c r="P5" s="253">
        <v>8</v>
      </c>
      <c r="Q5" s="260"/>
    </row>
    <row r="6" spans="1:19" x14ac:dyDescent="0.25">
      <c r="A6" s="583"/>
      <c r="B6" s="1199"/>
      <c r="C6" s="271"/>
      <c r="D6" s="248"/>
      <c r="E6" s="259"/>
      <c r="F6" s="253"/>
      <c r="G6" s="262">
        <f>F78</f>
        <v>748.87</v>
      </c>
      <c r="H6" s="7">
        <f>E6-G6+E7+E5-G5</f>
        <v>-97.060000000000059</v>
      </c>
      <c r="K6" s="583"/>
      <c r="L6" s="1199"/>
      <c r="M6" s="271"/>
      <c r="N6" s="248"/>
      <c r="O6" s="259">
        <v>75.42</v>
      </c>
      <c r="P6" s="253">
        <v>6</v>
      </c>
      <c r="Q6" s="262">
        <f>P78</f>
        <v>169.57</v>
      </c>
      <c r="R6" s="7">
        <f>O6-Q6+O7+O5-Q5</f>
        <v>229.50000000000003</v>
      </c>
    </row>
    <row r="7" spans="1:19" ht="15.75" thickBot="1" x14ac:dyDescent="0.3">
      <c r="A7" s="240"/>
      <c r="B7" s="272"/>
      <c r="C7" s="743"/>
      <c r="D7" s="248"/>
      <c r="E7" s="69"/>
      <c r="F7" s="73"/>
      <c r="G7" s="240"/>
      <c r="K7" s="240"/>
      <c r="L7" s="272"/>
      <c r="M7" s="743">
        <v>90</v>
      </c>
      <c r="N7" s="248">
        <v>44709</v>
      </c>
      <c r="O7" s="69">
        <v>229.5</v>
      </c>
      <c r="P7" s="73">
        <v>20</v>
      </c>
      <c r="Q7" s="240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58</v>
      </c>
      <c r="C9" s="15">
        <v>1</v>
      </c>
      <c r="D9" s="264">
        <v>12.72</v>
      </c>
      <c r="E9" s="293">
        <v>44620</v>
      </c>
      <c r="F9" s="264">
        <f t="shared" ref="F9:F72" si="0">D9</f>
        <v>12.72</v>
      </c>
      <c r="G9" s="265" t="s">
        <v>101</v>
      </c>
      <c r="H9" s="266">
        <v>90</v>
      </c>
      <c r="I9" s="275">
        <f>E6-F9+E5+E7+E4</f>
        <v>736.14999999999986</v>
      </c>
      <c r="K9" s="80" t="s">
        <v>32</v>
      </c>
      <c r="L9" s="83">
        <f>P6-M9+P5+P7+P4</f>
        <v>26</v>
      </c>
      <c r="M9" s="15">
        <v>8</v>
      </c>
      <c r="N9" s="264">
        <v>94.15</v>
      </c>
      <c r="O9" s="293">
        <v>44688</v>
      </c>
      <c r="P9" s="264">
        <f t="shared" ref="P9:P10" si="1">N9</f>
        <v>94.15</v>
      </c>
      <c r="Q9" s="265" t="s">
        <v>419</v>
      </c>
      <c r="R9" s="266">
        <v>90</v>
      </c>
      <c r="S9" s="275">
        <f>O6-P9+O5+O7+O4</f>
        <v>304.92</v>
      </c>
    </row>
    <row r="10" spans="1:19" x14ac:dyDescent="0.25">
      <c r="A10" s="207"/>
      <c r="B10" s="83">
        <f>B9-C10</f>
        <v>43</v>
      </c>
      <c r="C10" s="15">
        <v>15</v>
      </c>
      <c r="D10" s="264">
        <v>185.41</v>
      </c>
      <c r="E10" s="293">
        <v>44629</v>
      </c>
      <c r="F10" s="264">
        <f t="shared" si="0"/>
        <v>185.41</v>
      </c>
      <c r="G10" s="265" t="s">
        <v>106</v>
      </c>
      <c r="H10" s="266">
        <v>90</v>
      </c>
      <c r="I10" s="275">
        <f>I9-F10</f>
        <v>550.7399999999999</v>
      </c>
      <c r="K10" s="207"/>
      <c r="L10" s="83">
        <f>L9-M10</f>
        <v>23</v>
      </c>
      <c r="M10" s="15">
        <v>3</v>
      </c>
      <c r="N10" s="264">
        <v>37.92</v>
      </c>
      <c r="O10" s="293">
        <v>44691</v>
      </c>
      <c r="P10" s="264">
        <f t="shared" si="1"/>
        <v>37.92</v>
      </c>
      <c r="Q10" s="265" t="s">
        <v>475</v>
      </c>
      <c r="R10" s="266">
        <v>90</v>
      </c>
      <c r="S10" s="275">
        <f>S9-P10</f>
        <v>267</v>
      </c>
    </row>
    <row r="11" spans="1:19" x14ac:dyDescent="0.25">
      <c r="A11" s="195"/>
      <c r="B11" s="83">
        <f t="shared" ref="B11:B54" si="2">B10-C11</f>
        <v>38</v>
      </c>
      <c r="C11" s="15">
        <v>5</v>
      </c>
      <c r="D11" s="871">
        <v>64.03</v>
      </c>
      <c r="E11" s="872">
        <v>44653</v>
      </c>
      <c r="F11" s="871">
        <f>D11</f>
        <v>64.03</v>
      </c>
      <c r="G11" s="422" t="s">
        <v>125</v>
      </c>
      <c r="H11" s="423">
        <v>90</v>
      </c>
      <c r="I11" s="275">
        <f t="shared" ref="I11:I74" si="3">I10-F11</f>
        <v>486.70999999999992</v>
      </c>
      <c r="K11" s="195"/>
      <c r="L11" s="83">
        <f t="shared" ref="L11:L54" si="4">L10-M11</f>
        <v>20</v>
      </c>
      <c r="M11" s="15">
        <v>3</v>
      </c>
      <c r="N11" s="264">
        <v>37.5</v>
      </c>
      <c r="O11" s="293">
        <v>44694</v>
      </c>
      <c r="P11" s="264">
        <f>N11</f>
        <v>37.5</v>
      </c>
      <c r="Q11" s="265" t="s">
        <v>476</v>
      </c>
      <c r="R11" s="266">
        <v>90</v>
      </c>
      <c r="S11" s="275">
        <f t="shared" ref="S11:S74" si="5">S10-P11</f>
        <v>229.5</v>
      </c>
    </row>
    <row r="12" spans="1:19" x14ac:dyDescent="0.25">
      <c r="A12" s="195"/>
      <c r="B12" s="83">
        <f t="shared" si="2"/>
        <v>28</v>
      </c>
      <c r="C12" s="15">
        <v>10</v>
      </c>
      <c r="D12" s="871">
        <v>127.36</v>
      </c>
      <c r="E12" s="872">
        <v>44653</v>
      </c>
      <c r="F12" s="871">
        <f>D12</f>
        <v>127.36</v>
      </c>
      <c r="G12" s="422" t="s">
        <v>120</v>
      </c>
      <c r="H12" s="423">
        <v>90</v>
      </c>
      <c r="I12" s="275">
        <f t="shared" si="3"/>
        <v>359.34999999999991</v>
      </c>
      <c r="K12" s="195"/>
      <c r="L12" s="83">
        <f t="shared" si="4"/>
        <v>20</v>
      </c>
      <c r="M12" s="15"/>
      <c r="N12" s="264"/>
      <c r="O12" s="293"/>
      <c r="P12" s="264">
        <f>N12</f>
        <v>0</v>
      </c>
      <c r="Q12" s="265"/>
      <c r="R12" s="266"/>
      <c r="S12" s="275">
        <f t="shared" si="5"/>
        <v>229.5</v>
      </c>
    </row>
    <row r="13" spans="1:19" x14ac:dyDescent="0.25">
      <c r="A13" s="82" t="s">
        <v>33</v>
      </c>
      <c r="B13" s="83">
        <f t="shared" si="2"/>
        <v>27</v>
      </c>
      <c r="C13" s="15">
        <v>1</v>
      </c>
      <c r="D13" s="871">
        <v>12.66</v>
      </c>
      <c r="E13" s="872">
        <v>44662</v>
      </c>
      <c r="F13" s="871">
        <f t="shared" si="0"/>
        <v>12.66</v>
      </c>
      <c r="G13" s="422" t="s">
        <v>146</v>
      </c>
      <c r="H13" s="423">
        <v>90</v>
      </c>
      <c r="I13" s="275">
        <f t="shared" si="3"/>
        <v>346.68999999999988</v>
      </c>
      <c r="K13" s="82" t="s">
        <v>33</v>
      </c>
      <c r="L13" s="83">
        <f t="shared" si="4"/>
        <v>20</v>
      </c>
      <c r="M13" s="15"/>
      <c r="N13" s="264"/>
      <c r="O13" s="293"/>
      <c r="P13" s="264">
        <f t="shared" ref="P13:P73" si="6">N13</f>
        <v>0</v>
      </c>
      <c r="Q13" s="265"/>
      <c r="R13" s="266"/>
      <c r="S13" s="275">
        <f t="shared" si="5"/>
        <v>229.5</v>
      </c>
    </row>
    <row r="14" spans="1:19" x14ac:dyDescent="0.25">
      <c r="A14" s="73"/>
      <c r="B14" s="83">
        <f t="shared" si="2"/>
        <v>17</v>
      </c>
      <c r="C14" s="15">
        <v>10</v>
      </c>
      <c r="D14" s="871">
        <v>129.68</v>
      </c>
      <c r="E14" s="872">
        <v>44667</v>
      </c>
      <c r="F14" s="871">
        <f t="shared" si="0"/>
        <v>129.68</v>
      </c>
      <c r="G14" s="422" t="s">
        <v>168</v>
      </c>
      <c r="H14" s="423">
        <v>90</v>
      </c>
      <c r="I14" s="275">
        <f t="shared" si="3"/>
        <v>217.00999999999988</v>
      </c>
      <c r="K14" s="73"/>
      <c r="L14" s="83">
        <f t="shared" si="4"/>
        <v>20</v>
      </c>
      <c r="M14" s="15"/>
      <c r="N14" s="264"/>
      <c r="O14" s="293"/>
      <c r="P14" s="264">
        <f t="shared" si="6"/>
        <v>0</v>
      </c>
      <c r="Q14" s="265"/>
      <c r="R14" s="266"/>
      <c r="S14" s="275">
        <f t="shared" si="5"/>
        <v>229.5</v>
      </c>
    </row>
    <row r="15" spans="1:19" x14ac:dyDescent="0.25">
      <c r="A15" s="73"/>
      <c r="B15" s="83">
        <f t="shared" si="2"/>
        <v>16</v>
      </c>
      <c r="C15" s="15">
        <v>1</v>
      </c>
      <c r="D15" s="871">
        <v>15.95</v>
      </c>
      <c r="E15" s="872">
        <v>44669</v>
      </c>
      <c r="F15" s="871">
        <f t="shared" si="0"/>
        <v>15.95</v>
      </c>
      <c r="G15" s="422" t="s">
        <v>169</v>
      </c>
      <c r="H15" s="423">
        <v>90</v>
      </c>
      <c r="I15" s="275">
        <f t="shared" si="3"/>
        <v>201.05999999999989</v>
      </c>
      <c r="K15" s="73"/>
      <c r="L15" s="83">
        <f t="shared" si="4"/>
        <v>20</v>
      </c>
      <c r="M15" s="15"/>
      <c r="N15" s="264"/>
      <c r="O15" s="293"/>
      <c r="P15" s="264">
        <f t="shared" si="6"/>
        <v>0</v>
      </c>
      <c r="Q15" s="265"/>
      <c r="R15" s="266"/>
      <c r="S15" s="275">
        <f t="shared" si="5"/>
        <v>229.5</v>
      </c>
    </row>
    <row r="16" spans="1:19" x14ac:dyDescent="0.25">
      <c r="B16" s="83">
        <f t="shared" si="2"/>
        <v>6</v>
      </c>
      <c r="C16" s="15">
        <v>10</v>
      </c>
      <c r="D16" s="871">
        <v>125.64</v>
      </c>
      <c r="E16" s="872">
        <v>44677</v>
      </c>
      <c r="F16" s="871">
        <f t="shared" si="0"/>
        <v>125.64</v>
      </c>
      <c r="G16" s="422" t="s">
        <v>195</v>
      </c>
      <c r="H16" s="423">
        <v>90</v>
      </c>
      <c r="I16" s="275">
        <f t="shared" si="3"/>
        <v>75.419999999999888</v>
      </c>
      <c r="L16" s="83">
        <f t="shared" si="4"/>
        <v>20</v>
      </c>
      <c r="M16" s="15"/>
      <c r="N16" s="264"/>
      <c r="O16" s="293"/>
      <c r="P16" s="264">
        <f t="shared" si="6"/>
        <v>0</v>
      </c>
      <c r="Q16" s="265"/>
      <c r="R16" s="266"/>
      <c r="S16" s="275">
        <f t="shared" si="5"/>
        <v>229.5</v>
      </c>
    </row>
    <row r="17" spans="1:19" x14ac:dyDescent="0.25">
      <c r="B17" s="83">
        <f t="shared" si="2"/>
        <v>6</v>
      </c>
      <c r="C17" s="15"/>
      <c r="D17" s="871"/>
      <c r="E17" s="872"/>
      <c r="F17" s="1072">
        <f t="shared" si="0"/>
        <v>0</v>
      </c>
      <c r="G17" s="1073"/>
      <c r="H17" s="1074"/>
      <c r="I17" s="1075">
        <f t="shared" si="3"/>
        <v>75.419999999999888</v>
      </c>
      <c r="L17" s="83">
        <f t="shared" si="4"/>
        <v>20</v>
      </c>
      <c r="M17" s="15"/>
      <c r="N17" s="264"/>
      <c r="O17" s="293"/>
      <c r="P17" s="264">
        <f t="shared" si="6"/>
        <v>0</v>
      </c>
      <c r="Q17" s="265"/>
      <c r="R17" s="266"/>
      <c r="S17" s="275">
        <f t="shared" si="5"/>
        <v>229.5</v>
      </c>
    </row>
    <row r="18" spans="1:19" x14ac:dyDescent="0.25">
      <c r="A18" s="122"/>
      <c r="B18" s="83">
        <f t="shared" si="2"/>
        <v>6</v>
      </c>
      <c r="C18" s="15"/>
      <c r="D18" s="871"/>
      <c r="E18" s="872"/>
      <c r="F18" s="1072">
        <f t="shared" si="0"/>
        <v>0</v>
      </c>
      <c r="G18" s="1073"/>
      <c r="H18" s="1074"/>
      <c r="I18" s="1075">
        <f t="shared" si="3"/>
        <v>75.419999999999888</v>
      </c>
      <c r="K18" s="122"/>
      <c r="L18" s="83">
        <f t="shared" si="4"/>
        <v>20</v>
      </c>
      <c r="M18" s="15"/>
      <c r="N18" s="264"/>
      <c r="O18" s="293"/>
      <c r="P18" s="264">
        <f t="shared" si="6"/>
        <v>0</v>
      </c>
      <c r="Q18" s="265"/>
      <c r="R18" s="266"/>
      <c r="S18" s="275">
        <f t="shared" si="5"/>
        <v>229.5</v>
      </c>
    </row>
    <row r="19" spans="1:19" x14ac:dyDescent="0.25">
      <c r="A19" s="122"/>
      <c r="B19" s="83">
        <f t="shared" si="2"/>
        <v>0</v>
      </c>
      <c r="C19" s="15">
        <v>6</v>
      </c>
      <c r="D19" s="871"/>
      <c r="E19" s="872"/>
      <c r="F19" s="1072">
        <v>75.42</v>
      </c>
      <c r="G19" s="1073"/>
      <c r="H19" s="1074"/>
      <c r="I19" s="1075">
        <f t="shared" si="3"/>
        <v>-1.1368683772161603E-13</v>
      </c>
      <c r="K19" s="122"/>
      <c r="L19" s="83">
        <f t="shared" si="4"/>
        <v>20</v>
      </c>
      <c r="M19" s="15"/>
      <c r="N19" s="264"/>
      <c r="O19" s="293"/>
      <c r="P19" s="264">
        <f t="shared" si="6"/>
        <v>0</v>
      </c>
      <c r="Q19" s="265"/>
      <c r="R19" s="266"/>
      <c r="S19" s="275">
        <f t="shared" si="5"/>
        <v>229.5</v>
      </c>
    </row>
    <row r="20" spans="1:19" x14ac:dyDescent="0.25">
      <c r="A20" s="122"/>
      <c r="B20" s="83">
        <f t="shared" si="2"/>
        <v>0</v>
      </c>
      <c r="C20" s="15"/>
      <c r="D20" s="871"/>
      <c r="E20" s="872"/>
      <c r="F20" s="1072">
        <f t="shared" si="0"/>
        <v>0</v>
      </c>
      <c r="G20" s="1073"/>
      <c r="H20" s="1074"/>
      <c r="I20" s="1075">
        <f t="shared" si="3"/>
        <v>-1.1368683772161603E-13</v>
      </c>
      <c r="K20" s="122"/>
      <c r="L20" s="83">
        <f t="shared" si="4"/>
        <v>20</v>
      </c>
      <c r="M20" s="15"/>
      <c r="N20" s="264"/>
      <c r="O20" s="293"/>
      <c r="P20" s="264">
        <f t="shared" si="6"/>
        <v>0</v>
      </c>
      <c r="Q20" s="265"/>
      <c r="R20" s="266"/>
      <c r="S20" s="275">
        <f t="shared" si="5"/>
        <v>229.5</v>
      </c>
    </row>
    <row r="21" spans="1:19" x14ac:dyDescent="0.25">
      <c r="A21" s="122"/>
      <c r="B21" s="83">
        <f t="shared" si="2"/>
        <v>0</v>
      </c>
      <c r="C21" s="15"/>
      <c r="D21" s="871"/>
      <c r="E21" s="872"/>
      <c r="F21" s="1072">
        <f t="shared" si="0"/>
        <v>0</v>
      </c>
      <c r="G21" s="1073"/>
      <c r="H21" s="1074"/>
      <c r="I21" s="1075">
        <f t="shared" si="3"/>
        <v>-1.1368683772161603E-13</v>
      </c>
      <c r="K21" s="122"/>
      <c r="L21" s="83">
        <f t="shared" si="4"/>
        <v>20</v>
      </c>
      <c r="M21" s="15"/>
      <c r="N21" s="264"/>
      <c r="O21" s="293"/>
      <c r="P21" s="264">
        <f t="shared" si="6"/>
        <v>0</v>
      </c>
      <c r="Q21" s="265"/>
      <c r="R21" s="266"/>
      <c r="S21" s="275">
        <f t="shared" si="5"/>
        <v>229.5</v>
      </c>
    </row>
    <row r="22" spans="1:19" x14ac:dyDescent="0.25">
      <c r="A22" s="122"/>
      <c r="B22" s="281">
        <f t="shared" si="2"/>
        <v>0</v>
      </c>
      <c r="C22" s="15"/>
      <c r="D22" s="871"/>
      <c r="E22" s="872"/>
      <c r="F22" s="1072">
        <f t="shared" si="0"/>
        <v>0</v>
      </c>
      <c r="G22" s="1073"/>
      <c r="H22" s="1074"/>
      <c r="I22" s="1075">
        <f t="shared" si="3"/>
        <v>-1.1368683772161603E-13</v>
      </c>
      <c r="K22" s="122"/>
      <c r="L22" s="281">
        <f t="shared" si="4"/>
        <v>20</v>
      </c>
      <c r="M22" s="15"/>
      <c r="N22" s="264"/>
      <c r="O22" s="293"/>
      <c r="P22" s="264">
        <f t="shared" si="6"/>
        <v>0</v>
      </c>
      <c r="Q22" s="265"/>
      <c r="R22" s="266"/>
      <c r="S22" s="275">
        <f t="shared" si="5"/>
        <v>229.5</v>
      </c>
    </row>
    <row r="23" spans="1:19" x14ac:dyDescent="0.25">
      <c r="A23" s="123"/>
      <c r="B23" s="281">
        <f t="shared" si="2"/>
        <v>0</v>
      </c>
      <c r="C23" s="15"/>
      <c r="D23" s="871"/>
      <c r="E23" s="872"/>
      <c r="F23" s="871">
        <f t="shared" si="0"/>
        <v>0</v>
      </c>
      <c r="G23" s="422"/>
      <c r="H23" s="423"/>
      <c r="I23" s="275">
        <f t="shared" si="3"/>
        <v>-1.1368683772161603E-13</v>
      </c>
      <c r="K23" s="123"/>
      <c r="L23" s="281">
        <f t="shared" si="4"/>
        <v>20</v>
      </c>
      <c r="M23" s="15"/>
      <c r="N23" s="264"/>
      <c r="O23" s="293"/>
      <c r="P23" s="264">
        <f t="shared" si="6"/>
        <v>0</v>
      </c>
      <c r="Q23" s="265"/>
      <c r="R23" s="266"/>
      <c r="S23" s="275">
        <f t="shared" si="5"/>
        <v>229.5</v>
      </c>
    </row>
    <row r="24" spans="1:19" x14ac:dyDescent="0.25">
      <c r="A24" s="122"/>
      <c r="B24" s="281">
        <f t="shared" si="2"/>
        <v>0</v>
      </c>
      <c r="C24" s="15"/>
      <c r="D24" s="264"/>
      <c r="E24" s="293"/>
      <c r="F24" s="264">
        <f t="shared" si="0"/>
        <v>0</v>
      </c>
      <c r="G24" s="265"/>
      <c r="H24" s="266"/>
      <c r="I24" s="275">
        <f t="shared" si="3"/>
        <v>-1.1368683772161603E-13</v>
      </c>
      <c r="K24" s="122"/>
      <c r="L24" s="281">
        <f t="shared" si="4"/>
        <v>20</v>
      </c>
      <c r="M24" s="15"/>
      <c r="N24" s="264"/>
      <c r="O24" s="293"/>
      <c r="P24" s="264">
        <f t="shared" si="6"/>
        <v>0</v>
      </c>
      <c r="Q24" s="265"/>
      <c r="R24" s="266"/>
      <c r="S24" s="275">
        <f t="shared" si="5"/>
        <v>229.5</v>
      </c>
    </row>
    <row r="25" spans="1:19" x14ac:dyDescent="0.25">
      <c r="A25" s="122"/>
      <c r="B25" s="281">
        <f t="shared" si="2"/>
        <v>0</v>
      </c>
      <c r="C25" s="15"/>
      <c r="D25" s="264"/>
      <c r="E25" s="293"/>
      <c r="F25" s="264">
        <f t="shared" si="0"/>
        <v>0</v>
      </c>
      <c r="G25" s="265"/>
      <c r="H25" s="266"/>
      <c r="I25" s="275">
        <f t="shared" si="3"/>
        <v>-1.1368683772161603E-13</v>
      </c>
      <c r="K25" s="122"/>
      <c r="L25" s="281">
        <f t="shared" si="4"/>
        <v>20</v>
      </c>
      <c r="M25" s="15"/>
      <c r="N25" s="264"/>
      <c r="O25" s="293"/>
      <c r="P25" s="264">
        <f t="shared" si="6"/>
        <v>0</v>
      </c>
      <c r="Q25" s="265"/>
      <c r="R25" s="266"/>
      <c r="S25" s="275">
        <f t="shared" si="5"/>
        <v>229.5</v>
      </c>
    </row>
    <row r="26" spans="1:19" x14ac:dyDescent="0.25">
      <c r="A26" s="122"/>
      <c r="B26" s="195">
        <f t="shared" si="2"/>
        <v>0</v>
      </c>
      <c r="C26" s="15"/>
      <c r="D26" s="264"/>
      <c r="E26" s="293"/>
      <c r="F26" s="264">
        <f t="shared" si="0"/>
        <v>0</v>
      </c>
      <c r="G26" s="265"/>
      <c r="H26" s="266"/>
      <c r="I26" s="275">
        <f t="shared" si="3"/>
        <v>-1.1368683772161603E-13</v>
      </c>
      <c r="K26" s="122"/>
      <c r="L26" s="195">
        <f t="shared" si="4"/>
        <v>20</v>
      </c>
      <c r="M26" s="15"/>
      <c r="N26" s="264"/>
      <c r="O26" s="293"/>
      <c r="P26" s="264">
        <f t="shared" si="6"/>
        <v>0</v>
      </c>
      <c r="Q26" s="265"/>
      <c r="R26" s="266"/>
      <c r="S26" s="275">
        <f t="shared" si="5"/>
        <v>229.5</v>
      </c>
    </row>
    <row r="27" spans="1:19" x14ac:dyDescent="0.25">
      <c r="A27" s="122"/>
      <c r="B27" s="281">
        <f t="shared" si="2"/>
        <v>0</v>
      </c>
      <c r="C27" s="15"/>
      <c r="D27" s="264"/>
      <c r="E27" s="293"/>
      <c r="F27" s="264">
        <f t="shared" si="0"/>
        <v>0</v>
      </c>
      <c r="G27" s="265"/>
      <c r="H27" s="266"/>
      <c r="I27" s="275">
        <f t="shared" si="3"/>
        <v>-1.1368683772161603E-13</v>
      </c>
      <c r="K27" s="122"/>
      <c r="L27" s="281">
        <f t="shared" si="4"/>
        <v>20</v>
      </c>
      <c r="M27" s="15"/>
      <c r="N27" s="264"/>
      <c r="O27" s="293"/>
      <c r="P27" s="264">
        <f t="shared" si="6"/>
        <v>0</v>
      </c>
      <c r="Q27" s="265"/>
      <c r="R27" s="266"/>
      <c r="S27" s="275">
        <f t="shared" si="5"/>
        <v>229.5</v>
      </c>
    </row>
    <row r="28" spans="1:19" x14ac:dyDescent="0.25">
      <c r="A28" s="122"/>
      <c r="B28" s="195">
        <f t="shared" si="2"/>
        <v>0</v>
      </c>
      <c r="C28" s="15"/>
      <c r="D28" s="264"/>
      <c r="E28" s="293"/>
      <c r="F28" s="264">
        <f t="shared" si="0"/>
        <v>0</v>
      </c>
      <c r="G28" s="265"/>
      <c r="H28" s="266"/>
      <c r="I28" s="275">
        <f t="shared" si="3"/>
        <v>-1.1368683772161603E-13</v>
      </c>
      <c r="K28" s="122"/>
      <c r="L28" s="195">
        <f t="shared" si="4"/>
        <v>20</v>
      </c>
      <c r="M28" s="15"/>
      <c r="N28" s="264"/>
      <c r="O28" s="293"/>
      <c r="P28" s="264">
        <f t="shared" si="6"/>
        <v>0</v>
      </c>
      <c r="Q28" s="265"/>
      <c r="R28" s="266"/>
      <c r="S28" s="275">
        <f t="shared" si="5"/>
        <v>229.5</v>
      </c>
    </row>
    <row r="29" spans="1:19" x14ac:dyDescent="0.25">
      <c r="A29" s="122"/>
      <c r="B29" s="281">
        <f t="shared" si="2"/>
        <v>0</v>
      </c>
      <c r="C29" s="15"/>
      <c r="D29" s="264"/>
      <c r="E29" s="293"/>
      <c r="F29" s="264">
        <f t="shared" si="0"/>
        <v>0</v>
      </c>
      <c r="G29" s="265"/>
      <c r="H29" s="266"/>
      <c r="I29" s="275">
        <f t="shared" si="3"/>
        <v>-1.1368683772161603E-13</v>
      </c>
      <c r="K29" s="122"/>
      <c r="L29" s="281">
        <f t="shared" si="4"/>
        <v>20</v>
      </c>
      <c r="M29" s="15"/>
      <c r="N29" s="264"/>
      <c r="O29" s="293"/>
      <c r="P29" s="264">
        <f t="shared" si="6"/>
        <v>0</v>
      </c>
      <c r="Q29" s="265"/>
      <c r="R29" s="266"/>
      <c r="S29" s="275">
        <f t="shared" si="5"/>
        <v>229.5</v>
      </c>
    </row>
    <row r="30" spans="1:19" x14ac:dyDescent="0.25">
      <c r="A30" s="122"/>
      <c r="B30" s="281">
        <f t="shared" si="2"/>
        <v>0</v>
      </c>
      <c r="C30" s="15"/>
      <c r="D30" s="264"/>
      <c r="E30" s="293"/>
      <c r="F30" s="264">
        <f t="shared" si="0"/>
        <v>0</v>
      </c>
      <c r="G30" s="265"/>
      <c r="H30" s="266"/>
      <c r="I30" s="275">
        <f t="shared" si="3"/>
        <v>-1.1368683772161603E-13</v>
      </c>
      <c r="K30" s="122"/>
      <c r="L30" s="281">
        <f t="shared" si="4"/>
        <v>20</v>
      </c>
      <c r="M30" s="15"/>
      <c r="N30" s="264"/>
      <c r="O30" s="293"/>
      <c r="P30" s="264">
        <f t="shared" si="6"/>
        <v>0</v>
      </c>
      <c r="Q30" s="265"/>
      <c r="R30" s="266"/>
      <c r="S30" s="275">
        <f t="shared" si="5"/>
        <v>229.5</v>
      </c>
    </row>
    <row r="31" spans="1:19" x14ac:dyDescent="0.25">
      <c r="A31" s="122"/>
      <c r="B31" s="281">
        <f t="shared" si="2"/>
        <v>0</v>
      </c>
      <c r="C31" s="15"/>
      <c r="D31" s="264"/>
      <c r="E31" s="293"/>
      <c r="F31" s="264">
        <f t="shared" si="0"/>
        <v>0</v>
      </c>
      <c r="G31" s="265"/>
      <c r="H31" s="266"/>
      <c r="I31" s="275">
        <f t="shared" si="3"/>
        <v>-1.1368683772161603E-13</v>
      </c>
      <c r="K31" s="122"/>
      <c r="L31" s="281">
        <f t="shared" si="4"/>
        <v>20</v>
      </c>
      <c r="M31" s="15"/>
      <c r="N31" s="264"/>
      <c r="O31" s="293"/>
      <c r="P31" s="264">
        <f t="shared" si="6"/>
        <v>0</v>
      </c>
      <c r="Q31" s="265"/>
      <c r="R31" s="266"/>
      <c r="S31" s="275">
        <f t="shared" si="5"/>
        <v>229.5</v>
      </c>
    </row>
    <row r="32" spans="1:19" x14ac:dyDescent="0.25">
      <c r="A32" s="122"/>
      <c r="B32" s="281">
        <f t="shared" si="2"/>
        <v>0</v>
      </c>
      <c r="C32" s="15"/>
      <c r="D32" s="264"/>
      <c r="E32" s="293"/>
      <c r="F32" s="264">
        <f t="shared" si="0"/>
        <v>0</v>
      </c>
      <c r="G32" s="265"/>
      <c r="H32" s="266"/>
      <c r="I32" s="275">
        <f t="shared" si="3"/>
        <v>-1.1368683772161603E-13</v>
      </c>
      <c r="K32" s="122"/>
      <c r="L32" s="281">
        <f t="shared" si="4"/>
        <v>20</v>
      </c>
      <c r="M32" s="15"/>
      <c r="N32" s="264"/>
      <c r="O32" s="293"/>
      <c r="P32" s="264">
        <f t="shared" si="6"/>
        <v>0</v>
      </c>
      <c r="Q32" s="265"/>
      <c r="R32" s="266"/>
      <c r="S32" s="275">
        <f t="shared" si="5"/>
        <v>229.5</v>
      </c>
    </row>
    <row r="33" spans="1:19" x14ac:dyDescent="0.25">
      <c r="A33" s="122"/>
      <c r="B33" s="281">
        <f t="shared" si="2"/>
        <v>0</v>
      </c>
      <c r="C33" s="15"/>
      <c r="D33" s="264"/>
      <c r="E33" s="293"/>
      <c r="F33" s="264">
        <f t="shared" si="0"/>
        <v>0</v>
      </c>
      <c r="G33" s="265"/>
      <c r="H33" s="266"/>
      <c r="I33" s="275">
        <f t="shared" si="3"/>
        <v>-1.1368683772161603E-13</v>
      </c>
      <c r="K33" s="122"/>
      <c r="L33" s="281">
        <f t="shared" si="4"/>
        <v>20</v>
      </c>
      <c r="M33" s="15"/>
      <c r="N33" s="264"/>
      <c r="O33" s="293"/>
      <c r="P33" s="264">
        <f t="shared" si="6"/>
        <v>0</v>
      </c>
      <c r="Q33" s="265"/>
      <c r="R33" s="266"/>
      <c r="S33" s="275">
        <f t="shared" si="5"/>
        <v>229.5</v>
      </c>
    </row>
    <row r="34" spans="1:19" x14ac:dyDescent="0.25">
      <c r="A34" s="122"/>
      <c r="B34" s="281">
        <f t="shared" si="2"/>
        <v>0</v>
      </c>
      <c r="C34" s="15"/>
      <c r="D34" s="264"/>
      <c r="E34" s="293"/>
      <c r="F34" s="264">
        <f t="shared" si="0"/>
        <v>0</v>
      </c>
      <c r="G34" s="265"/>
      <c r="H34" s="266"/>
      <c r="I34" s="275">
        <f t="shared" si="3"/>
        <v>-1.1368683772161603E-13</v>
      </c>
      <c r="K34" s="122"/>
      <c r="L34" s="281">
        <f t="shared" si="4"/>
        <v>20</v>
      </c>
      <c r="M34" s="15"/>
      <c r="N34" s="264"/>
      <c r="O34" s="293"/>
      <c r="P34" s="264">
        <f t="shared" si="6"/>
        <v>0</v>
      </c>
      <c r="Q34" s="265"/>
      <c r="R34" s="266"/>
      <c r="S34" s="275">
        <f t="shared" si="5"/>
        <v>229.5</v>
      </c>
    </row>
    <row r="35" spans="1:19" x14ac:dyDescent="0.25">
      <c r="A35" s="122"/>
      <c r="B35" s="281">
        <f t="shared" si="2"/>
        <v>0</v>
      </c>
      <c r="C35" s="15"/>
      <c r="D35" s="264"/>
      <c r="E35" s="293"/>
      <c r="F35" s="264">
        <f t="shared" si="0"/>
        <v>0</v>
      </c>
      <c r="G35" s="265"/>
      <c r="H35" s="266"/>
      <c r="I35" s="275">
        <f t="shared" si="3"/>
        <v>-1.1368683772161603E-13</v>
      </c>
      <c r="K35" s="122"/>
      <c r="L35" s="281">
        <f t="shared" si="4"/>
        <v>20</v>
      </c>
      <c r="M35" s="15"/>
      <c r="N35" s="264"/>
      <c r="O35" s="293"/>
      <c r="P35" s="264">
        <f t="shared" si="6"/>
        <v>0</v>
      </c>
      <c r="Q35" s="265"/>
      <c r="R35" s="266"/>
      <c r="S35" s="275">
        <f t="shared" si="5"/>
        <v>229.5</v>
      </c>
    </row>
    <row r="36" spans="1:19" x14ac:dyDescent="0.25">
      <c r="A36" s="122" t="s">
        <v>22</v>
      </c>
      <c r="B36" s="281">
        <f t="shared" si="2"/>
        <v>0</v>
      </c>
      <c r="C36" s="15"/>
      <c r="D36" s="264"/>
      <c r="E36" s="293"/>
      <c r="F36" s="264">
        <f t="shared" si="0"/>
        <v>0</v>
      </c>
      <c r="G36" s="265"/>
      <c r="H36" s="266"/>
      <c r="I36" s="275">
        <f t="shared" si="3"/>
        <v>-1.1368683772161603E-13</v>
      </c>
      <c r="K36" s="122" t="s">
        <v>22</v>
      </c>
      <c r="L36" s="281">
        <f t="shared" si="4"/>
        <v>20</v>
      </c>
      <c r="M36" s="15"/>
      <c r="N36" s="264"/>
      <c r="O36" s="293"/>
      <c r="P36" s="264">
        <f t="shared" si="6"/>
        <v>0</v>
      </c>
      <c r="Q36" s="265"/>
      <c r="R36" s="266"/>
      <c r="S36" s="275">
        <f t="shared" si="5"/>
        <v>229.5</v>
      </c>
    </row>
    <row r="37" spans="1:19" x14ac:dyDescent="0.25">
      <c r="A37" s="123"/>
      <c r="B37" s="281">
        <f t="shared" si="2"/>
        <v>0</v>
      </c>
      <c r="C37" s="15"/>
      <c r="D37" s="264"/>
      <c r="E37" s="293"/>
      <c r="F37" s="264">
        <f t="shared" si="0"/>
        <v>0</v>
      </c>
      <c r="G37" s="265"/>
      <c r="H37" s="266"/>
      <c r="I37" s="275">
        <f t="shared" si="3"/>
        <v>-1.1368683772161603E-13</v>
      </c>
      <c r="K37" s="123"/>
      <c r="L37" s="281">
        <f t="shared" si="4"/>
        <v>20</v>
      </c>
      <c r="M37" s="15"/>
      <c r="N37" s="264"/>
      <c r="O37" s="293"/>
      <c r="P37" s="264">
        <f t="shared" si="6"/>
        <v>0</v>
      </c>
      <c r="Q37" s="265"/>
      <c r="R37" s="266"/>
      <c r="S37" s="275">
        <f t="shared" si="5"/>
        <v>229.5</v>
      </c>
    </row>
    <row r="38" spans="1:19" x14ac:dyDescent="0.25">
      <c r="A38" s="122"/>
      <c r="B38" s="281">
        <f t="shared" si="2"/>
        <v>0</v>
      </c>
      <c r="C38" s="15"/>
      <c r="D38" s="264"/>
      <c r="E38" s="293"/>
      <c r="F38" s="264">
        <f t="shared" si="0"/>
        <v>0</v>
      </c>
      <c r="G38" s="265"/>
      <c r="H38" s="266"/>
      <c r="I38" s="275">
        <f t="shared" si="3"/>
        <v>-1.1368683772161603E-13</v>
      </c>
      <c r="K38" s="122"/>
      <c r="L38" s="281">
        <f t="shared" si="4"/>
        <v>20</v>
      </c>
      <c r="M38" s="15"/>
      <c r="N38" s="264"/>
      <c r="O38" s="293"/>
      <c r="P38" s="264">
        <f t="shared" si="6"/>
        <v>0</v>
      </c>
      <c r="Q38" s="265"/>
      <c r="R38" s="266"/>
      <c r="S38" s="275">
        <f t="shared" si="5"/>
        <v>229.5</v>
      </c>
    </row>
    <row r="39" spans="1:19" x14ac:dyDescent="0.25">
      <c r="A39" s="122"/>
      <c r="B39" s="83">
        <f t="shared" si="2"/>
        <v>0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3"/>
        <v>-1.1368683772161603E-13</v>
      </c>
      <c r="K39" s="122"/>
      <c r="L39" s="83">
        <f t="shared" si="4"/>
        <v>20</v>
      </c>
      <c r="M39" s="15"/>
      <c r="N39" s="264"/>
      <c r="O39" s="293"/>
      <c r="P39" s="264">
        <f t="shared" si="6"/>
        <v>0</v>
      </c>
      <c r="Q39" s="265"/>
      <c r="R39" s="266"/>
      <c r="S39" s="275">
        <f t="shared" si="5"/>
        <v>229.5</v>
      </c>
    </row>
    <row r="40" spans="1:19" x14ac:dyDescent="0.25">
      <c r="A40" s="122"/>
      <c r="B40" s="83">
        <f t="shared" si="2"/>
        <v>0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3"/>
        <v>-1.1368683772161603E-13</v>
      </c>
      <c r="K40" s="122"/>
      <c r="L40" s="83">
        <f t="shared" si="4"/>
        <v>20</v>
      </c>
      <c r="M40" s="15"/>
      <c r="N40" s="264"/>
      <c r="O40" s="293"/>
      <c r="P40" s="264">
        <f t="shared" si="6"/>
        <v>0</v>
      </c>
      <c r="Q40" s="265"/>
      <c r="R40" s="266"/>
      <c r="S40" s="275">
        <f t="shared" si="5"/>
        <v>229.5</v>
      </c>
    </row>
    <row r="41" spans="1:19" x14ac:dyDescent="0.25">
      <c r="A41" s="122"/>
      <c r="B41" s="83">
        <f t="shared" si="2"/>
        <v>0</v>
      </c>
      <c r="C41" s="15"/>
      <c r="D41" s="264"/>
      <c r="E41" s="293"/>
      <c r="F41" s="264">
        <f t="shared" si="0"/>
        <v>0</v>
      </c>
      <c r="G41" s="265"/>
      <c r="H41" s="266"/>
      <c r="I41" s="275">
        <f t="shared" si="3"/>
        <v>-1.1368683772161603E-13</v>
      </c>
      <c r="K41" s="122"/>
      <c r="L41" s="83">
        <f t="shared" si="4"/>
        <v>20</v>
      </c>
      <c r="M41" s="15"/>
      <c r="N41" s="264"/>
      <c r="O41" s="293"/>
      <c r="P41" s="264">
        <f t="shared" si="6"/>
        <v>0</v>
      </c>
      <c r="Q41" s="265"/>
      <c r="R41" s="266"/>
      <c r="S41" s="275">
        <f t="shared" si="5"/>
        <v>229.5</v>
      </c>
    </row>
    <row r="42" spans="1:19" x14ac:dyDescent="0.25">
      <c r="A42" s="122"/>
      <c r="B42" s="83">
        <f t="shared" si="2"/>
        <v>0</v>
      </c>
      <c r="C42" s="15"/>
      <c r="D42" s="264"/>
      <c r="E42" s="293"/>
      <c r="F42" s="264">
        <f t="shared" si="0"/>
        <v>0</v>
      </c>
      <c r="G42" s="265"/>
      <c r="H42" s="266"/>
      <c r="I42" s="275">
        <f t="shared" si="3"/>
        <v>-1.1368683772161603E-13</v>
      </c>
      <c r="K42" s="122"/>
      <c r="L42" s="83">
        <f t="shared" si="4"/>
        <v>20</v>
      </c>
      <c r="M42" s="15"/>
      <c r="N42" s="264"/>
      <c r="O42" s="293"/>
      <c r="P42" s="264">
        <f t="shared" si="6"/>
        <v>0</v>
      </c>
      <c r="Q42" s="265"/>
      <c r="R42" s="266"/>
      <c r="S42" s="275">
        <f t="shared" si="5"/>
        <v>229.5</v>
      </c>
    </row>
    <row r="43" spans="1:19" x14ac:dyDescent="0.25">
      <c r="A43" s="122"/>
      <c r="B43" s="83">
        <f t="shared" si="2"/>
        <v>0</v>
      </c>
      <c r="C43" s="15"/>
      <c r="D43" s="264"/>
      <c r="E43" s="293"/>
      <c r="F43" s="264">
        <f t="shared" si="0"/>
        <v>0</v>
      </c>
      <c r="G43" s="265"/>
      <c r="H43" s="266"/>
      <c r="I43" s="275">
        <f t="shared" si="3"/>
        <v>-1.1368683772161603E-13</v>
      </c>
      <c r="K43" s="122"/>
      <c r="L43" s="83">
        <f t="shared" si="4"/>
        <v>20</v>
      </c>
      <c r="M43" s="15"/>
      <c r="N43" s="264"/>
      <c r="O43" s="293"/>
      <c r="P43" s="264">
        <f t="shared" si="6"/>
        <v>0</v>
      </c>
      <c r="Q43" s="265"/>
      <c r="R43" s="266"/>
      <c r="S43" s="275">
        <f t="shared" si="5"/>
        <v>229.5</v>
      </c>
    </row>
    <row r="44" spans="1:19" x14ac:dyDescent="0.25">
      <c r="A44" s="122"/>
      <c r="B44" s="83">
        <f t="shared" si="2"/>
        <v>0</v>
      </c>
      <c r="C44" s="15"/>
      <c r="D44" s="264"/>
      <c r="E44" s="293"/>
      <c r="F44" s="264">
        <f t="shared" si="0"/>
        <v>0</v>
      </c>
      <c r="G44" s="265"/>
      <c r="H44" s="266"/>
      <c r="I44" s="275">
        <f t="shared" si="3"/>
        <v>-1.1368683772161603E-13</v>
      </c>
      <c r="K44" s="122"/>
      <c r="L44" s="83">
        <f t="shared" si="4"/>
        <v>20</v>
      </c>
      <c r="M44" s="15"/>
      <c r="N44" s="264"/>
      <c r="O44" s="293"/>
      <c r="P44" s="264">
        <f t="shared" si="6"/>
        <v>0</v>
      </c>
      <c r="Q44" s="265"/>
      <c r="R44" s="266"/>
      <c r="S44" s="275">
        <f t="shared" si="5"/>
        <v>229.5</v>
      </c>
    </row>
    <row r="45" spans="1:19" x14ac:dyDescent="0.25">
      <c r="A45" s="122"/>
      <c r="B45" s="83">
        <f t="shared" si="2"/>
        <v>0</v>
      </c>
      <c r="C45" s="15"/>
      <c r="D45" s="264"/>
      <c r="E45" s="293"/>
      <c r="F45" s="264">
        <f t="shared" si="0"/>
        <v>0</v>
      </c>
      <c r="G45" s="265"/>
      <c r="H45" s="266"/>
      <c r="I45" s="275">
        <f t="shared" si="3"/>
        <v>-1.1368683772161603E-13</v>
      </c>
      <c r="K45" s="122"/>
      <c r="L45" s="83">
        <f t="shared" si="4"/>
        <v>20</v>
      </c>
      <c r="M45" s="15"/>
      <c r="N45" s="264"/>
      <c r="O45" s="293"/>
      <c r="P45" s="264">
        <f t="shared" si="6"/>
        <v>0</v>
      </c>
      <c r="Q45" s="265"/>
      <c r="R45" s="266"/>
      <c r="S45" s="275">
        <f t="shared" si="5"/>
        <v>229.5</v>
      </c>
    </row>
    <row r="46" spans="1:19" x14ac:dyDescent="0.25">
      <c r="A46" s="122"/>
      <c r="B46" s="83">
        <f t="shared" si="2"/>
        <v>0</v>
      </c>
      <c r="C46" s="15"/>
      <c r="D46" s="264"/>
      <c r="E46" s="293"/>
      <c r="F46" s="264">
        <f t="shared" si="0"/>
        <v>0</v>
      </c>
      <c r="G46" s="265"/>
      <c r="H46" s="266"/>
      <c r="I46" s="275">
        <f t="shared" si="3"/>
        <v>-1.1368683772161603E-13</v>
      </c>
      <c r="K46" s="122"/>
      <c r="L46" s="83">
        <f t="shared" si="4"/>
        <v>20</v>
      </c>
      <c r="M46" s="15"/>
      <c r="N46" s="264"/>
      <c r="O46" s="293"/>
      <c r="P46" s="264">
        <f t="shared" si="6"/>
        <v>0</v>
      </c>
      <c r="Q46" s="265"/>
      <c r="R46" s="266"/>
      <c r="S46" s="275">
        <f t="shared" si="5"/>
        <v>229.5</v>
      </c>
    </row>
    <row r="47" spans="1:19" x14ac:dyDescent="0.25">
      <c r="A47" s="122"/>
      <c r="B47" s="83">
        <f t="shared" si="2"/>
        <v>0</v>
      </c>
      <c r="C47" s="15"/>
      <c r="D47" s="264"/>
      <c r="E47" s="293"/>
      <c r="F47" s="264">
        <f t="shared" si="0"/>
        <v>0</v>
      </c>
      <c r="G47" s="265"/>
      <c r="H47" s="266"/>
      <c r="I47" s="275">
        <f t="shared" si="3"/>
        <v>-1.1368683772161603E-13</v>
      </c>
      <c r="K47" s="122"/>
      <c r="L47" s="83">
        <f t="shared" si="4"/>
        <v>20</v>
      </c>
      <c r="M47" s="15"/>
      <c r="N47" s="264"/>
      <c r="O47" s="293"/>
      <c r="P47" s="264">
        <f t="shared" si="6"/>
        <v>0</v>
      </c>
      <c r="Q47" s="265"/>
      <c r="R47" s="266"/>
      <c r="S47" s="275">
        <f t="shared" si="5"/>
        <v>229.5</v>
      </c>
    </row>
    <row r="48" spans="1:19" x14ac:dyDescent="0.25">
      <c r="A48" s="122"/>
      <c r="B48" s="83">
        <f t="shared" si="2"/>
        <v>0</v>
      </c>
      <c r="C48" s="15"/>
      <c r="D48" s="264"/>
      <c r="E48" s="293"/>
      <c r="F48" s="264">
        <f t="shared" si="0"/>
        <v>0</v>
      </c>
      <c r="G48" s="265"/>
      <c r="H48" s="266"/>
      <c r="I48" s="275">
        <f t="shared" si="3"/>
        <v>-1.1368683772161603E-13</v>
      </c>
      <c r="K48" s="122"/>
      <c r="L48" s="83">
        <f t="shared" si="4"/>
        <v>20</v>
      </c>
      <c r="M48" s="15"/>
      <c r="N48" s="264"/>
      <c r="O48" s="293"/>
      <c r="P48" s="264">
        <f t="shared" si="6"/>
        <v>0</v>
      </c>
      <c r="Q48" s="265"/>
      <c r="R48" s="266"/>
      <c r="S48" s="275">
        <f t="shared" si="5"/>
        <v>229.5</v>
      </c>
    </row>
    <row r="49" spans="1:19" x14ac:dyDescent="0.25">
      <c r="A49" s="122"/>
      <c r="B49" s="83">
        <f t="shared" si="2"/>
        <v>0</v>
      </c>
      <c r="C49" s="15"/>
      <c r="D49" s="264"/>
      <c r="E49" s="293"/>
      <c r="F49" s="264">
        <f t="shared" si="0"/>
        <v>0</v>
      </c>
      <c r="G49" s="265"/>
      <c r="H49" s="266"/>
      <c r="I49" s="275">
        <f t="shared" si="3"/>
        <v>-1.1368683772161603E-13</v>
      </c>
      <c r="K49" s="122"/>
      <c r="L49" s="83">
        <f t="shared" si="4"/>
        <v>20</v>
      </c>
      <c r="M49" s="15"/>
      <c r="N49" s="264"/>
      <c r="O49" s="293"/>
      <c r="P49" s="264">
        <f t="shared" si="6"/>
        <v>0</v>
      </c>
      <c r="Q49" s="265"/>
      <c r="R49" s="266"/>
      <c r="S49" s="275">
        <f t="shared" si="5"/>
        <v>229.5</v>
      </c>
    </row>
    <row r="50" spans="1:19" x14ac:dyDescent="0.25">
      <c r="A50" s="122"/>
      <c r="B50" s="83">
        <f t="shared" si="2"/>
        <v>0</v>
      </c>
      <c r="C50" s="15"/>
      <c r="D50" s="264"/>
      <c r="E50" s="293"/>
      <c r="F50" s="264">
        <f t="shared" si="0"/>
        <v>0</v>
      </c>
      <c r="G50" s="265"/>
      <c r="H50" s="266"/>
      <c r="I50" s="275">
        <f t="shared" si="3"/>
        <v>-1.1368683772161603E-13</v>
      </c>
      <c r="K50" s="122"/>
      <c r="L50" s="83">
        <f t="shared" si="4"/>
        <v>20</v>
      </c>
      <c r="M50" s="15"/>
      <c r="N50" s="264"/>
      <c r="O50" s="293"/>
      <c r="P50" s="264">
        <f t="shared" si="6"/>
        <v>0</v>
      </c>
      <c r="Q50" s="265"/>
      <c r="R50" s="266"/>
      <c r="S50" s="275">
        <f t="shared" si="5"/>
        <v>229.5</v>
      </c>
    </row>
    <row r="51" spans="1:19" x14ac:dyDescent="0.25">
      <c r="A51" s="122"/>
      <c r="B51" s="83">
        <f t="shared" si="2"/>
        <v>0</v>
      </c>
      <c r="C51" s="15"/>
      <c r="D51" s="264"/>
      <c r="E51" s="293"/>
      <c r="F51" s="264">
        <f t="shared" si="0"/>
        <v>0</v>
      </c>
      <c r="G51" s="265"/>
      <c r="H51" s="266"/>
      <c r="I51" s="275">
        <f t="shared" si="3"/>
        <v>-1.1368683772161603E-13</v>
      </c>
      <c r="K51" s="122"/>
      <c r="L51" s="83">
        <f t="shared" si="4"/>
        <v>20</v>
      </c>
      <c r="M51" s="15"/>
      <c r="N51" s="264"/>
      <c r="O51" s="293"/>
      <c r="P51" s="264">
        <f t="shared" si="6"/>
        <v>0</v>
      </c>
      <c r="Q51" s="265"/>
      <c r="R51" s="266"/>
      <c r="S51" s="275">
        <f t="shared" si="5"/>
        <v>229.5</v>
      </c>
    </row>
    <row r="52" spans="1:19" x14ac:dyDescent="0.25">
      <c r="A52" s="122"/>
      <c r="B52" s="83">
        <f t="shared" si="2"/>
        <v>0</v>
      </c>
      <c r="C52" s="15"/>
      <c r="D52" s="264"/>
      <c r="E52" s="293"/>
      <c r="F52" s="264">
        <f t="shared" si="0"/>
        <v>0</v>
      </c>
      <c r="G52" s="265"/>
      <c r="H52" s="266"/>
      <c r="I52" s="275">
        <f t="shared" si="3"/>
        <v>-1.1368683772161603E-13</v>
      </c>
      <c r="K52" s="122"/>
      <c r="L52" s="83">
        <f t="shared" si="4"/>
        <v>20</v>
      </c>
      <c r="M52" s="15"/>
      <c r="N52" s="264"/>
      <c r="O52" s="293"/>
      <c r="P52" s="264">
        <f t="shared" si="6"/>
        <v>0</v>
      </c>
      <c r="Q52" s="265"/>
      <c r="R52" s="266"/>
      <c r="S52" s="275">
        <f t="shared" si="5"/>
        <v>229.5</v>
      </c>
    </row>
    <row r="53" spans="1:19" x14ac:dyDescent="0.25">
      <c r="A53" s="122"/>
      <c r="B53" s="83">
        <f t="shared" si="2"/>
        <v>0</v>
      </c>
      <c r="C53" s="15"/>
      <c r="D53" s="264"/>
      <c r="E53" s="293"/>
      <c r="F53" s="264">
        <f t="shared" si="0"/>
        <v>0</v>
      </c>
      <c r="G53" s="265"/>
      <c r="H53" s="266"/>
      <c r="I53" s="275">
        <f t="shared" si="3"/>
        <v>-1.1368683772161603E-13</v>
      </c>
      <c r="K53" s="122"/>
      <c r="L53" s="83">
        <f t="shared" si="4"/>
        <v>20</v>
      </c>
      <c r="M53" s="15"/>
      <c r="N53" s="264"/>
      <c r="O53" s="293"/>
      <c r="P53" s="264">
        <f t="shared" si="6"/>
        <v>0</v>
      </c>
      <c r="Q53" s="265"/>
      <c r="R53" s="266"/>
      <c r="S53" s="275">
        <f t="shared" si="5"/>
        <v>229.5</v>
      </c>
    </row>
    <row r="54" spans="1:19" x14ac:dyDescent="0.25">
      <c r="A54" s="122"/>
      <c r="B54" s="83">
        <f t="shared" si="2"/>
        <v>0</v>
      </c>
      <c r="C54" s="15"/>
      <c r="D54" s="264"/>
      <c r="E54" s="293"/>
      <c r="F54" s="264">
        <f t="shared" si="0"/>
        <v>0</v>
      </c>
      <c r="G54" s="265"/>
      <c r="H54" s="266"/>
      <c r="I54" s="275">
        <f t="shared" si="3"/>
        <v>-1.1368683772161603E-13</v>
      </c>
      <c r="K54" s="122"/>
      <c r="L54" s="83">
        <f t="shared" si="4"/>
        <v>20</v>
      </c>
      <c r="M54" s="15"/>
      <c r="N54" s="264"/>
      <c r="O54" s="293"/>
      <c r="P54" s="264">
        <f t="shared" si="6"/>
        <v>0</v>
      </c>
      <c r="Q54" s="265"/>
      <c r="R54" s="266"/>
      <c r="S54" s="275">
        <f t="shared" si="5"/>
        <v>229.5</v>
      </c>
    </row>
    <row r="55" spans="1:19" x14ac:dyDescent="0.25">
      <c r="A55" s="122"/>
      <c r="B55" s="12">
        <f>B54-C55</f>
        <v>0</v>
      </c>
      <c r="C55" s="15"/>
      <c r="D55" s="264"/>
      <c r="E55" s="293"/>
      <c r="F55" s="264">
        <f t="shared" si="0"/>
        <v>0</v>
      </c>
      <c r="G55" s="265"/>
      <c r="H55" s="266"/>
      <c r="I55" s="275">
        <f t="shared" si="3"/>
        <v>-1.1368683772161603E-13</v>
      </c>
      <c r="K55" s="122"/>
      <c r="L55" s="12">
        <f>L54-M55</f>
        <v>20</v>
      </c>
      <c r="M55" s="15"/>
      <c r="N55" s="264"/>
      <c r="O55" s="293"/>
      <c r="P55" s="264">
        <f t="shared" si="6"/>
        <v>0</v>
      </c>
      <c r="Q55" s="265"/>
      <c r="R55" s="266"/>
      <c r="S55" s="275">
        <f t="shared" si="5"/>
        <v>229.5</v>
      </c>
    </row>
    <row r="56" spans="1:19" x14ac:dyDescent="0.25">
      <c r="A56" s="122"/>
      <c r="B56" s="12">
        <f t="shared" ref="B56:B75" si="7">B55-C56</f>
        <v>0</v>
      </c>
      <c r="C56" s="15"/>
      <c r="D56" s="264"/>
      <c r="E56" s="293"/>
      <c r="F56" s="264">
        <f t="shared" si="0"/>
        <v>0</v>
      </c>
      <c r="G56" s="265"/>
      <c r="H56" s="266"/>
      <c r="I56" s="275">
        <f t="shared" si="3"/>
        <v>-1.1368683772161603E-13</v>
      </c>
      <c r="K56" s="122"/>
      <c r="L56" s="12">
        <f t="shared" ref="L56:L75" si="8">L55-M56</f>
        <v>20</v>
      </c>
      <c r="M56" s="15"/>
      <c r="N56" s="264"/>
      <c r="O56" s="293"/>
      <c r="P56" s="264">
        <f t="shared" si="6"/>
        <v>0</v>
      </c>
      <c r="Q56" s="265"/>
      <c r="R56" s="266"/>
      <c r="S56" s="275">
        <f t="shared" si="5"/>
        <v>229.5</v>
      </c>
    </row>
    <row r="57" spans="1:19" x14ac:dyDescent="0.25">
      <c r="A57" s="122"/>
      <c r="B57" s="12">
        <f t="shared" si="7"/>
        <v>0</v>
      </c>
      <c r="C57" s="15"/>
      <c r="D57" s="264"/>
      <c r="E57" s="293"/>
      <c r="F57" s="264">
        <f t="shared" si="0"/>
        <v>0</v>
      </c>
      <c r="G57" s="265"/>
      <c r="H57" s="266"/>
      <c r="I57" s="275">
        <f t="shared" si="3"/>
        <v>-1.1368683772161603E-13</v>
      </c>
      <c r="K57" s="122"/>
      <c r="L57" s="12">
        <f t="shared" si="8"/>
        <v>20</v>
      </c>
      <c r="M57" s="15"/>
      <c r="N57" s="264"/>
      <c r="O57" s="293"/>
      <c r="P57" s="264">
        <f t="shared" si="6"/>
        <v>0</v>
      </c>
      <c r="Q57" s="265"/>
      <c r="R57" s="266"/>
      <c r="S57" s="275">
        <f t="shared" si="5"/>
        <v>229.5</v>
      </c>
    </row>
    <row r="58" spans="1:19" x14ac:dyDescent="0.25">
      <c r="A58" s="122"/>
      <c r="B58" s="12">
        <f t="shared" si="7"/>
        <v>0</v>
      </c>
      <c r="C58" s="15"/>
      <c r="D58" s="264"/>
      <c r="E58" s="293"/>
      <c r="F58" s="264">
        <f t="shared" si="0"/>
        <v>0</v>
      </c>
      <c r="G58" s="265"/>
      <c r="H58" s="266"/>
      <c r="I58" s="275">
        <f t="shared" si="3"/>
        <v>-1.1368683772161603E-13</v>
      </c>
      <c r="K58" s="122"/>
      <c r="L58" s="12">
        <f t="shared" si="8"/>
        <v>20</v>
      </c>
      <c r="M58" s="15"/>
      <c r="N58" s="264"/>
      <c r="O58" s="293"/>
      <c r="P58" s="264">
        <f t="shared" si="6"/>
        <v>0</v>
      </c>
      <c r="Q58" s="265"/>
      <c r="R58" s="266"/>
      <c r="S58" s="275">
        <f t="shared" si="5"/>
        <v>229.5</v>
      </c>
    </row>
    <row r="59" spans="1:19" x14ac:dyDescent="0.25">
      <c r="A59" s="122"/>
      <c r="B59" s="12">
        <f t="shared" si="7"/>
        <v>0</v>
      </c>
      <c r="C59" s="15"/>
      <c r="D59" s="264"/>
      <c r="E59" s="293"/>
      <c r="F59" s="264">
        <f t="shared" si="0"/>
        <v>0</v>
      </c>
      <c r="G59" s="265"/>
      <c r="H59" s="266"/>
      <c r="I59" s="275">
        <f t="shared" si="3"/>
        <v>-1.1368683772161603E-13</v>
      </c>
      <c r="K59" s="122"/>
      <c r="L59" s="12">
        <f t="shared" si="8"/>
        <v>20</v>
      </c>
      <c r="M59" s="15"/>
      <c r="N59" s="264"/>
      <c r="O59" s="293"/>
      <c r="P59" s="264">
        <f t="shared" si="6"/>
        <v>0</v>
      </c>
      <c r="Q59" s="265"/>
      <c r="R59" s="266"/>
      <c r="S59" s="275">
        <f t="shared" si="5"/>
        <v>229.5</v>
      </c>
    </row>
    <row r="60" spans="1:19" x14ac:dyDescent="0.25">
      <c r="A60" s="122"/>
      <c r="B60" s="12">
        <f t="shared" si="7"/>
        <v>0</v>
      </c>
      <c r="C60" s="15"/>
      <c r="D60" s="264"/>
      <c r="E60" s="293"/>
      <c r="F60" s="264">
        <f t="shared" si="0"/>
        <v>0</v>
      </c>
      <c r="G60" s="265"/>
      <c r="H60" s="266"/>
      <c r="I60" s="275">
        <f t="shared" si="3"/>
        <v>-1.1368683772161603E-13</v>
      </c>
      <c r="K60" s="122"/>
      <c r="L60" s="12">
        <f t="shared" si="8"/>
        <v>20</v>
      </c>
      <c r="M60" s="15"/>
      <c r="N60" s="264"/>
      <c r="O60" s="293"/>
      <c r="P60" s="264">
        <f t="shared" si="6"/>
        <v>0</v>
      </c>
      <c r="Q60" s="265"/>
      <c r="R60" s="266"/>
      <c r="S60" s="275">
        <f t="shared" si="5"/>
        <v>229.5</v>
      </c>
    </row>
    <row r="61" spans="1:19" x14ac:dyDescent="0.25">
      <c r="A61" s="122"/>
      <c r="B61" s="12">
        <f t="shared" si="7"/>
        <v>0</v>
      </c>
      <c r="C61" s="15"/>
      <c r="D61" s="264"/>
      <c r="E61" s="293"/>
      <c r="F61" s="264">
        <f t="shared" si="0"/>
        <v>0</v>
      </c>
      <c r="G61" s="265"/>
      <c r="H61" s="266"/>
      <c r="I61" s="275">
        <f t="shared" si="3"/>
        <v>-1.1368683772161603E-13</v>
      </c>
      <c r="K61" s="122"/>
      <c r="L61" s="12">
        <f t="shared" si="8"/>
        <v>20</v>
      </c>
      <c r="M61" s="15"/>
      <c r="N61" s="264"/>
      <c r="O61" s="293"/>
      <c r="P61" s="264">
        <f t="shared" si="6"/>
        <v>0</v>
      </c>
      <c r="Q61" s="265"/>
      <c r="R61" s="266"/>
      <c r="S61" s="275">
        <f t="shared" si="5"/>
        <v>229.5</v>
      </c>
    </row>
    <row r="62" spans="1:19" x14ac:dyDescent="0.25">
      <c r="A62" s="122"/>
      <c r="B62" s="12">
        <f t="shared" si="7"/>
        <v>0</v>
      </c>
      <c r="C62" s="15"/>
      <c r="D62" s="264"/>
      <c r="E62" s="293"/>
      <c r="F62" s="264">
        <f t="shared" si="0"/>
        <v>0</v>
      </c>
      <c r="G62" s="265"/>
      <c r="H62" s="266"/>
      <c r="I62" s="275">
        <f t="shared" si="3"/>
        <v>-1.1368683772161603E-13</v>
      </c>
      <c r="K62" s="122"/>
      <c r="L62" s="12">
        <f t="shared" si="8"/>
        <v>20</v>
      </c>
      <c r="M62" s="15"/>
      <c r="N62" s="264"/>
      <c r="O62" s="293"/>
      <c r="P62" s="264">
        <f t="shared" si="6"/>
        <v>0</v>
      </c>
      <c r="Q62" s="265"/>
      <c r="R62" s="266"/>
      <c r="S62" s="275">
        <f t="shared" si="5"/>
        <v>229.5</v>
      </c>
    </row>
    <row r="63" spans="1:19" x14ac:dyDescent="0.25">
      <c r="A63" s="122"/>
      <c r="B63" s="12">
        <f t="shared" si="7"/>
        <v>0</v>
      </c>
      <c r="C63" s="15"/>
      <c r="D63" s="264"/>
      <c r="E63" s="293"/>
      <c r="F63" s="264">
        <f t="shared" si="0"/>
        <v>0</v>
      </c>
      <c r="G63" s="265"/>
      <c r="H63" s="266"/>
      <c r="I63" s="275">
        <f t="shared" si="3"/>
        <v>-1.1368683772161603E-13</v>
      </c>
      <c r="K63" s="122"/>
      <c r="L63" s="12">
        <f t="shared" si="8"/>
        <v>20</v>
      </c>
      <c r="M63" s="15"/>
      <c r="N63" s="264"/>
      <c r="O63" s="293"/>
      <c r="P63" s="264">
        <f t="shared" si="6"/>
        <v>0</v>
      </c>
      <c r="Q63" s="265"/>
      <c r="R63" s="266"/>
      <c r="S63" s="275">
        <f t="shared" si="5"/>
        <v>229.5</v>
      </c>
    </row>
    <row r="64" spans="1:19" x14ac:dyDescent="0.25">
      <c r="A64" s="122"/>
      <c r="B64" s="12">
        <f t="shared" si="7"/>
        <v>0</v>
      </c>
      <c r="C64" s="15"/>
      <c r="D64" s="264"/>
      <c r="E64" s="293"/>
      <c r="F64" s="264">
        <f t="shared" si="0"/>
        <v>0</v>
      </c>
      <c r="G64" s="265"/>
      <c r="H64" s="266"/>
      <c r="I64" s="275">
        <f t="shared" si="3"/>
        <v>-1.1368683772161603E-13</v>
      </c>
      <c r="K64" s="122"/>
      <c r="L64" s="12">
        <f t="shared" si="8"/>
        <v>20</v>
      </c>
      <c r="M64" s="15"/>
      <c r="N64" s="264"/>
      <c r="O64" s="293"/>
      <c r="P64" s="264">
        <f t="shared" si="6"/>
        <v>0</v>
      </c>
      <c r="Q64" s="265"/>
      <c r="R64" s="266"/>
      <c r="S64" s="275">
        <f t="shared" si="5"/>
        <v>229.5</v>
      </c>
    </row>
    <row r="65" spans="1:19" x14ac:dyDescent="0.25">
      <c r="A65" s="122"/>
      <c r="B65" s="12">
        <f t="shared" si="7"/>
        <v>0</v>
      </c>
      <c r="C65" s="15"/>
      <c r="D65" s="264"/>
      <c r="E65" s="293"/>
      <c r="F65" s="264">
        <f t="shared" si="0"/>
        <v>0</v>
      </c>
      <c r="G65" s="265"/>
      <c r="H65" s="266"/>
      <c r="I65" s="275">
        <f t="shared" si="3"/>
        <v>-1.1368683772161603E-13</v>
      </c>
      <c r="K65" s="122"/>
      <c r="L65" s="12">
        <f t="shared" si="8"/>
        <v>20</v>
      </c>
      <c r="M65" s="15"/>
      <c r="N65" s="264"/>
      <c r="O65" s="293"/>
      <c r="P65" s="264">
        <f t="shared" si="6"/>
        <v>0</v>
      </c>
      <c r="Q65" s="265"/>
      <c r="R65" s="266"/>
      <c r="S65" s="275">
        <f t="shared" si="5"/>
        <v>229.5</v>
      </c>
    </row>
    <row r="66" spans="1:19" x14ac:dyDescent="0.25">
      <c r="A66" s="122"/>
      <c r="B66" s="12">
        <f t="shared" si="7"/>
        <v>0</v>
      </c>
      <c r="C66" s="15"/>
      <c r="D66" s="264"/>
      <c r="E66" s="293"/>
      <c r="F66" s="264">
        <f t="shared" si="0"/>
        <v>0</v>
      </c>
      <c r="G66" s="265"/>
      <c r="H66" s="266"/>
      <c r="I66" s="275">
        <f t="shared" si="3"/>
        <v>-1.1368683772161603E-13</v>
      </c>
      <c r="K66" s="122"/>
      <c r="L66" s="12">
        <f t="shared" si="8"/>
        <v>20</v>
      </c>
      <c r="M66" s="15"/>
      <c r="N66" s="264"/>
      <c r="O66" s="293"/>
      <c r="P66" s="264">
        <f t="shared" si="6"/>
        <v>0</v>
      </c>
      <c r="Q66" s="265"/>
      <c r="R66" s="266"/>
      <c r="S66" s="275">
        <f t="shared" si="5"/>
        <v>229.5</v>
      </c>
    </row>
    <row r="67" spans="1:19" x14ac:dyDescent="0.25">
      <c r="A67" s="122"/>
      <c r="B67" s="12">
        <f t="shared" si="7"/>
        <v>0</v>
      </c>
      <c r="C67" s="15"/>
      <c r="D67" s="69"/>
      <c r="E67" s="216"/>
      <c r="F67" s="69">
        <f t="shared" si="0"/>
        <v>0</v>
      </c>
      <c r="G67" s="70"/>
      <c r="H67" s="71"/>
      <c r="I67" s="105">
        <f t="shared" si="3"/>
        <v>-1.1368683772161603E-13</v>
      </c>
      <c r="K67" s="122"/>
      <c r="L67" s="12">
        <f t="shared" si="8"/>
        <v>20</v>
      </c>
      <c r="M67" s="15"/>
      <c r="N67" s="69"/>
      <c r="O67" s="216"/>
      <c r="P67" s="69">
        <f t="shared" si="6"/>
        <v>0</v>
      </c>
      <c r="Q67" s="70"/>
      <c r="R67" s="71"/>
      <c r="S67" s="105">
        <f t="shared" si="5"/>
        <v>229.5</v>
      </c>
    </row>
    <row r="68" spans="1:19" x14ac:dyDescent="0.25">
      <c r="A68" s="122"/>
      <c r="B68" s="12">
        <f t="shared" si="7"/>
        <v>0</v>
      </c>
      <c r="C68" s="15"/>
      <c r="D68" s="59"/>
      <c r="E68" s="223"/>
      <c r="F68" s="69">
        <f t="shared" si="0"/>
        <v>0</v>
      </c>
      <c r="G68" s="70"/>
      <c r="H68" s="71"/>
      <c r="I68" s="105">
        <f t="shared" si="3"/>
        <v>-1.1368683772161603E-13</v>
      </c>
      <c r="K68" s="122"/>
      <c r="L68" s="12">
        <f t="shared" si="8"/>
        <v>20</v>
      </c>
      <c r="M68" s="15"/>
      <c r="N68" s="59"/>
      <c r="O68" s="223"/>
      <c r="P68" s="69">
        <f t="shared" si="6"/>
        <v>0</v>
      </c>
      <c r="Q68" s="70"/>
      <c r="R68" s="71"/>
      <c r="S68" s="105">
        <f t="shared" si="5"/>
        <v>229.5</v>
      </c>
    </row>
    <row r="69" spans="1:19" x14ac:dyDescent="0.25">
      <c r="A69" s="122"/>
      <c r="B69" s="12">
        <f t="shared" si="7"/>
        <v>0</v>
      </c>
      <c r="C69" s="15"/>
      <c r="D69" s="59"/>
      <c r="E69" s="223"/>
      <c r="F69" s="69">
        <f t="shared" si="0"/>
        <v>0</v>
      </c>
      <c r="G69" s="70"/>
      <c r="H69" s="71"/>
      <c r="I69" s="105">
        <f t="shared" si="3"/>
        <v>-1.1368683772161603E-13</v>
      </c>
      <c r="K69" s="122"/>
      <c r="L69" s="12">
        <f t="shared" si="8"/>
        <v>20</v>
      </c>
      <c r="M69" s="15"/>
      <c r="N69" s="59"/>
      <c r="O69" s="223"/>
      <c r="P69" s="69">
        <f t="shared" si="6"/>
        <v>0</v>
      </c>
      <c r="Q69" s="70"/>
      <c r="R69" s="71"/>
      <c r="S69" s="105">
        <f t="shared" si="5"/>
        <v>229.5</v>
      </c>
    </row>
    <row r="70" spans="1:19" x14ac:dyDescent="0.25">
      <c r="A70" s="122"/>
      <c r="B70" s="12">
        <f t="shared" si="7"/>
        <v>0</v>
      </c>
      <c r="C70" s="15"/>
      <c r="D70" s="59"/>
      <c r="E70" s="223"/>
      <c r="F70" s="69">
        <f t="shared" si="0"/>
        <v>0</v>
      </c>
      <c r="G70" s="70"/>
      <c r="H70" s="71"/>
      <c r="I70" s="105">
        <f t="shared" si="3"/>
        <v>-1.1368683772161603E-13</v>
      </c>
      <c r="K70" s="122"/>
      <c r="L70" s="12">
        <f t="shared" si="8"/>
        <v>20</v>
      </c>
      <c r="M70" s="15"/>
      <c r="N70" s="59"/>
      <c r="O70" s="223"/>
      <c r="P70" s="69">
        <f t="shared" si="6"/>
        <v>0</v>
      </c>
      <c r="Q70" s="70"/>
      <c r="R70" s="71"/>
      <c r="S70" s="105">
        <f t="shared" si="5"/>
        <v>229.5</v>
      </c>
    </row>
    <row r="71" spans="1:19" x14ac:dyDescent="0.25">
      <c r="A71" s="122"/>
      <c r="B71" s="12">
        <f t="shared" si="7"/>
        <v>0</v>
      </c>
      <c r="C71" s="15"/>
      <c r="D71" s="59"/>
      <c r="E71" s="223"/>
      <c r="F71" s="69">
        <f t="shared" si="0"/>
        <v>0</v>
      </c>
      <c r="G71" s="70"/>
      <c r="H71" s="71"/>
      <c r="I71" s="105">
        <f t="shared" si="3"/>
        <v>-1.1368683772161603E-13</v>
      </c>
      <c r="K71" s="122"/>
      <c r="L71" s="12">
        <f t="shared" si="8"/>
        <v>20</v>
      </c>
      <c r="M71" s="15"/>
      <c r="N71" s="59"/>
      <c r="O71" s="223"/>
      <c r="P71" s="69">
        <f t="shared" si="6"/>
        <v>0</v>
      </c>
      <c r="Q71" s="70"/>
      <c r="R71" s="71"/>
      <c r="S71" s="105">
        <f t="shared" si="5"/>
        <v>229.5</v>
      </c>
    </row>
    <row r="72" spans="1:19" x14ac:dyDescent="0.25">
      <c r="A72" s="122"/>
      <c r="B72" s="12">
        <f t="shared" si="7"/>
        <v>0</v>
      </c>
      <c r="C72" s="15"/>
      <c r="D72" s="59"/>
      <c r="E72" s="223"/>
      <c r="F72" s="69">
        <f t="shared" si="0"/>
        <v>0</v>
      </c>
      <c r="G72" s="70"/>
      <c r="H72" s="71"/>
      <c r="I72" s="105">
        <f t="shared" si="3"/>
        <v>-1.1368683772161603E-13</v>
      </c>
      <c r="K72" s="122"/>
      <c r="L72" s="12">
        <f t="shared" si="8"/>
        <v>20</v>
      </c>
      <c r="M72" s="15"/>
      <c r="N72" s="59"/>
      <c r="O72" s="223"/>
      <c r="P72" s="69">
        <f t="shared" si="6"/>
        <v>0</v>
      </c>
      <c r="Q72" s="70"/>
      <c r="R72" s="71"/>
      <c r="S72" s="105">
        <f t="shared" si="5"/>
        <v>229.5</v>
      </c>
    </row>
    <row r="73" spans="1:19" x14ac:dyDescent="0.25">
      <c r="A73" s="122"/>
      <c r="B73" s="12">
        <f t="shared" si="7"/>
        <v>0</v>
      </c>
      <c r="C73" s="15"/>
      <c r="D73" s="59"/>
      <c r="E73" s="223"/>
      <c r="F73" s="69">
        <f t="shared" ref="F73" si="9">D73</f>
        <v>0</v>
      </c>
      <c r="G73" s="70"/>
      <c r="H73" s="71"/>
      <c r="I73" s="105">
        <f t="shared" si="3"/>
        <v>-1.1368683772161603E-13</v>
      </c>
      <c r="K73" s="122"/>
      <c r="L73" s="12">
        <f t="shared" si="8"/>
        <v>20</v>
      </c>
      <c r="M73" s="15"/>
      <c r="N73" s="59"/>
      <c r="O73" s="223"/>
      <c r="P73" s="69">
        <f t="shared" si="6"/>
        <v>0</v>
      </c>
      <c r="Q73" s="70"/>
      <c r="R73" s="71"/>
      <c r="S73" s="105">
        <f t="shared" si="5"/>
        <v>229.5</v>
      </c>
    </row>
    <row r="74" spans="1:19" x14ac:dyDescent="0.25">
      <c r="A74" s="122"/>
      <c r="B74" s="12">
        <f t="shared" si="7"/>
        <v>0</v>
      </c>
      <c r="C74" s="15"/>
      <c r="D74" s="59"/>
      <c r="E74" s="223"/>
      <c r="F74" s="69">
        <f>D74</f>
        <v>0</v>
      </c>
      <c r="G74" s="70"/>
      <c r="H74" s="71"/>
      <c r="I74" s="105">
        <f t="shared" si="3"/>
        <v>-1.1368683772161603E-13</v>
      </c>
      <c r="K74" s="122"/>
      <c r="L74" s="12">
        <f t="shared" si="8"/>
        <v>20</v>
      </c>
      <c r="M74" s="15"/>
      <c r="N74" s="59"/>
      <c r="O74" s="223"/>
      <c r="P74" s="69">
        <f>N74</f>
        <v>0</v>
      </c>
      <c r="Q74" s="70"/>
      <c r="R74" s="71"/>
      <c r="S74" s="105">
        <f t="shared" si="5"/>
        <v>229.5</v>
      </c>
    </row>
    <row r="75" spans="1:19" x14ac:dyDescent="0.25">
      <c r="A75" s="122"/>
      <c r="B75" s="12">
        <f t="shared" si="7"/>
        <v>0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10">I74-F75</f>
        <v>-1.1368683772161603E-13</v>
      </c>
      <c r="K75" s="122"/>
      <c r="L75" s="12">
        <f t="shared" si="8"/>
        <v>20</v>
      </c>
      <c r="M75" s="15"/>
      <c r="N75" s="59"/>
      <c r="O75" s="223"/>
      <c r="P75" s="69">
        <f>N75</f>
        <v>0</v>
      </c>
      <c r="Q75" s="70"/>
      <c r="R75" s="71"/>
      <c r="S75" s="105">
        <f t="shared" ref="S75:S76" si="11">S74-P75</f>
        <v>229.5</v>
      </c>
    </row>
    <row r="76" spans="1:1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10"/>
        <v>-1.1368683772161603E-13</v>
      </c>
      <c r="K76" s="122"/>
      <c r="M76" s="15"/>
      <c r="N76" s="59"/>
      <c r="O76" s="223"/>
      <c r="P76" s="69">
        <f>N76</f>
        <v>0</v>
      </c>
      <c r="Q76" s="70"/>
      <c r="R76" s="71"/>
      <c r="S76" s="105">
        <f t="shared" si="11"/>
        <v>229.5</v>
      </c>
    </row>
    <row r="77" spans="1:1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</row>
    <row r="78" spans="1:19" x14ac:dyDescent="0.25">
      <c r="C78" s="53">
        <f>SUM(C9:C77)</f>
        <v>59</v>
      </c>
      <c r="D78" s="6">
        <f>SUM(D9:D77)</f>
        <v>673.45</v>
      </c>
      <c r="F78" s="6">
        <f>SUM(F9:F77)</f>
        <v>748.87</v>
      </c>
      <c r="M78" s="53">
        <f>SUM(M9:M77)</f>
        <v>14</v>
      </c>
      <c r="N78" s="6">
        <f>SUM(N9:N77)</f>
        <v>169.57</v>
      </c>
      <c r="P78" s="6">
        <f>SUM(P9:P77)</f>
        <v>169.57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-7</v>
      </c>
      <c r="N81" s="45" t="s">
        <v>4</v>
      </c>
      <c r="O81" s="56">
        <f>P5+P6-M78+P7</f>
        <v>20</v>
      </c>
    </row>
    <row r="82" spans="3:16" ht="15.75" thickBot="1" x14ac:dyDescent="0.3"/>
    <row r="83" spans="3:16" ht="15.75" thickBot="1" x14ac:dyDescent="0.3">
      <c r="C83" s="1200" t="s">
        <v>11</v>
      </c>
      <c r="D83" s="1201"/>
      <c r="E83" s="57">
        <f>E5+E6-F78+E7</f>
        <v>-97.060000000000059</v>
      </c>
      <c r="F83" s="73"/>
      <c r="M83" s="1200" t="s">
        <v>11</v>
      </c>
      <c r="N83" s="1201"/>
      <c r="O83" s="57">
        <f>O5+O6-P78+O7</f>
        <v>229.5</v>
      </c>
      <c r="P83" s="73"/>
    </row>
  </sheetData>
  <sortState ref="C11:H12">
    <sortCondition ref="G11:G12"/>
  </sortState>
  <mergeCells count="6">
    <mergeCell ref="A1:G1"/>
    <mergeCell ref="B5:B6"/>
    <mergeCell ref="C83:D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56"/>
  <sheetViews>
    <sheetView topLeftCell="K1" workbookViewId="0">
      <selection activeCell="R5" sqref="R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243" t="s">
        <v>228</v>
      </c>
      <c r="B1" s="1243"/>
      <c r="C1" s="1243"/>
      <c r="D1" s="1243"/>
      <c r="E1" s="1243"/>
      <c r="F1" s="1243"/>
      <c r="G1" s="1243"/>
      <c r="H1" s="99">
        <v>1</v>
      </c>
      <c r="L1" s="1249" t="s">
        <v>240</v>
      </c>
      <c r="M1" s="1249"/>
      <c r="N1" s="1249"/>
      <c r="O1" s="1249"/>
      <c r="P1" s="1249"/>
      <c r="Q1" s="1249"/>
      <c r="R1" s="1249"/>
      <c r="S1" s="99">
        <v>2</v>
      </c>
    </row>
    <row r="2" spans="1:21" ht="15.75" thickBot="1" x14ac:dyDescent="0.3">
      <c r="B2" s="240"/>
      <c r="D2" s="47"/>
      <c r="F2" s="5"/>
      <c r="M2" s="240"/>
      <c r="O2" s="47"/>
      <c r="Q2" s="5"/>
    </row>
    <row r="3" spans="1:21" ht="16.5" thickTop="1" thickBot="1" x14ac:dyDescent="0.3">
      <c r="A3" s="8" t="s">
        <v>0</v>
      </c>
      <c r="B3" s="50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3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A4" s="977"/>
      <c r="B4" s="977"/>
      <c r="C4" s="290"/>
      <c r="D4" s="430"/>
      <c r="E4" s="338"/>
      <c r="F4" s="315"/>
      <c r="G4" s="73"/>
      <c r="L4" s="977"/>
      <c r="M4" s="977"/>
      <c r="N4" s="290"/>
      <c r="O4" s="430"/>
      <c r="P4" s="338"/>
      <c r="Q4" s="315"/>
      <c r="R4" s="73"/>
    </row>
    <row r="5" spans="1:21" ht="15" customHeight="1" x14ac:dyDescent="0.25">
      <c r="A5" s="1244" t="s">
        <v>52</v>
      </c>
      <c r="B5" s="1245" t="s">
        <v>112</v>
      </c>
      <c r="C5" s="290">
        <v>68</v>
      </c>
      <c r="D5" s="430">
        <v>44656</v>
      </c>
      <c r="E5" s="338">
        <v>1108.29</v>
      </c>
      <c r="F5" s="315">
        <v>54</v>
      </c>
      <c r="G5" s="302">
        <f>F53</f>
        <v>2389.8399999999997</v>
      </c>
      <c r="H5" s="58">
        <f>E4+E5+E6-G5</f>
        <v>-1128.7799999999997</v>
      </c>
      <c r="L5" s="1244" t="s">
        <v>52</v>
      </c>
      <c r="M5" s="1245" t="s">
        <v>112</v>
      </c>
      <c r="N5" s="290">
        <v>68</v>
      </c>
      <c r="O5" s="430">
        <v>44707</v>
      </c>
      <c r="P5" s="338">
        <v>3005.88</v>
      </c>
      <c r="Q5" s="315">
        <v>116</v>
      </c>
      <c r="R5" s="302">
        <f>Q53</f>
        <v>0</v>
      </c>
      <c r="S5" s="58">
        <f>P4+P5+P6-R5</f>
        <v>3005.88</v>
      </c>
    </row>
    <row r="6" spans="1:21" ht="16.5" customHeight="1" x14ac:dyDescent="0.25">
      <c r="A6" s="1244"/>
      <c r="B6" s="1246"/>
      <c r="C6" s="290">
        <v>68</v>
      </c>
      <c r="D6" s="430">
        <v>44664</v>
      </c>
      <c r="E6" s="338">
        <v>152.77000000000001</v>
      </c>
      <c r="F6" s="315">
        <v>7</v>
      </c>
      <c r="G6" s="243"/>
      <c r="H6" s="240"/>
      <c r="I6" s="240"/>
      <c r="L6" s="1244"/>
      <c r="M6" s="1246"/>
      <c r="N6" s="290"/>
      <c r="O6" s="430"/>
      <c r="P6" s="338"/>
      <c r="Q6" s="315"/>
      <c r="R6" s="243"/>
      <c r="S6" s="240"/>
      <c r="T6" s="240"/>
    </row>
    <row r="7" spans="1:21" ht="15.75" customHeight="1" thickBot="1" x14ac:dyDescent="0.35">
      <c r="A7" s="1244"/>
      <c r="B7" s="1246"/>
      <c r="C7" s="290">
        <v>68</v>
      </c>
      <c r="D7" s="430">
        <v>44669</v>
      </c>
      <c r="E7" s="338">
        <v>584.07000000000005</v>
      </c>
      <c r="F7" s="315">
        <v>20</v>
      </c>
      <c r="G7" s="243"/>
      <c r="H7" s="240"/>
      <c r="I7" s="652"/>
      <c r="J7" s="512"/>
      <c r="L7" s="1244"/>
      <c r="M7" s="1246"/>
      <c r="N7" s="290"/>
      <c r="O7" s="430"/>
      <c r="P7" s="338"/>
      <c r="Q7" s="315"/>
      <c r="R7" s="243"/>
      <c r="S7" s="240"/>
      <c r="T7" s="652"/>
      <c r="U7" s="512"/>
    </row>
    <row r="8" spans="1:21" ht="16.5" customHeight="1" thickTop="1" thickBot="1" x14ac:dyDescent="0.3">
      <c r="A8" s="240"/>
      <c r="B8" s="602"/>
      <c r="C8" s="290">
        <v>68</v>
      </c>
      <c r="D8" s="430">
        <v>44679</v>
      </c>
      <c r="E8" s="312">
        <v>1022.39</v>
      </c>
      <c r="F8" s="313">
        <v>35</v>
      </c>
      <c r="G8" s="243"/>
      <c r="H8" s="240"/>
      <c r="I8" s="1247" t="s">
        <v>47</v>
      </c>
      <c r="J8" s="1241" t="s">
        <v>4</v>
      </c>
      <c r="L8" s="240"/>
      <c r="M8" s="602"/>
      <c r="N8" s="290"/>
      <c r="O8" s="430"/>
      <c r="P8" s="312"/>
      <c r="Q8" s="313"/>
      <c r="R8" s="243"/>
      <c r="S8" s="240"/>
      <c r="T8" s="1247" t="s">
        <v>47</v>
      </c>
      <c r="U8" s="1241" t="s">
        <v>4</v>
      </c>
    </row>
    <row r="9" spans="1:21" ht="16.5" customHeight="1" thickTop="1" thickBot="1" x14ac:dyDescent="0.3">
      <c r="A9" s="957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53" t="s">
        <v>15</v>
      </c>
      <c r="H9" s="654"/>
      <c r="I9" s="1248"/>
      <c r="J9" s="1242"/>
      <c r="L9" s="957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53" t="s">
        <v>15</v>
      </c>
      <c r="S9" s="654"/>
      <c r="T9" s="1248"/>
      <c r="U9" s="1242"/>
    </row>
    <row r="10" spans="1:21" ht="15.75" thickTop="1" x14ac:dyDescent="0.25">
      <c r="A10" s="958"/>
      <c r="B10" s="83"/>
      <c r="C10" s="15">
        <v>10</v>
      </c>
      <c r="D10" s="156">
        <v>215.62</v>
      </c>
      <c r="E10" s="328">
        <v>44656</v>
      </c>
      <c r="F10" s="264">
        <f>D10</f>
        <v>215.62</v>
      </c>
      <c r="G10" s="265" t="s">
        <v>129</v>
      </c>
      <c r="H10" s="266">
        <v>70</v>
      </c>
      <c r="I10" s="267">
        <f>E4+E5+E6-F10+E7+E8</f>
        <v>2651.9</v>
      </c>
      <c r="J10" s="268">
        <f>F4+F5+F6+F7-C10+F8</f>
        <v>106</v>
      </c>
      <c r="L10" s="958"/>
      <c r="M10" s="83"/>
      <c r="N10" s="15"/>
      <c r="O10" s="156"/>
      <c r="P10" s="328"/>
      <c r="Q10" s="264">
        <f>O10</f>
        <v>0</v>
      </c>
      <c r="R10" s="265"/>
      <c r="S10" s="266"/>
      <c r="T10" s="267">
        <f>P4+P5+P6-Q10+P7+P8</f>
        <v>3005.88</v>
      </c>
      <c r="U10" s="268">
        <f>Q4+Q5+Q6+Q7-N10+Q8</f>
        <v>116</v>
      </c>
    </row>
    <row r="11" spans="1:21" x14ac:dyDescent="0.25">
      <c r="A11" s="958"/>
      <c r="B11" s="83"/>
      <c r="C11" s="15">
        <v>1</v>
      </c>
      <c r="D11" s="156">
        <v>21</v>
      </c>
      <c r="E11" s="325">
        <v>44657</v>
      </c>
      <c r="F11" s="69">
        <f>D11</f>
        <v>21</v>
      </c>
      <c r="G11" s="265" t="s">
        <v>121</v>
      </c>
      <c r="H11" s="266">
        <v>70</v>
      </c>
      <c r="I11" s="267">
        <f>I10-F11</f>
        <v>2630.9</v>
      </c>
      <c r="J11" s="268">
        <f>J10-C11</f>
        <v>105</v>
      </c>
      <c r="L11" s="958"/>
      <c r="M11" s="83"/>
      <c r="N11" s="15"/>
      <c r="O11" s="156"/>
      <c r="P11" s="325"/>
      <c r="Q11" s="69">
        <f>O11</f>
        <v>0</v>
      </c>
      <c r="R11" s="265"/>
      <c r="S11" s="266"/>
      <c r="T11" s="267">
        <f>T10-Q11</f>
        <v>3005.88</v>
      </c>
      <c r="U11" s="268">
        <f>U10-N11</f>
        <v>116</v>
      </c>
    </row>
    <row r="12" spans="1:21" x14ac:dyDescent="0.25">
      <c r="A12" s="959" t="s">
        <v>32</v>
      </c>
      <c r="B12" s="83"/>
      <c r="C12" s="15">
        <v>4</v>
      </c>
      <c r="D12" s="156">
        <v>82.9</v>
      </c>
      <c r="E12" s="864">
        <v>44658</v>
      </c>
      <c r="F12" s="264">
        <f>D12</f>
        <v>82.9</v>
      </c>
      <c r="G12" s="265" t="s">
        <v>136</v>
      </c>
      <c r="H12" s="266">
        <v>70</v>
      </c>
      <c r="I12" s="267">
        <f t="shared" ref="I12:I26" si="0">I11-F12</f>
        <v>2548</v>
      </c>
      <c r="J12" s="268">
        <f t="shared" ref="J12:J26" si="1">J11-C12</f>
        <v>101</v>
      </c>
      <c r="L12" s="959" t="s">
        <v>32</v>
      </c>
      <c r="M12" s="83"/>
      <c r="N12" s="15"/>
      <c r="O12" s="156"/>
      <c r="P12" s="864"/>
      <c r="Q12" s="264">
        <f>O12</f>
        <v>0</v>
      </c>
      <c r="R12" s="265"/>
      <c r="S12" s="266"/>
      <c r="T12" s="267">
        <f t="shared" ref="T12:T51" si="2">T11-Q12</f>
        <v>3005.88</v>
      </c>
      <c r="U12" s="268">
        <f t="shared" ref="U12:U51" si="3">U11-N12</f>
        <v>116</v>
      </c>
    </row>
    <row r="13" spans="1:21" x14ac:dyDescent="0.25">
      <c r="A13" s="960"/>
      <c r="B13" s="83"/>
      <c r="C13" s="15">
        <v>1</v>
      </c>
      <c r="D13" s="156">
        <v>14.9</v>
      </c>
      <c r="E13" s="495">
        <v>44658</v>
      </c>
      <c r="F13" s="264">
        <f t="shared" ref="F13:F52" si="4">D13</f>
        <v>14.9</v>
      </c>
      <c r="G13" s="265" t="s">
        <v>139</v>
      </c>
      <c r="H13" s="266">
        <v>70</v>
      </c>
      <c r="I13" s="267">
        <f t="shared" si="0"/>
        <v>2533.1</v>
      </c>
      <c r="J13" s="268">
        <f t="shared" si="1"/>
        <v>100</v>
      </c>
      <c r="L13" s="960"/>
      <c r="M13" s="83"/>
      <c r="N13" s="15"/>
      <c r="O13" s="156"/>
      <c r="P13" s="495"/>
      <c r="Q13" s="264">
        <f t="shared" ref="Q13:Q52" si="5">O13</f>
        <v>0</v>
      </c>
      <c r="R13" s="265"/>
      <c r="S13" s="266"/>
      <c r="T13" s="267">
        <f t="shared" si="2"/>
        <v>3005.88</v>
      </c>
      <c r="U13" s="268">
        <f t="shared" si="3"/>
        <v>116</v>
      </c>
    </row>
    <row r="14" spans="1:21" x14ac:dyDescent="0.25">
      <c r="A14" s="296"/>
      <c r="B14" s="83"/>
      <c r="C14" s="15">
        <v>1</v>
      </c>
      <c r="D14" s="156">
        <v>18.350000000000001</v>
      </c>
      <c r="E14" s="495">
        <v>44663</v>
      </c>
      <c r="F14" s="264">
        <f t="shared" si="4"/>
        <v>18.350000000000001</v>
      </c>
      <c r="G14" s="265" t="s">
        <v>148</v>
      </c>
      <c r="H14" s="266">
        <v>70</v>
      </c>
      <c r="I14" s="267">
        <f t="shared" si="0"/>
        <v>2514.75</v>
      </c>
      <c r="J14" s="268">
        <f t="shared" si="1"/>
        <v>99</v>
      </c>
      <c r="L14" s="296"/>
      <c r="M14" s="83"/>
      <c r="N14" s="15"/>
      <c r="O14" s="156"/>
      <c r="P14" s="495"/>
      <c r="Q14" s="264">
        <f t="shared" si="5"/>
        <v>0</v>
      </c>
      <c r="R14" s="265"/>
      <c r="S14" s="266"/>
      <c r="T14" s="267">
        <f t="shared" si="2"/>
        <v>3005.88</v>
      </c>
      <c r="U14" s="268">
        <f t="shared" si="3"/>
        <v>116</v>
      </c>
    </row>
    <row r="15" spans="1:21" x14ac:dyDescent="0.25">
      <c r="A15" s="961" t="s">
        <v>33</v>
      </c>
      <c r="B15" s="83"/>
      <c r="C15" s="15">
        <v>4</v>
      </c>
      <c r="D15" s="156">
        <v>75.45</v>
      </c>
      <c r="E15" s="495">
        <v>44664</v>
      </c>
      <c r="F15" s="264">
        <f t="shared" si="4"/>
        <v>75.45</v>
      </c>
      <c r="G15" s="265" t="s">
        <v>156</v>
      </c>
      <c r="H15" s="266">
        <v>70</v>
      </c>
      <c r="I15" s="267">
        <f t="shared" si="0"/>
        <v>2439.3000000000002</v>
      </c>
      <c r="J15" s="268">
        <f t="shared" si="1"/>
        <v>95</v>
      </c>
      <c r="L15" s="961" t="s">
        <v>33</v>
      </c>
      <c r="M15" s="83"/>
      <c r="N15" s="15"/>
      <c r="O15" s="156"/>
      <c r="P15" s="495"/>
      <c r="Q15" s="264">
        <f t="shared" si="5"/>
        <v>0</v>
      </c>
      <c r="R15" s="265"/>
      <c r="S15" s="266"/>
      <c r="T15" s="267">
        <f t="shared" si="2"/>
        <v>3005.88</v>
      </c>
      <c r="U15" s="268">
        <f t="shared" si="3"/>
        <v>116</v>
      </c>
    </row>
    <row r="16" spans="1:21" x14ac:dyDescent="0.25">
      <c r="A16" s="960"/>
      <c r="B16" s="83"/>
      <c r="C16" s="15">
        <v>5</v>
      </c>
      <c r="D16" s="156">
        <v>104.97</v>
      </c>
      <c r="E16" s="328">
        <v>44670</v>
      </c>
      <c r="F16" s="264">
        <f t="shared" si="4"/>
        <v>104.97</v>
      </c>
      <c r="G16" s="265" t="s">
        <v>161</v>
      </c>
      <c r="H16" s="266">
        <v>70</v>
      </c>
      <c r="I16" s="267">
        <f t="shared" si="0"/>
        <v>2334.3300000000004</v>
      </c>
      <c r="J16" s="268">
        <f t="shared" si="1"/>
        <v>90</v>
      </c>
      <c r="L16" s="960"/>
      <c r="M16" s="83"/>
      <c r="N16" s="15"/>
      <c r="O16" s="156"/>
      <c r="P16" s="328"/>
      <c r="Q16" s="264">
        <f t="shared" si="5"/>
        <v>0</v>
      </c>
      <c r="R16" s="265"/>
      <c r="S16" s="266"/>
      <c r="T16" s="267">
        <f t="shared" si="2"/>
        <v>3005.88</v>
      </c>
      <c r="U16" s="268">
        <f t="shared" si="3"/>
        <v>116</v>
      </c>
    </row>
    <row r="17" spans="1:21" x14ac:dyDescent="0.25">
      <c r="A17" s="296"/>
      <c r="B17" s="83"/>
      <c r="C17" s="15">
        <v>2</v>
      </c>
      <c r="D17" s="156">
        <v>51.09</v>
      </c>
      <c r="E17" s="495">
        <v>44670</v>
      </c>
      <c r="F17" s="264">
        <f t="shared" si="4"/>
        <v>51.09</v>
      </c>
      <c r="G17" s="265" t="s">
        <v>172</v>
      </c>
      <c r="H17" s="266">
        <v>70</v>
      </c>
      <c r="I17" s="267">
        <f t="shared" si="0"/>
        <v>2283.2400000000002</v>
      </c>
      <c r="J17" s="268">
        <f t="shared" si="1"/>
        <v>88</v>
      </c>
      <c r="L17" s="296"/>
      <c r="M17" s="83"/>
      <c r="N17" s="15"/>
      <c r="O17" s="156"/>
      <c r="P17" s="495"/>
      <c r="Q17" s="264">
        <f t="shared" si="5"/>
        <v>0</v>
      </c>
      <c r="R17" s="265"/>
      <c r="S17" s="266"/>
      <c r="T17" s="267">
        <f t="shared" si="2"/>
        <v>3005.88</v>
      </c>
      <c r="U17" s="268">
        <f t="shared" si="3"/>
        <v>116</v>
      </c>
    </row>
    <row r="18" spans="1:21" x14ac:dyDescent="0.25">
      <c r="A18" s="958"/>
      <c r="B18" s="83"/>
      <c r="C18" s="15">
        <v>1</v>
      </c>
      <c r="D18" s="156">
        <v>19.3</v>
      </c>
      <c r="E18" s="495">
        <v>44671</v>
      </c>
      <c r="F18" s="264">
        <f t="shared" si="4"/>
        <v>19.3</v>
      </c>
      <c r="G18" s="595" t="s">
        <v>159</v>
      </c>
      <c r="H18" s="266">
        <v>70</v>
      </c>
      <c r="I18" s="267">
        <f t="shared" si="0"/>
        <v>2263.94</v>
      </c>
      <c r="J18" s="268">
        <f t="shared" si="1"/>
        <v>87</v>
      </c>
      <c r="L18" s="958"/>
      <c r="M18" s="83"/>
      <c r="N18" s="15"/>
      <c r="O18" s="156"/>
      <c r="P18" s="495"/>
      <c r="Q18" s="264">
        <f t="shared" si="5"/>
        <v>0</v>
      </c>
      <c r="R18" s="595"/>
      <c r="S18" s="266"/>
      <c r="T18" s="267">
        <f t="shared" si="2"/>
        <v>3005.88</v>
      </c>
      <c r="U18" s="268">
        <f t="shared" si="3"/>
        <v>116</v>
      </c>
    </row>
    <row r="19" spans="1:21" x14ac:dyDescent="0.25">
      <c r="A19" s="958"/>
      <c r="B19" s="83"/>
      <c r="C19" s="53">
        <v>5</v>
      </c>
      <c r="D19" s="156">
        <v>99.48</v>
      </c>
      <c r="E19" s="495">
        <v>44672</v>
      </c>
      <c r="F19" s="264">
        <f t="shared" si="4"/>
        <v>99.48</v>
      </c>
      <c r="G19" s="265" t="s">
        <v>177</v>
      </c>
      <c r="H19" s="266">
        <v>70</v>
      </c>
      <c r="I19" s="267">
        <f t="shared" si="0"/>
        <v>2164.46</v>
      </c>
      <c r="J19" s="268">
        <f t="shared" si="1"/>
        <v>82</v>
      </c>
      <c r="L19" s="958"/>
      <c r="M19" s="83"/>
      <c r="N19" s="53"/>
      <c r="O19" s="156"/>
      <c r="P19" s="495"/>
      <c r="Q19" s="264">
        <f t="shared" si="5"/>
        <v>0</v>
      </c>
      <c r="R19" s="265"/>
      <c r="S19" s="266"/>
      <c r="T19" s="267">
        <f t="shared" si="2"/>
        <v>3005.88</v>
      </c>
      <c r="U19" s="268">
        <f t="shared" si="3"/>
        <v>116</v>
      </c>
    </row>
    <row r="20" spans="1:21" x14ac:dyDescent="0.25">
      <c r="A20" s="958"/>
      <c r="B20" s="83"/>
      <c r="C20" s="15">
        <v>1</v>
      </c>
      <c r="D20" s="156">
        <v>24.18</v>
      </c>
      <c r="E20" s="324">
        <v>44672</v>
      </c>
      <c r="F20" s="69">
        <f t="shared" si="4"/>
        <v>24.18</v>
      </c>
      <c r="G20" s="265" t="s">
        <v>178</v>
      </c>
      <c r="H20" s="266">
        <v>70</v>
      </c>
      <c r="I20" s="267">
        <f t="shared" si="0"/>
        <v>2140.2800000000002</v>
      </c>
      <c r="J20" s="268">
        <f t="shared" si="1"/>
        <v>81</v>
      </c>
      <c r="L20" s="958"/>
      <c r="M20" s="83"/>
      <c r="N20" s="15"/>
      <c r="O20" s="156"/>
      <c r="P20" s="324"/>
      <c r="Q20" s="69">
        <f t="shared" si="5"/>
        <v>0</v>
      </c>
      <c r="R20" s="265"/>
      <c r="S20" s="266"/>
      <c r="T20" s="267">
        <f t="shared" si="2"/>
        <v>3005.88</v>
      </c>
      <c r="U20" s="268">
        <f t="shared" si="3"/>
        <v>116</v>
      </c>
    </row>
    <row r="21" spans="1:21" x14ac:dyDescent="0.25">
      <c r="A21" s="958"/>
      <c r="B21" s="83"/>
      <c r="C21" s="15">
        <v>4</v>
      </c>
      <c r="D21" s="156">
        <v>117.48</v>
      </c>
      <c r="E21" s="324">
        <v>44676</v>
      </c>
      <c r="F21" s="69">
        <f t="shared" si="4"/>
        <v>117.48</v>
      </c>
      <c r="G21" s="265" t="s">
        <v>185</v>
      </c>
      <c r="H21" s="266">
        <v>70</v>
      </c>
      <c r="I21" s="267">
        <f t="shared" si="0"/>
        <v>2022.8000000000002</v>
      </c>
      <c r="J21" s="268">
        <f t="shared" si="1"/>
        <v>77</v>
      </c>
      <c r="L21" s="958"/>
      <c r="M21" s="83"/>
      <c r="N21" s="15"/>
      <c r="O21" s="156"/>
      <c r="P21" s="324"/>
      <c r="Q21" s="69">
        <f t="shared" si="5"/>
        <v>0</v>
      </c>
      <c r="R21" s="265"/>
      <c r="S21" s="266"/>
      <c r="T21" s="267">
        <f t="shared" si="2"/>
        <v>3005.88</v>
      </c>
      <c r="U21" s="268">
        <f t="shared" si="3"/>
        <v>116</v>
      </c>
    </row>
    <row r="22" spans="1:21" x14ac:dyDescent="0.25">
      <c r="A22" s="958"/>
      <c r="B22" s="83"/>
      <c r="C22" s="15">
        <v>1</v>
      </c>
      <c r="D22" s="156">
        <v>30.21</v>
      </c>
      <c r="E22" s="325">
        <v>44677</v>
      </c>
      <c r="F22" s="69">
        <f t="shared" si="4"/>
        <v>30.21</v>
      </c>
      <c r="G22" s="70" t="s">
        <v>198</v>
      </c>
      <c r="H22" s="71">
        <v>70</v>
      </c>
      <c r="I22" s="267">
        <f t="shared" si="0"/>
        <v>1992.5900000000001</v>
      </c>
      <c r="J22" s="268">
        <f t="shared" si="1"/>
        <v>76</v>
      </c>
      <c r="L22" s="958"/>
      <c r="M22" s="83"/>
      <c r="N22" s="15"/>
      <c r="O22" s="156"/>
      <c r="P22" s="325"/>
      <c r="Q22" s="69">
        <f t="shared" si="5"/>
        <v>0</v>
      </c>
      <c r="R22" s="70"/>
      <c r="S22" s="71"/>
      <c r="T22" s="267">
        <f t="shared" si="2"/>
        <v>3005.88</v>
      </c>
      <c r="U22" s="268">
        <f t="shared" si="3"/>
        <v>116</v>
      </c>
    </row>
    <row r="23" spans="1:21" x14ac:dyDescent="0.25">
      <c r="A23" s="958"/>
      <c r="B23" s="83"/>
      <c r="C23" s="15">
        <v>2</v>
      </c>
      <c r="D23" s="156">
        <v>49.66</v>
      </c>
      <c r="E23" s="325">
        <v>44678</v>
      </c>
      <c r="F23" s="69">
        <f t="shared" si="4"/>
        <v>49.66</v>
      </c>
      <c r="G23" s="70" t="s">
        <v>200</v>
      </c>
      <c r="H23" s="71">
        <v>70</v>
      </c>
      <c r="I23" s="267">
        <f t="shared" si="0"/>
        <v>1942.93</v>
      </c>
      <c r="J23" s="268">
        <f t="shared" si="1"/>
        <v>74</v>
      </c>
      <c r="L23" s="958"/>
      <c r="M23" s="83"/>
      <c r="N23" s="15"/>
      <c r="O23" s="156"/>
      <c r="P23" s="325"/>
      <c r="Q23" s="69">
        <f t="shared" si="5"/>
        <v>0</v>
      </c>
      <c r="R23" s="70"/>
      <c r="S23" s="71"/>
      <c r="T23" s="267">
        <f t="shared" si="2"/>
        <v>3005.88</v>
      </c>
      <c r="U23" s="268">
        <f t="shared" si="3"/>
        <v>116</v>
      </c>
    </row>
    <row r="24" spans="1:21" x14ac:dyDescent="0.25">
      <c r="A24" s="2"/>
      <c r="B24" s="83"/>
      <c r="C24" s="15">
        <v>5</v>
      </c>
      <c r="D24" s="156">
        <v>126.47</v>
      </c>
      <c r="E24" s="325">
        <v>44679</v>
      </c>
      <c r="F24" s="69">
        <f t="shared" si="4"/>
        <v>126.47</v>
      </c>
      <c r="G24" s="70" t="s">
        <v>202</v>
      </c>
      <c r="H24" s="71">
        <v>70</v>
      </c>
      <c r="I24" s="267">
        <f t="shared" si="0"/>
        <v>1816.46</v>
      </c>
      <c r="J24" s="127">
        <f t="shared" si="1"/>
        <v>69</v>
      </c>
      <c r="L24" s="2"/>
      <c r="M24" s="83"/>
      <c r="N24" s="15"/>
      <c r="O24" s="156"/>
      <c r="P24" s="325"/>
      <c r="Q24" s="69">
        <f t="shared" si="5"/>
        <v>0</v>
      </c>
      <c r="R24" s="70"/>
      <c r="S24" s="71"/>
      <c r="T24" s="267">
        <f t="shared" si="2"/>
        <v>3005.88</v>
      </c>
      <c r="U24" s="127">
        <f t="shared" si="3"/>
        <v>116</v>
      </c>
    </row>
    <row r="25" spans="1:21" x14ac:dyDescent="0.25">
      <c r="A25" s="2"/>
      <c r="B25" s="83"/>
      <c r="C25" s="15">
        <v>1</v>
      </c>
      <c r="D25" s="156">
        <v>29.04</v>
      </c>
      <c r="E25" s="325">
        <v>44679</v>
      </c>
      <c r="F25" s="69">
        <f t="shared" si="4"/>
        <v>29.04</v>
      </c>
      <c r="G25" s="70" t="s">
        <v>204</v>
      </c>
      <c r="H25" s="71">
        <v>70</v>
      </c>
      <c r="I25" s="267">
        <f t="shared" si="0"/>
        <v>1787.42</v>
      </c>
      <c r="J25" s="127">
        <f t="shared" si="1"/>
        <v>68</v>
      </c>
      <c r="L25" s="2"/>
      <c r="M25" s="83"/>
      <c r="N25" s="15"/>
      <c r="O25" s="156"/>
      <c r="P25" s="325"/>
      <c r="Q25" s="69">
        <f t="shared" si="5"/>
        <v>0</v>
      </c>
      <c r="R25" s="70"/>
      <c r="S25" s="71"/>
      <c r="T25" s="267">
        <f t="shared" si="2"/>
        <v>3005.88</v>
      </c>
      <c r="U25" s="127">
        <f t="shared" si="3"/>
        <v>116</v>
      </c>
    </row>
    <row r="26" spans="1:21" x14ac:dyDescent="0.25">
      <c r="A26" s="2"/>
      <c r="B26" s="83"/>
      <c r="C26" s="15">
        <v>1</v>
      </c>
      <c r="D26" s="1045">
        <v>30.31</v>
      </c>
      <c r="E26" s="1039">
        <v>44684</v>
      </c>
      <c r="F26" s="1033">
        <f t="shared" si="4"/>
        <v>30.31</v>
      </c>
      <c r="G26" s="1034" t="s">
        <v>374</v>
      </c>
      <c r="H26" s="1035">
        <v>70</v>
      </c>
      <c r="I26" s="222">
        <f t="shared" si="0"/>
        <v>1757.1100000000001</v>
      </c>
      <c r="J26" s="127">
        <f t="shared" si="1"/>
        <v>67</v>
      </c>
      <c r="L26" s="2"/>
      <c r="M26" s="83"/>
      <c r="N26" s="15"/>
      <c r="O26" s="156"/>
      <c r="P26" s="325"/>
      <c r="Q26" s="69">
        <f t="shared" si="5"/>
        <v>0</v>
      </c>
      <c r="R26" s="70"/>
      <c r="S26" s="71"/>
      <c r="T26" s="222">
        <f t="shared" si="2"/>
        <v>3005.88</v>
      </c>
      <c r="U26" s="127">
        <f t="shared" si="3"/>
        <v>116</v>
      </c>
    </row>
    <row r="27" spans="1:21" x14ac:dyDescent="0.25">
      <c r="A27" s="2"/>
      <c r="B27" s="83"/>
      <c r="C27" s="15">
        <v>1</v>
      </c>
      <c r="D27" s="1045">
        <v>32.15</v>
      </c>
      <c r="E27" s="1039">
        <v>44684</v>
      </c>
      <c r="F27" s="1033">
        <f t="shared" si="4"/>
        <v>32.15</v>
      </c>
      <c r="G27" s="1034" t="s">
        <v>375</v>
      </c>
      <c r="H27" s="1035">
        <v>70</v>
      </c>
      <c r="I27" s="222">
        <f t="shared" ref="I27:I51" si="6">I26-F27</f>
        <v>1724.96</v>
      </c>
      <c r="J27" s="127">
        <f t="shared" ref="J27:J51" si="7">J26-C27</f>
        <v>66</v>
      </c>
      <c r="L27" s="2"/>
      <c r="M27" s="83"/>
      <c r="N27" s="15"/>
      <c r="O27" s="156"/>
      <c r="P27" s="325"/>
      <c r="Q27" s="69">
        <f t="shared" si="5"/>
        <v>0</v>
      </c>
      <c r="R27" s="70"/>
      <c r="S27" s="71"/>
      <c r="T27" s="222">
        <f t="shared" si="2"/>
        <v>3005.88</v>
      </c>
      <c r="U27" s="127">
        <f t="shared" si="3"/>
        <v>116</v>
      </c>
    </row>
    <row r="28" spans="1:21" x14ac:dyDescent="0.25">
      <c r="A28" s="2"/>
      <c r="B28" s="83"/>
      <c r="C28" s="15">
        <v>1</v>
      </c>
      <c r="D28" s="1045">
        <v>20.04</v>
      </c>
      <c r="E28" s="1039">
        <v>44684</v>
      </c>
      <c r="F28" s="1033">
        <f t="shared" si="4"/>
        <v>20.04</v>
      </c>
      <c r="G28" s="1034" t="s">
        <v>371</v>
      </c>
      <c r="H28" s="1035">
        <v>70</v>
      </c>
      <c r="I28" s="222">
        <f t="shared" si="6"/>
        <v>1704.92</v>
      </c>
      <c r="J28" s="127">
        <f t="shared" si="7"/>
        <v>65</v>
      </c>
      <c r="L28" s="2"/>
      <c r="M28" s="83"/>
      <c r="N28" s="15"/>
      <c r="O28" s="156"/>
      <c r="P28" s="325"/>
      <c r="Q28" s="69">
        <f t="shared" si="5"/>
        <v>0</v>
      </c>
      <c r="R28" s="70"/>
      <c r="S28" s="71"/>
      <c r="T28" s="222">
        <f t="shared" si="2"/>
        <v>3005.88</v>
      </c>
      <c r="U28" s="127">
        <f t="shared" si="3"/>
        <v>116</v>
      </c>
    </row>
    <row r="29" spans="1:21" x14ac:dyDescent="0.25">
      <c r="A29" s="2"/>
      <c r="B29" s="83"/>
      <c r="C29" s="15">
        <v>1</v>
      </c>
      <c r="D29" s="1045">
        <v>32.450000000000003</v>
      </c>
      <c r="E29" s="1039">
        <v>44686</v>
      </c>
      <c r="F29" s="1033">
        <f t="shared" si="4"/>
        <v>32.450000000000003</v>
      </c>
      <c r="G29" s="1034" t="s">
        <v>388</v>
      </c>
      <c r="H29" s="1035">
        <v>70</v>
      </c>
      <c r="I29" s="222">
        <f t="shared" si="6"/>
        <v>1672.47</v>
      </c>
      <c r="J29" s="127">
        <f t="shared" si="7"/>
        <v>64</v>
      </c>
      <c r="L29" s="2"/>
      <c r="M29" s="83"/>
      <c r="N29" s="15"/>
      <c r="O29" s="156"/>
      <c r="P29" s="325"/>
      <c r="Q29" s="69">
        <f t="shared" si="5"/>
        <v>0</v>
      </c>
      <c r="R29" s="70"/>
      <c r="S29" s="71"/>
      <c r="T29" s="222">
        <f t="shared" si="2"/>
        <v>3005.88</v>
      </c>
      <c r="U29" s="127">
        <f t="shared" si="3"/>
        <v>116</v>
      </c>
    </row>
    <row r="30" spans="1:21" x14ac:dyDescent="0.25">
      <c r="A30" s="2"/>
      <c r="B30" s="83"/>
      <c r="C30" s="15">
        <v>1</v>
      </c>
      <c r="D30" s="1045">
        <v>31.69</v>
      </c>
      <c r="E30" s="1039">
        <v>44686</v>
      </c>
      <c r="F30" s="1033">
        <f t="shared" si="4"/>
        <v>31.69</v>
      </c>
      <c r="G30" s="1034" t="s">
        <v>388</v>
      </c>
      <c r="H30" s="1035">
        <v>70</v>
      </c>
      <c r="I30" s="222">
        <f t="shared" si="6"/>
        <v>1640.78</v>
      </c>
      <c r="J30" s="127">
        <f t="shared" si="7"/>
        <v>63</v>
      </c>
      <c r="L30" s="2"/>
      <c r="M30" s="83"/>
      <c r="N30" s="15"/>
      <c r="O30" s="156"/>
      <c r="P30" s="325"/>
      <c r="Q30" s="69">
        <f t="shared" si="5"/>
        <v>0</v>
      </c>
      <c r="R30" s="70"/>
      <c r="S30" s="71"/>
      <c r="T30" s="222">
        <f t="shared" si="2"/>
        <v>3005.88</v>
      </c>
      <c r="U30" s="127">
        <f t="shared" si="3"/>
        <v>116</v>
      </c>
    </row>
    <row r="31" spans="1:21" x14ac:dyDescent="0.25">
      <c r="A31" s="2"/>
      <c r="B31" s="83"/>
      <c r="C31" s="15">
        <v>3</v>
      </c>
      <c r="D31" s="1045">
        <v>73.59</v>
      </c>
      <c r="E31" s="1039">
        <v>44686</v>
      </c>
      <c r="F31" s="1033">
        <f t="shared" si="4"/>
        <v>73.59</v>
      </c>
      <c r="G31" s="1034" t="s">
        <v>396</v>
      </c>
      <c r="H31" s="1035">
        <v>70</v>
      </c>
      <c r="I31" s="222">
        <f t="shared" si="6"/>
        <v>1567.19</v>
      </c>
      <c r="J31" s="127">
        <f t="shared" si="7"/>
        <v>60</v>
      </c>
      <c r="L31" s="2"/>
      <c r="M31" s="83"/>
      <c r="N31" s="15"/>
      <c r="O31" s="156"/>
      <c r="P31" s="325"/>
      <c r="Q31" s="69">
        <f t="shared" si="5"/>
        <v>0</v>
      </c>
      <c r="R31" s="70"/>
      <c r="S31" s="71"/>
      <c r="T31" s="222">
        <f t="shared" si="2"/>
        <v>3005.88</v>
      </c>
      <c r="U31" s="127">
        <f t="shared" si="3"/>
        <v>116</v>
      </c>
    </row>
    <row r="32" spans="1:21" x14ac:dyDescent="0.25">
      <c r="A32" s="2"/>
      <c r="B32" s="83"/>
      <c r="C32" s="15">
        <v>4</v>
      </c>
      <c r="D32" s="1045">
        <v>104.93</v>
      </c>
      <c r="E32" s="1039">
        <v>44688</v>
      </c>
      <c r="F32" s="1033">
        <f t="shared" si="4"/>
        <v>104.93</v>
      </c>
      <c r="G32" s="1034" t="s">
        <v>419</v>
      </c>
      <c r="H32" s="1035">
        <v>70</v>
      </c>
      <c r="I32" s="222">
        <f t="shared" si="6"/>
        <v>1462.26</v>
      </c>
      <c r="J32" s="127">
        <f t="shared" si="7"/>
        <v>56</v>
      </c>
      <c r="L32" s="2"/>
      <c r="M32" s="83"/>
      <c r="N32" s="15"/>
      <c r="O32" s="156"/>
      <c r="P32" s="325"/>
      <c r="Q32" s="69">
        <f t="shared" si="5"/>
        <v>0</v>
      </c>
      <c r="R32" s="70"/>
      <c r="S32" s="71"/>
      <c r="T32" s="222">
        <f t="shared" si="2"/>
        <v>3005.88</v>
      </c>
      <c r="U32" s="127">
        <f t="shared" si="3"/>
        <v>116</v>
      </c>
    </row>
    <row r="33" spans="1:21" x14ac:dyDescent="0.25">
      <c r="A33" s="2"/>
      <c r="B33" s="83"/>
      <c r="C33" s="15">
        <v>1</v>
      </c>
      <c r="D33" s="1045">
        <v>18.04</v>
      </c>
      <c r="E33" s="1039">
        <v>44690</v>
      </c>
      <c r="F33" s="1033">
        <f t="shared" si="4"/>
        <v>18.04</v>
      </c>
      <c r="G33" s="1034" t="s">
        <v>423</v>
      </c>
      <c r="H33" s="1035">
        <v>70</v>
      </c>
      <c r="I33" s="222">
        <f t="shared" si="6"/>
        <v>1444.22</v>
      </c>
      <c r="J33" s="127">
        <f t="shared" si="7"/>
        <v>55</v>
      </c>
      <c r="L33" s="2"/>
      <c r="M33" s="83"/>
      <c r="N33" s="15"/>
      <c r="O33" s="156"/>
      <c r="P33" s="325"/>
      <c r="Q33" s="69">
        <f t="shared" si="5"/>
        <v>0</v>
      </c>
      <c r="R33" s="70"/>
      <c r="S33" s="71"/>
      <c r="T33" s="222">
        <f t="shared" si="2"/>
        <v>3005.88</v>
      </c>
      <c r="U33" s="127">
        <f t="shared" si="3"/>
        <v>116</v>
      </c>
    </row>
    <row r="34" spans="1:21" x14ac:dyDescent="0.25">
      <c r="A34" s="2"/>
      <c r="B34" s="83"/>
      <c r="C34" s="15">
        <v>1</v>
      </c>
      <c r="D34" s="1045">
        <v>20.78</v>
      </c>
      <c r="E34" s="1039">
        <v>44691</v>
      </c>
      <c r="F34" s="1033">
        <f t="shared" si="4"/>
        <v>20.78</v>
      </c>
      <c r="G34" s="1034" t="s">
        <v>433</v>
      </c>
      <c r="H34" s="1035">
        <v>70</v>
      </c>
      <c r="I34" s="222">
        <f t="shared" si="6"/>
        <v>1423.44</v>
      </c>
      <c r="J34" s="127">
        <f t="shared" si="7"/>
        <v>54</v>
      </c>
      <c r="L34" s="2"/>
      <c r="M34" s="83"/>
      <c r="N34" s="15"/>
      <c r="O34" s="156"/>
      <c r="P34" s="325"/>
      <c r="Q34" s="69">
        <f t="shared" si="5"/>
        <v>0</v>
      </c>
      <c r="R34" s="70"/>
      <c r="S34" s="71"/>
      <c r="T34" s="222">
        <f t="shared" si="2"/>
        <v>3005.88</v>
      </c>
      <c r="U34" s="127">
        <f t="shared" si="3"/>
        <v>116</v>
      </c>
    </row>
    <row r="35" spans="1:21" x14ac:dyDescent="0.25">
      <c r="A35" s="2"/>
      <c r="B35" s="83"/>
      <c r="C35" s="15">
        <v>4</v>
      </c>
      <c r="D35" s="1045">
        <v>107.22</v>
      </c>
      <c r="E35" s="1039">
        <v>44691</v>
      </c>
      <c r="F35" s="1033">
        <f t="shared" si="4"/>
        <v>107.22</v>
      </c>
      <c r="G35" s="1034" t="s">
        <v>440</v>
      </c>
      <c r="H35" s="1035">
        <v>70</v>
      </c>
      <c r="I35" s="222">
        <f t="shared" si="6"/>
        <v>1316.22</v>
      </c>
      <c r="J35" s="127">
        <f t="shared" si="7"/>
        <v>50</v>
      </c>
      <c r="L35" s="2"/>
      <c r="M35" s="83"/>
      <c r="N35" s="15"/>
      <c r="O35" s="156"/>
      <c r="P35" s="325"/>
      <c r="Q35" s="69">
        <f t="shared" si="5"/>
        <v>0</v>
      </c>
      <c r="R35" s="70"/>
      <c r="S35" s="71"/>
      <c r="T35" s="222">
        <f t="shared" si="2"/>
        <v>3005.88</v>
      </c>
      <c r="U35" s="127">
        <f t="shared" si="3"/>
        <v>116</v>
      </c>
    </row>
    <row r="36" spans="1:21" x14ac:dyDescent="0.25">
      <c r="A36" s="2"/>
      <c r="B36" s="83"/>
      <c r="C36" s="15">
        <v>1</v>
      </c>
      <c r="D36" s="1045">
        <v>31.93</v>
      </c>
      <c r="E36" s="1039">
        <v>44692</v>
      </c>
      <c r="F36" s="1033">
        <f t="shared" si="4"/>
        <v>31.93</v>
      </c>
      <c r="G36" s="1034" t="s">
        <v>449</v>
      </c>
      <c r="H36" s="1035">
        <v>70</v>
      </c>
      <c r="I36" s="222">
        <f t="shared" si="6"/>
        <v>1284.29</v>
      </c>
      <c r="J36" s="127">
        <f t="shared" si="7"/>
        <v>49</v>
      </c>
      <c r="L36" s="2"/>
      <c r="M36" s="83"/>
      <c r="N36" s="15"/>
      <c r="O36" s="156"/>
      <c r="P36" s="325"/>
      <c r="Q36" s="69">
        <f t="shared" si="5"/>
        <v>0</v>
      </c>
      <c r="R36" s="70"/>
      <c r="S36" s="71"/>
      <c r="T36" s="222">
        <f t="shared" si="2"/>
        <v>3005.88</v>
      </c>
      <c r="U36" s="127">
        <f t="shared" si="3"/>
        <v>116</v>
      </c>
    </row>
    <row r="37" spans="1:21" x14ac:dyDescent="0.25">
      <c r="A37" s="2"/>
      <c r="B37" s="83"/>
      <c r="C37" s="15">
        <v>5</v>
      </c>
      <c r="D37" s="1045">
        <v>109.86</v>
      </c>
      <c r="E37" s="1039">
        <v>44693</v>
      </c>
      <c r="F37" s="1033">
        <f t="shared" si="4"/>
        <v>109.86</v>
      </c>
      <c r="G37" s="1034" t="s">
        <v>467</v>
      </c>
      <c r="H37" s="1035">
        <v>70</v>
      </c>
      <c r="I37" s="222">
        <f t="shared" si="6"/>
        <v>1174.43</v>
      </c>
      <c r="J37" s="127">
        <f t="shared" si="7"/>
        <v>44</v>
      </c>
      <c r="L37" s="2"/>
      <c r="M37" s="83"/>
      <c r="N37" s="15"/>
      <c r="O37" s="156"/>
      <c r="P37" s="325"/>
      <c r="Q37" s="69">
        <f t="shared" si="5"/>
        <v>0</v>
      </c>
      <c r="R37" s="70"/>
      <c r="S37" s="71"/>
      <c r="T37" s="222">
        <f t="shared" si="2"/>
        <v>3005.88</v>
      </c>
      <c r="U37" s="127">
        <f t="shared" si="3"/>
        <v>116</v>
      </c>
    </row>
    <row r="38" spans="1:21" x14ac:dyDescent="0.25">
      <c r="A38" s="2"/>
      <c r="B38" s="83"/>
      <c r="C38" s="15">
        <v>4</v>
      </c>
      <c r="D38" s="1045">
        <v>90.86</v>
      </c>
      <c r="E38" s="1039">
        <v>44693</v>
      </c>
      <c r="F38" s="1033">
        <f t="shared" si="4"/>
        <v>90.86</v>
      </c>
      <c r="G38" s="1034" t="s">
        <v>468</v>
      </c>
      <c r="H38" s="1035">
        <v>70</v>
      </c>
      <c r="I38" s="222">
        <f t="shared" si="6"/>
        <v>1083.5700000000002</v>
      </c>
      <c r="J38" s="127">
        <f t="shared" si="7"/>
        <v>40</v>
      </c>
      <c r="L38" s="2"/>
      <c r="M38" s="83"/>
      <c r="N38" s="15"/>
      <c r="O38" s="156"/>
      <c r="P38" s="325"/>
      <c r="Q38" s="69">
        <f t="shared" si="5"/>
        <v>0</v>
      </c>
      <c r="R38" s="70"/>
      <c r="S38" s="71"/>
      <c r="T38" s="222">
        <f t="shared" si="2"/>
        <v>3005.88</v>
      </c>
      <c r="U38" s="127">
        <f t="shared" si="3"/>
        <v>116</v>
      </c>
    </row>
    <row r="39" spans="1:21" x14ac:dyDescent="0.25">
      <c r="A39" s="2"/>
      <c r="B39" s="83"/>
      <c r="C39" s="15">
        <v>3</v>
      </c>
      <c r="D39" s="1045">
        <v>57.42</v>
      </c>
      <c r="E39" s="1039">
        <v>44695</v>
      </c>
      <c r="F39" s="1033">
        <f t="shared" si="4"/>
        <v>57.42</v>
      </c>
      <c r="G39" s="1034" t="s">
        <v>496</v>
      </c>
      <c r="H39" s="1035">
        <v>70</v>
      </c>
      <c r="I39" s="222">
        <f t="shared" si="6"/>
        <v>1026.1500000000001</v>
      </c>
      <c r="J39" s="127">
        <f t="shared" si="7"/>
        <v>37</v>
      </c>
      <c r="L39" s="2"/>
      <c r="M39" s="83"/>
      <c r="N39" s="15"/>
      <c r="O39" s="156"/>
      <c r="P39" s="325"/>
      <c r="Q39" s="69">
        <f t="shared" si="5"/>
        <v>0</v>
      </c>
      <c r="R39" s="70"/>
      <c r="S39" s="71"/>
      <c r="T39" s="222">
        <f t="shared" si="2"/>
        <v>3005.88</v>
      </c>
      <c r="U39" s="127">
        <f t="shared" si="3"/>
        <v>116</v>
      </c>
    </row>
    <row r="40" spans="1:21" x14ac:dyDescent="0.25">
      <c r="A40" s="2"/>
      <c r="B40" s="83"/>
      <c r="C40" s="15">
        <v>2</v>
      </c>
      <c r="D40" s="1045">
        <v>46.95</v>
      </c>
      <c r="E40" s="1039">
        <v>44695</v>
      </c>
      <c r="F40" s="1033">
        <f t="shared" si="4"/>
        <v>46.95</v>
      </c>
      <c r="G40" s="1034" t="s">
        <v>491</v>
      </c>
      <c r="H40" s="1035">
        <v>70</v>
      </c>
      <c r="I40" s="222">
        <f t="shared" si="6"/>
        <v>979.2</v>
      </c>
      <c r="J40" s="127">
        <f t="shared" si="7"/>
        <v>35</v>
      </c>
      <c r="L40" s="2"/>
      <c r="M40" s="83"/>
      <c r="N40" s="15"/>
      <c r="O40" s="156"/>
      <c r="P40" s="325"/>
      <c r="Q40" s="69">
        <f t="shared" si="5"/>
        <v>0</v>
      </c>
      <c r="R40" s="70"/>
      <c r="S40" s="71"/>
      <c r="T40" s="222">
        <f t="shared" si="2"/>
        <v>3005.88</v>
      </c>
      <c r="U40" s="127">
        <f t="shared" si="3"/>
        <v>116</v>
      </c>
    </row>
    <row r="41" spans="1:21" x14ac:dyDescent="0.25">
      <c r="A41" s="2"/>
      <c r="B41" s="83"/>
      <c r="C41" s="15">
        <v>2</v>
      </c>
      <c r="D41" s="1045">
        <v>44.97</v>
      </c>
      <c r="E41" s="1039">
        <v>44697</v>
      </c>
      <c r="F41" s="1033">
        <f t="shared" si="4"/>
        <v>44.97</v>
      </c>
      <c r="G41" s="1034" t="s">
        <v>509</v>
      </c>
      <c r="H41" s="1035">
        <v>70</v>
      </c>
      <c r="I41" s="222">
        <f t="shared" si="6"/>
        <v>934.23</v>
      </c>
      <c r="J41" s="127">
        <f t="shared" si="7"/>
        <v>33</v>
      </c>
      <c r="L41" s="2"/>
      <c r="M41" s="83"/>
      <c r="N41" s="15"/>
      <c r="O41" s="156"/>
      <c r="P41" s="325"/>
      <c r="Q41" s="69">
        <f t="shared" si="5"/>
        <v>0</v>
      </c>
      <c r="R41" s="70"/>
      <c r="S41" s="71"/>
      <c r="T41" s="222">
        <f t="shared" si="2"/>
        <v>3005.88</v>
      </c>
      <c r="U41" s="127">
        <f t="shared" si="3"/>
        <v>116</v>
      </c>
    </row>
    <row r="42" spans="1:21" x14ac:dyDescent="0.25">
      <c r="A42" s="2"/>
      <c r="B42" s="83"/>
      <c r="C42" s="15">
        <v>4</v>
      </c>
      <c r="D42" s="1045">
        <v>104.93</v>
      </c>
      <c r="E42" s="1039">
        <v>44697</v>
      </c>
      <c r="F42" s="1033">
        <f t="shared" si="4"/>
        <v>104.93</v>
      </c>
      <c r="G42" s="1034" t="s">
        <v>510</v>
      </c>
      <c r="H42" s="1035">
        <v>70</v>
      </c>
      <c r="I42" s="222">
        <f t="shared" si="6"/>
        <v>829.3</v>
      </c>
      <c r="J42" s="127">
        <f t="shared" si="7"/>
        <v>29</v>
      </c>
      <c r="L42" s="2"/>
      <c r="M42" s="83"/>
      <c r="N42" s="15"/>
      <c r="O42" s="156"/>
      <c r="P42" s="325"/>
      <c r="Q42" s="69">
        <f t="shared" si="5"/>
        <v>0</v>
      </c>
      <c r="R42" s="70"/>
      <c r="S42" s="71"/>
      <c r="T42" s="222">
        <f t="shared" si="2"/>
        <v>3005.88</v>
      </c>
      <c r="U42" s="127">
        <f t="shared" si="3"/>
        <v>116</v>
      </c>
    </row>
    <row r="43" spans="1:21" x14ac:dyDescent="0.25">
      <c r="A43" s="2"/>
      <c r="B43" s="83"/>
      <c r="C43" s="15">
        <v>2</v>
      </c>
      <c r="D43" s="1045">
        <v>65.84</v>
      </c>
      <c r="E43" s="1039">
        <v>44697</v>
      </c>
      <c r="F43" s="1033">
        <f t="shared" si="4"/>
        <v>65.84</v>
      </c>
      <c r="G43" s="1034" t="s">
        <v>493</v>
      </c>
      <c r="H43" s="1035">
        <v>70</v>
      </c>
      <c r="I43" s="222">
        <f t="shared" si="6"/>
        <v>763.45999999999992</v>
      </c>
      <c r="J43" s="127">
        <f t="shared" si="7"/>
        <v>27</v>
      </c>
      <c r="L43" s="2"/>
      <c r="M43" s="83"/>
      <c r="N43" s="15"/>
      <c r="O43" s="156"/>
      <c r="P43" s="325"/>
      <c r="Q43" s="69">
        <f t="shared" si="5"/>
        <v>0</v>
      </c>
      <c r="R43" s="70"/>
      <c r="S43" s="71"/>
      <c r="T43" s="222">
        <f t="shared" si="2"/>
        <v>3005.88</v>
      </c>
      <c r="U43" s="127">
        <f t="shared" si="3"/>
        <v>116</v>
      </c>
    </row>
    <row r="44" spans="1:21" x14ac:dyDescent="0.25">
      <c r="A44" s="2"/>
      <c r="B44" s="83"/>
      <c r="C44" s="15">
        <v>2</v>
      </c>
      <c r="D44" s="1045">
        <v>59.24</v>
      </c>
      <c r="E44" s="1039">
        <v>44699</v>
      </c>
      <c r="F44" s="1033">
        <f t="shared" si="4"/>
        <v>59.24</v>
      </c>
      <c r="G44" s="1034" t="s">
        <v>481</v>
      </c>
      <c r="H44" s="1035">
        <v>70</v>
      </c>
      <c r="I44" s="222">
        <f t="shared" si="6"/>
        <v>704.21999999999991</v>
      </c>
      <c r="J44" s="127">
        <f t="shared" si="7"/>
        <v>25</v>
      </c>
      <c r="L44" s="2"/>
      <c r="M44" s="83"/>
      <c r="N44" s="15"/>
      <c r="O44" s="156"/>
      <c r="P44" s="325"/>
      <c r="Q44" s="69">
        <f t="shared" si="5"/>
        <v>0</v>
      </c>
      <c r="R44" s="70"/>
      <c r="S44" s="71"/>
      <c r="T44" s="222">
        <f t="shared" si="2"/>
        <v>3005.88</v>
      </c>
      <c r="U44" s="127">
        <f t="shared" si="3"/>
        <v>116</v>
      </c>
    </row>
    <row r="45" spans="1:21" x14ac:dyDescent="0.25">
      <c r="A45" s="2"/>
      <c r="B45" s="83"/>
      <c r="C45" s="15">
        <v>4</v>
      </c>
      <c r="D45" s="1045">
        <v>115.37</v>
      </c>
      <c r="E45" s="1039">
        <v>44699</v>
      </c>
      <c r="F45" s="1033">
        <f t="shared" si="4"/>
        <v>115.37</v>
      </c>
      <c r="G45" s="1034" t="s">
        <v>533</v>
      </c>
      <c r="H45" s="1035">
        <v>70</v>
      </c>
      <c r="I45" s="222">
        <f t="shared" si="6"/>
        <v>588.84999999999991</v>
      </c>
      <c r="J45" s="127">
        <f t="shared" si="7"/>
        <v>21</v>
      </c>
      <c r="L45" s="2"/>
      <c r="M45" s="83"/>
      <c r="N45" s="15"/>
      <c r="O45" s="156"/>
      <c r="P45" s="325"/>
      <c r="Q45" s="69">
        <f t="shared" si="5"/>
        <v>0</v>
      </c>
      <c r="R45" s="70"/>
      <c r="S45" s="71"/>
      <c r="T45" s="222">
        <f t="shared" si="2"/>
        <v>3005.88</v>
      </c>
      <c r="U45" s="127">
        <f t="shared" si="3"/>
        <v>116</v>
      </c>
    </row>
    <row r="46" spans="1:21" x14ac:dyDescent="0.25">
      <c r="A46" s="2"/>
      <c r="B46" s="83"/>
      <c r="C46" s="15">
        <v>4</v>
      </c>
      <c r="D46" s="1045">
        <v>111.17</v>
      </c>
      <c r="E46" s="1039">
        <v>44701</v>
      </c>
      <c r="F46" s="1033">
        <f t="shared" si="4"/>
        <v>111.17</v>
      </c>
      <c r="G46" s="1034" t="s">
        <v>542</v>
      </c>
      <c r="H46" s="1035">
        <v>70</v>
      </c>
      <c r="I46" s="222">
        <f t="shared" si="6"/>
        <v>477.67999999999989</v>
      </c>
      <c r="J46" s="127">
        <f t="shared" si="7"/>
        <v>17</v>
      </c>
      <c r="L46" s="2"/>
      <c r="M46" s="83"/>
      <c r="N46" s="15"/>
      <c r="O46" s="156"/>
      <c r="P46" s="325"/>
      <c r="Q46" s="69">
        <f t="shared" si="5"/>
        <v>0</v>
      </c>
      <c r="R46" s="70"/>
      <c r="S46" s="71"/>
      <c r="T46" s="222">
        <f t="shared" si="2"/>
        <v>3005.88</v>
      </c>
      <c r="U46" s="127">
        <f t="shared" si="3"/>
        <v>116</v>
      </c>
    </row>
    <row r="47" spans="1:21" x14ac:dyDescent="0.25">
      <c r="A47" s="2"/>
      <c r="B47" s="83"/>
      <c r="C47" s="15"/>
      <c r="D47" s="1045"/>
      <c r="E47" s="1039"/>
      <c r="F47" s="1033">
        <f t="shared" si="4"/>
        <v>0</v>
      </c>
      <c r="G47" s="1034"/>
      <c r="H47" s="1035"/>
      <c r="I47" s="222">
        <f t="shared" si="6"/>
        <v>477.67999999999989</v>
      </c>
      <c r="J47" s="127">
        <f t="shared" si="7"/>
        <v>17</v>
      </c>
      <c r="L47" s="2"/>
      <c r="M47" s="83"/>
      <c r="N47" s="15"/>
      <c r="O47" s="156"/>
      <c r="P47" s="325"/>
      <c r="Q47" s="69">
        <f t="shared" si="5"/>
        <v>0</v>
      </c>
      <c r="R47" s="70"/>
      <c r="S47" s="71"/>
      <c r="T47" s="222">
        <f t="shared" si="2"/>
        <v>3005.88</v>
      </c>
      <c r="U47" s="127">
        <f t="shared" si="3"/>
        <v>116</v>
      </c>
    </row>
    <row r="48" spans="1:21" x14ac:dyDescent="0.25">
      <c r="A48" s="2"/>
      <c r="B48" s="83"/>
      <c r="C48" s="15"/>
      <c r="D48" s="1045"/>
      <c r="E48" s="1039"/>
      <c r="F48" s="1033">
        <f t="shared" si="4"/>
        <v>0</v>
      </c>
      <c r="G48" s="1034"/>
      <c r="H48" s="1035"/>
      <c r="I48" s="222">
        <f t="shared" si="6"/>
        <v>477.67999999999989</v>
      </c>
      <c r="J48" s="127">
        <f t="shared" si="7"/>
        <v>17</v>
      </c>
      <c r="L48" s="2"/>
      <c r="M48" s="83"/>
      <c r="N48" s="15"/>
      <c r="O48" s="156"/>
      <c r="P48" s="325"/>
      <c r="Q48" s="69">
        <f t="shared" si="5"/>
        <v>0</v>
      </c>
      <c r="R48" s="1034"/>
      <c r="S48" s="1035"/>
      <c r="T48" s="222">
        <f t="shared" si="2"/>
        <v>3005.88</v>
      </c>
      <c r="U48" s="127">
        <f t="shared" si="3"/>
        <v>116</v>
      </c>
    </row>
    <row r="49" spans="1:21" x14ac:dyDescent="0.25">
      <c r="A49" s="2"/>
      <c r="B49" s="83"/>
      <c r="C49" s="15"/>
      <c r="D49" s="1045"/>
      <c r="E49" s="1039"/>
      <c r="F49" s="1033">
        <f t="shared" si="4"/>
        <v>0</v>
      </c>
      <c r="G49" s="1034"/>
      <c r="H49" s="1035"/>
      <c r="I49" s="222">
        <f t="shared" si="6"/>
        <v>477.67999999999989</v>
      </c>
      <c r="J49" s="127">
        <f t="shared" si="7"/>
        <v>17</v>
      </c>
      <c r="L49" s="2"/>
      <c r="M49" s="83"/>
      <c r="N49" s="15"/>
      <c r="O49" s="156"/>
      <c r="P49" s="325"/>
      <c r="Q49" s="69">
        <f t="shared" si="5"/>
        <v>0</v>
      </c>
      <c r="R49" s="1034"/>
      <c r="S49" s="1035"/>
      <c r="T49" s="222">
        <f t="shared" si="2"/>
        <v>3005.88</v>
      </c>
      <c r="U49" s="127">
        <f t="shared" si="3"/>
        <v>116</v>
      </c>
    </row>
    <row r="50" spans="1:21" x14ac:dyDescent="0.25">
      <c r="A50" s="2"/>
      <c r="B50" s="83"/>
      <c r="C50" s="15"/>
      <c r="D50" s="1045"/>
      <c r="E50" s="1039"/>
      <c r="F50" s="1033">
        <f t="shared" si="4"/>
        <v>0</v>
      </c>
      <c r="G50" s="1034"/>
      <c r="H50" s="1035"/>
      <c r="I50" s="222">
        <f t="shared" si="6"/>
        <v>477.67999999999989</v>
      </c>
      <c r="J50" s="127">
        <f t="shared" si="7"/>
        <v>17</v>
      </c>
      <c r="L50" s="2"/>
      <c r="M50" s="83"/>
      <c r="N50" s="15"/>
      <c r="O50" s="156"/>
      <c r="P50" s="325"/>
      <c r="Q50" s="69">
        <f t="shared" si="5"/>
        <v>0</v>
      </c>
      <c r="R50" s="1034"/>
      <c r="S50" s="1035"/>
      <c r="T50" s="222">
        <f t="shared" si="2"/>
        <v>3005.88</v>
      </c>
      <c r="U50" s="127">
        <f t="shared" si="3"/>
        <v>116</v>
      </c>
    </row>
    <row r="51" spans="1:21" ht="12.75" customHeight="1" x14ac:dyDescent="0.25">
      <c r="A51" s="2"/>
      <c r="B51" s="83"/>
      <c r="C51" s="15"/>
      <c r="D51" s="1045">
        <v>0</v>
      </c>
      <c r="E51" s="1039"/>
      <c r="F51" s="1033">
        <f t="shared" si="4"/>
        <v>0</v>
      </c>
      <c r="G51" s="1034"/>
      <c r="H51" s="1035"/>
      <c r="I51" s="222">
        <f t="shared" si="6"/>
        <v>477.67999999999989</v>
      </c>
      <c r="J51" s="127">
        <f t="shared" si="7"/>
        <v>17</v>
      </c>
      <c r="L51" s="2"/>
      <c r="M51" s="83"/>
      <c r="N51" s="15"/>
      <c r="O51" s="156">
        <v>0</v>
      </c>
      <c r="P51" s="325"/>
      <c r="Q51" s="69">
        <f t="shared" si="5"/>
        <v>0</v>
      </c>
      <c r="R51" s="1034"/>
      <c r="S51" s="1035"/>
      <c r="T51" s="222">
        <f t="shared" si="2"/>
        <v>3005.88</v>
      </c>
      <c r="U51" s="127">
        <f t="shared" si="3"/>
        <v>116</v>
      </c>
    </row>
    <row r="52" spans="1:21" ht="15.75" thickBot="1" x14ac:dyDescent="0.3">
      <c r="A52" s="4"/>
      <c r="B52" s="83"/>
      <c r="C52" s="37"/>
      <c r="D52" s="156">
        <v>0</v>
      </c>
      <c r="E52" s="162"/>
      <c r="F52" s="155">
        <f t="shared" si="4"/>
        <v>0</v>
      </c>
      <c r="G52" s="139"/>
      <c r="H52" s="71"/>
      <c r="L52" s="4"/>
      <c r="M52" s="83"/>
      <c r="N52" s="37"/>
      <c r="O52" s="156">
        <v>0</v>
      </c>
      <c r="P52" s="162"/>
      <c r="Q52" s="155">
        <f t="shared" si="5"/>
        <v>0</v>
      </c>
      <c r="R52" s="139"/>
      <c r="S52" s="71"/>
    </row>
    <row r="53" spans="1:21" ht="16.5" thickTop="1" thickBot="1" x14ac:dyDescent="0.3">
      <c r="C53" s="90">
        <f>SUM(C10:C52)</f>
        <v>99</v>
      </c>
      <c r="D53" s="156">
        <v>0</v>
      </c>
      <c r="E53" s="38"/>
      <c r="F53" s="5">
        <f>SUM(F10:F52)</f>
        <v>2389.8399999999997</v>
      </c>
      <c r="N53" s="90">
        <f>SUM(N10:N52)</f>
        <v>0</v>
      </c>
      <c r="O53" s="156">
        <v>0</v>
      </c>
      <c r="P53" s="38"/>
      <c r="Q53" s="5">
        <f>SUM(Q10:Q52)</f>
        <v>0</v>
      </c>
    </row>
    <row r="54" spans="1:21" ht="15.75" thickBot="1" x14ac:dyDescent="0.3">
      <c r="A54" s="51"/>
      <c r="D54" s="156">
        <v>0</v>
      </c>
      <c r="E54" s="68">
        <f>F4+F5+F6-+C53+F7</f>
        <v>-18</v>
      </c>
      <c r="F54" s="5"/>
      <c r="L54" s="51"/>
      <c r="O54" s="156">
        <v>0</v>
      </c>
      <c r="P54" s="68">
        <f>Q4+Q5+Q6-+N53+Q7</f>
        <v>116</v>
      </c>
      <c r="Q54" s="5"/>
    </row>
    <row r="55" spans="1:21" ht="15.75" thickBot="1" x14ac:dyDescent="0.3">
      <c r="A55" s="119"/>
      <c r="D55" s="47"/>
      <c r="F55" s="5"/>
      <c r="L55" s="119"/>
      <c r="O55" s="47"/>
      <c r="Q55" s="5"/>
    </row>
    <row r="56" spans="1:21" ht="16.5" thickTop="1" thickBot="1" x14ac:dyDescent="0.3">
      <c r="A56" s="47"/>
      <c r="C56" s="1229" t="s">
        <v>11</v>
      </c>
      <c r="D56" s="1230"/>
      <c r="E56" s="146">
        <f>E5+E4+E6+-F53+E7</f>
        <v>-544.7099999999997</v>
      </c>
      <c r="F56" s="5"/>
      <c r="L56" s="47"/>
      <c r="N56" s="1229" t="s">
        <v>11</v>
      </c>
      <c r="O56" s="1230"/>
      <c r="P56" s="146">
        <f>P5+P4+P6+-Q53+P7</f>
        <v>3005.88</v>
      </c>
      <c r="Q56" s="5"/>
    </row>
  </sheetData>
  <mergeCells count="12">
    <mergeCell ref="U8:U9"/>
    <mergeCell ref="J8:J9"/>
    <mergeCell ref="C56:D56"/>
    <mergeCell ref="A1:G1"/>
    <mergeCell ref="A5:A7"/>
    <mergeCell ref="B5:B7"/>
    <mergeCell ref="I8:I9"/>
    <mergeCell ref="N56:O56"/>
    <mergeCell ref="L1:R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2"/>
  <sheetViews>
    <sheetView topLeftCell="L1" workbookViewId="0">
      <selection activeCell="R6" sqref="R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243" t="s">
        <v>229</v>
      </c>
      <c r="B1" s="1243"/>
      <c r="C1" s="1243"/>
      <c r="D1" s="1243"/>
      <c r="E1" s="1243"/>
      <c r="F1" s="1243"/>
      <c r="G1" s="1243"/>
      <c r="H1" s="99">
        <v>1</v>
      </c>
      <c r="L1" s="1249" t="s">
        <v>240</v>
      </c>
      <c r="M1" s="1249"/>
      <c r="N1" s="1249"/>
      <c r="O1" s="1249"/>
      <c r="P1" s="1249"/>
      <c r="Q1" s="1249"/>
      <c r="R1" s="1249"/>
      <c r="S1" s="99">
        <v>2</v>
      </c>
    </row>
    <row r="2" spans="1:21" ht="15.75" thickBot="1" x14ac:dyDescent="0.3">
      <c r="B2" s="240"/>
      <c r="D2" s="47"/>
      <c r="F2" s="5"/>
      <c r="M2" s="240"/>
      <c r="O2" s="47"/>
      <c r="Q2" s="5"/>
    </row>
    <row r="3" spans="1:21" ht="16.5" thickTop="1" thickBot="1" x14ac:dyDescent="0.3">
      <c r="A3" s="8" t="s">
        <v>0</v>
      </c>
      <c r="B3" s="50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3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90"/>
      <c r="D4" s="430"/>
      <c r="E4" s="338"/>
      <c r="F4" s="315"/>
      <c r="G4" s="73"/>
      <c r="N4" s="290"/>
      <c r="O4" s="430"/>
      <c r="P4" s="338"/>
      <c r="Q4" s="315"/>
      <c r="R4" s="73"/>
    </row>
    <row r="5" spans="1:21" ht="15" customHeight="1" x14ac:dyDescent="0.25">
      <c r="A5" s="1250" t="s">
        <v>97</v>
      </c>
      <c r="B5" s="1251" t="s">
        <v>114</v>
      </c>
      <c r="C5" s="290">
        <v>83</v>
      </c>
      <c r="D5" s="430">
        <v>44659</v>
      </c>
      <c r="E5" s="338">
        <v>370</v>
      </c>
      <c r="F5" s="315">
        <v>37</v>
      </c>
      <c r="G5" s="302"/>
      <c r="H5" s="58">
        <f>E4+E5+E6-G5</f>
        <v>770</v>
      </c>
      <c r="L5" s="1250" t="s">
        <v>559</v>
      </c>
      <c r="M5" s="1251" t="s">
        <v>114</v>
      </c>
      <c r="N5" s="290">
        <v>108</v>
      </c>
      <c r="O5" s="430">
        <v>44702</v>
      </c>
      <c r="P5" s="338">
        <v>51.08</v>
      </c>
      <c r="Q5" s="315">
        <v>5</v>
      </c>
      <c r="R5" s="302"/>
      <c r="S5" s="58">
        <f>P4+P5+P6-R5</f>
        <v>156.01999999999998</v>
      </c>
    </row>
    <row r="6" spans="1:21" ht="16.5" customHeight="1" x14ac:dyDescent="0.25">
      <c r="A6" s="1250"/>
      <c r="B6" s="1252"/>
      <c r="C6" s="290">
        <v>84</v>
      </c>
      <c r="D6" s="430">
        <v>44676</v>
      </c>
      <c r="E6" s="338">
        <v>400</v>
      </c>
      <c r="F6" s="315">
        <v>40</v>
      </c>
      <c r="G6" s="243"/>
      <c r="H6" s="240"/>
      <c r="I6" s="240"/>
      <c r="L6" s="1250"/>
      <c r="M6" s="1252"/>
      <c r="N6" s="290">
        <v>110</v>
      </c>
      <c r="O6" s="430">
        <v>44709</v>
      </c>
      <c r="P6" s="338">
        <v>104.94</v>
      </c>
      <c r="Q6" s="315">
        <v>10</v>
      </c>
      <c r="R6" s="243"/>
      <c r="S6" s="240"/>
      <c r="T6" s="240"/>
    </row>
    <row r="7" spans="1:21" ht="15.75" customHeight="1" thickBot="1" x14ac:dyDescent="0.35">
      <c r="A7" s="1250"/>
      <c r="B7" s="1252"/>
      <c r="C7" s="290"/>
      <c r="D7" s="430"/>
      <c r="E7" s="338"/>
      <c r="F7" s="315"/>
      <c r="G7" s="243"/>
      <c r="H7" s="240"/>
      <c r="I7" s="652"/>
      <c r="J7" s="512"/>
      <c r="L7" s="1250"/>
      <c r="M7" s="1252"/>
      <c r="N7" s="290"/>
      <c r="O7" s="430"/>
      <c r="P7" s="338"/>
      <c r="Q7" s="315"/>
      <c r="R7" s="243"/>
      <c r="S7" s="240"/>
      <c r="T7" s="652"/>
      <c r="U7" s="512"/>
    </row>
    <row r="8" spans="1:21" ht="16.5" customHeight="1" thickTop="1" thickBot="1" x14ac:dyDescent="0.3">
      <c r="A8" s="240"/>
      <c r="B8" s="602"/>
      <c r="C8" s="290"/>
      <c r="D8" s="311"/>
      <c r="E8" s="428"/>
      <c r="F8" s="429"/>
      <c r="G8" s="243"/>
      <c r="H8" s="240"/>
      <c r="I8" s="1247" t="s">
        <v>47</v>
      </c>
      <c r="J8" s="1241" t="s">
        <v>4</v>
      </c>
      <c r="L8" s="240"/>
      <c r="M8" s="602"/>
      <c r="N8" s="290"/>
      <c r="O8" s="311"/>
      <c r="P8" s="428"/>
      <c r="Q8" s="429"/>
      <c r="R8" s="243"/>
      <c r="S8" s="240"/>
      <c r="T8" s="1247" t="s">
        <v>47</v>
      </c>
      <c r="U8" s="1241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53" t="s">
        <v>15</v>
      </c>
      <c r="H9" s="654"/>
      <c r="I9" s="1248"/>
      <c r="J9" s="1242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53" t="s">
        <v>15</v>
      </c>
      <c r="S9" s="654"/>
      <c r="T9" s="1248"/>
      <c r="U9" s="1242"/>
    </row>
    <row r="10" spans="1:21" ht="15.75" thickTop="1" x14ac:dyDescent="0.25">
      <c r="A10" s="2"/>
      <c r="B10" s="83">
        <v>10</v>
      </c>
      <c r="C10" s="15">
        <v>4</v>
      </c>
      <c r="D10" s="156">
        <f>C10*B10</f>
        <v>40</v>
      </c>
      <c r="E10" s="324">
        <v>44667</v>
      </c>
      <c r="F10" s="69">
        <f t="shared" ref="F10:F38" si="0">D10</f>
        <v>40</v>
      </c>
      <c r="G10" s="265" t="s">
        <v>168</v>
      </c>
      <c r="H10" s="266">
        <v>87</v>
      </c>
      <c r="I10" s="267">
        <f>E4+E5+E6-F10+E7+E8</f>
        <v>730</v>
      </c>
      <c r="J10" s="268">
        <f>F4+F5+F6+F7-C10+F8</f>
        <v>73</v>
      </c>
      <c r="L10" s="2"/>
      <c r="M10" s="83"/>
      <c r="N10" s="15"/>
      <c r="O10" s="156">
        <f>N10*M10</f>
        <v>0</v>
      </c>
      <c r="P10" s="324"/>
      <c r="Q10" s="69">
        <f t="shared" ref="Q10:Q39" si="1">O10</f>
        <v>0</v>
      </c>
      <c r="R10" s="265"/>
      <c r="S10" s="266"/>
      <c r="T10" s="267">
        <f>P4+P5+P6-Q10+P7+P8</f>
        <v>156.01999999999998</v>
      </c>
      <c r="U10" s="268">
        <f>Q4+Q5+Q6+Q7-N10+Q8</f>
        <v>15</v>
      </c>
    </row>
    <row r="11" spans="1:21" x14ac:dyDescent="0.25">
      <c r="A11" s="2"/>
      <c r="B11" s="83">
        <v>10</v>
      </c>
      <c r="C11" s="15">
        <v>1</v>
      </c>
      <c r="D11" s="156">
        <f t="shared" ref="D11:D28" si="2">C11*B11</f>
        <v>10</v>
      </c>
      <c r="E11" s="739">
        <v>44669</v>
      </c>
      <c r="F11" s="264">
        <f t="shared" si="0"/>
        <v>10</v>
      </c>
      <c r="G11" s="265" t="s">
        <v>171</v>
      </c>
      <c r="H11" s="266">
        <v>87</v>
      </c>
      <c r="I11" s="267">
        <f>I10-F11</f>
        <v>720</v>
      </c>
      <c r="J11" s="268">
        <f>J10-C11</f>
        <v>72</v>
      </c>
      <c r="L11" s="2"/>
      <c r="M11" s="83"/>
      <c r="N11" s="15"/>
      <c r="O11" s="156">
        <f t="shared" ref="O11:O36" si="3">N11*M11</f>
        <v>0</v>
      </c>
      <c r="P11" s="739"/>
      <c r="Q11" s="264">
        <f t="shared" si="1"/>
        <v>0</v>
      </c>
      <c r="R11" s="265"/>
      <c r="S11" s="266"/>
      <c r="T11" s="267">
        <f>T10-Q11</f>
        <v>156.01999999999998</v>
      </c>
      <c r="U11" s="268">
        <f>U10-N11</f>
        <v>15</v>
      </c>
    </row>
    <row r="12" spans="1:21" x14ac:dyDescent="0.25">
      <c r="A12" s="80" t="s">
        <v>32</v>
      </c>
      <c r="B12" s="83">
        <v>10</v>
      </c>
      <c r="C12" s="15">
        <v>2</v>
      </c>
      <c r="D12" s="156">
        <f t="shared" si="2"/>
        <v>20</v>
      </c>
      <c r="E12" s="328">
        <v>44671</v>
      </c>
      <c r="F12" s="264">
        <f t="shared" si="0"/>
        <v>20</v>
      </c>
      <c r="G12" s="265" t="s">
        <v>173</v>
      </c>
      <c r="H12" s="266">
        <v>87</v>
      </c>
      <c r="I12" s="267">
        <f t="shared" ref="I12:I34" si="4">I11-F12</f>
        <v>700</v>
      </c>
      <c r="J12" s="268">
        <f t="shared" ref="J12:J34" si="5">J11-C12</f>
        <v>70</v>
      </c>
      <c r="L12" s="80" t="s">
        <v>32</v>
      </c>
      <c r="M12" s="83"/>
      <c r="N12" s="15"/>
      <c r="O12" s="156">
        <f t="shared" si="3"/>
        <v>0</v>
      </c>
      <c r="P12" s="328"/>
      <c r="Q12" s="264">
        <f t="shared" si="1"/>
        <v>0</v>
      </c>
      <c r="R12" s="265"/>
      <c r="S12" s="266"/>
      <c r="T12" s="267">
        <f t="shared" ref="T12:T37" si="6">T11-Q12</f>
        <v>156.01999999999998</v>
      </c>
      <c r="U12" s="268">
        <f t="shared" ref="U12:U37" si="7">U11-N12</f>
        <v>15</v>
      </c>
    </row>
    <row r="13" spans="1:21" x14ac:dyDescent="0.25">
      <c r="A13" s="81"/>
      <c r="B13" s="83">
        <v>10</v>
      </c>
      <c r="C13" s="15">
        <v>2</v>
      </c>
      <c r="D13" s="156">
        <f t="shared" si="2"/>
        <v>20</v>
      </c>
      <c r="E13" s="495">
        <v>44672</v>
      </c>
      <c r="F13" s="264">
        <f t="shared" si="0"/>
        <v>20</v>
      </c>
      <c r="G13" s="265" t="s">
        <v>175</v>
      </c>
      <c r="H13" s="266">
        <v>87</v>
      </c>
      <c r="I13" s="267">
        <f t="shared" si="4"/>
        <v>680</v>
      </c>
      <c r="J13" s="268">
        <f t="shared" si="5"/>
        <v>68</v>
      </c>
      <c r="L13" s="81"/>
      <c r="M13" s="83"/>
      <c r="N13" s="15"/>
      <c r="O13" s="156">
        <f t="shared" si="3"/>
        <v>0</v>
      </c>
      <c r="P13" s="495"/>
      <c r="Q13" s="264">
        <f t="shared" si="1"/>
        <v>0</v>
      </c>
      <c r="R13" s="265"/>
      <c r="S13" s="266"/>
      <c r="T13" s="267">
        <f t="shared" si="6"/>
        <v>156.01999999999998</v>
      </c>
      <c r="U13" s="268">
        <f t="shared" si="7"/>
        <v>15</v>
      </c>
    </row>
    <row r="14" spans="1:21" x14ac:dyDescent="0.25">
      <c r="A14" s="83"/>
      <c r="B14" s="83">
        <v>10</v>
      </c>
      <c r="C14" s="15">
        <v>6</v>
      </c>
      <c r="D14" s="156">
        <f t="shared" si="2"/>
        <v>60</v>
      </c>
      <c r="E14" s="495">
        <v>44673</v>
      </c>
      <c r="F14" s="264">
        <f t="shared" si="0"/>
        <v>60</v>
      </c>
      <c r="G14" s="265" t="s">
        <v>182</v>
      </c>
      <c r="H14" s="266">
        <v>87</v>
      </c>
      <c r="I14" s="267">
        <f t="shared" si="4"/>
        <v>620</v>
      </c>
      <c r="J14" s="268">
        <f t="shared" si="5"/>
        <v>62</v>
      </c>
      <c r="L14" s="83"/>
      <c r="M14" s="83"/>
      <c r="N14" s="15"/>
      <c r="O14" s="156">
        <f t="shared" si="3"/>
        <v>0</v>
      </c>
      <c r="P14" s="495"/>
      <c r="Q14" s="264">
        <f t="shared" si="1"/>
        <v>0</v>
      </c>
      <c r="R14" s="265"/>
      <c r="S14" s="266"/>
      <c r="T14" s="267">
        <f t="shared" si="6"/>
        <v>156.01999999999998</v>
      </c>
      <c r="U14" s="268">
        <f t="shared" si="7"/>
        <v>15</v>
      </c>
    </row>
    <row r="15" spans="1:21" x14ac:dyDescent="0.25">
      <c r="A15" s="82" t="s">
        <v>33</v>
      </c>
      <c r="B15" s="83">
        <v>10</v>
      </c>
      <c r="C15" s="15">
        <v>1</v>
      </c>
      <c r="D15" s="156">
        <f t="shared" si="2"/>
        <v>10</v>
      </c>
      <c r="E15" s="495">
        <v>44674</v>
      </c>
      <c r="F15" s="264">
        <f t="shared" si="0"/>
        <v>10</v>
      </c>
      <c r="G15" s="265" t="s">
        <v>184</v>
      </c>
      <c r="H15" s="266">
        <v>87</v>
      </c>
      <c r="I15" s="267">
        <f t="shared" si="4"/>
        <v>610</v>
      </c>
      <c r="J15" s="268">
        <f t="shared" si="5"/>
        <v>61</v>
      </c>
      <c r="L15" s="82" t="s">
        <v>33</v>
      </c>
      <c r="M15" s="83"/>
      <c r="N15" s="15"/>
      <c r="O15" s="156">
        <f t="shared" si="3"/>
        <v>0</v>
      </c>
      <c r="P15" s="495"/>
      <c r="Q15" s="264">
        <f t="shared" si="1"/>
        <v>0</v>
      </c>
      <c r="R15" s="265"/>
      <c r="S15" s="266"/>
      <c r="T15" s="267">
        <f t="shared" si="6"/>
        <v>156.01999999999998</v>
      </c>
      <c r="U15" s="268">
        <f t="shared" si="7"/>
        <v>15</v>
      </c>
    </row>
    <row r="16" spans="1:21" x14ac:dyDescent="0.25">
      <c r="A16" s="81"/>
      <c r="B16" s="83">
        <v>10</v>
      </c>
      <c r="C16" s="15">
        <v>1</v>
      </c>
      <c r="D16" s="156">
        <f t="shared" si="2"/>
        <v>10</v>
      </c>
      <c r="E16" s="324">
        <v>44676</v>
      </c>
      <c r="F16" s="69">
        <f t="shared" si="0"/>
        <v>10</v>
      </c>
      <c r="G16" s="265" t="s">
        <v>191</v>
      </c>
      <c r="H16" s="266">
        <v>87</v>
      </c>
      <c r="I16" s="267">
        <f t="shared" si="4"/>
        <v>600</v>
      </c>
      <c r="J16" s="268">
        <f t="shared" si="5"/>
        <v>60</v>
      </c>
      <c r="L16" s="81"/>
      <c r="M16" s="83"/>
      <c r="N16" s="15"/>
      <c r="O16" s="156">
        <f t="shared" si="3"/>
        <v>0</v>
      </c>
      <c r="P16" s="324"/>
      <c r="Q16" s="69">
        <f t="shared" si="1"/>
        <v>0</v>
      </c>
      <c r="R16" s="265"/>
      <c r="S16" s="266"/>
      <c r="T16" s="267">
        <f t="shared" si="6"/>
        <v>156.01999999999998</v>
      </c>
      <c r="U16" s="268">
        <f t="shared" si="7"/>
        <v>15</v>
      </c>
    </row>
    <row r="17" spans="1:21" x14ac:dyDescent="0.25">
      <c r="A17" s="83"/>
      <c r="B17" s="83">
        <v>10</v>
      </c>
      <c r="C17" s="15">
        <v>8</v>
      </c>
      <c r="D17" s="156">
        <f t="shared" si="2"/>
        <v>80</v>
      </c>
      <c r="E17" s="336">
        <v>44676</v>
      </c>
      <c r="F17" s="69">
        <f t="shared" si="0"/>
        <v>80</v>
      </c>
      <c r="G17" s="265" t="s">
        <v>185</v>
      </c>
      <c r="H17" s="266">
        <v>87</v>
      </c>
      <c r="I17" s="267">
        <f t="shared" si="4"/>
        <v>520</v>
      </c>
      <c r="J17" s="268">
        <f t="shared" si="5"/>
        <v>52</v>
      </c>
      <c r="L17" s="83"/>
      <c r="M17" s="83"/>
      <c r="N17" s="15"/>
      <c r="O17" s="156">
        <f t="shared" si="3"/>
        <v>0</v>
      </c>
      <c r="P17" s="336"/>
      <c r="Q17" s="69">
        <f t="shared" si="1"/>
        <v>0</v>
      </c>
      <c r="R17" s="265"/>
      <c r="S17" s="266"/>
      <c r="T17" s="267">
        <f t="shared" si="6"/>
        <v>156.01999999999998</v>
      </c>
      <c r="U17" s="268">
        <f t="shared" si="7"/>
        <v>15</v>
      </c>
    </row>
    <row r="18" spans="1:21" x14ac:dyDescent="0.25">
      <c r="A18" s="2"/>
      <c r="B18" s="83">
        <v>10</v>
      </c>
      <c r="C18" s="15">
        <v>1</v>
      </c>
      <c r="D18" s="156">
        <f t="shared" si="2"/>
        <v>10</v>
      </c>
      <c r="E18" s="336">
        <v>44678</v>
      </c>
      <c r="F18" s="69">
        <f t="shared" si="0"/>
        <v>10</v>
      </c>
      <c r="G18" s="595" t="s">
        <v>186</v>
      </c>
      <c r="H18" s="266">
        <v>87</v>
      </c>
      <c r="I18" s="267">
        <f t="shared" si="4"/>
        <v>510</v>
      </c>
      <c r="J18" s="268">
        <f t="shared" si="5"/>
        <v>51</v>
      </c>
      <c r="L18" s="2"/>
      <c r="M18" s="83"/>
      <c r="N18" s="15"/>
      <c r="O18" s="156">
        <f t="shared" si="3"/>
        <v>0</v>
      </c>
      <c r="P18" s="336"/>
      <c r="Q18" s="69">
        <f t="shared" si="1"/>
        <v>0</v>
      </c>
      <c r="R18" s="595"/>
      <c r="S18" s="266"/>
      <c r="T18" s="267">
        <f t="shared" si="6"/>
        <v>156.01999999999998</v>
      </c>
      <c r="U18" s="268">
        <f t="shared" si="7"/>
        <v>15</v>
      </c>
    </row>
    <row r="19" spans="1:21" x14ac:dyDescent="0.25">
      <c r="A19" s="2"/>
      <c r="B19" s="83">
        <v>10</v>
      </c>
      <c r="C19" s="53">
        <v>2</v>
      </c>
      <c r="D19" s="156">
        <f t="shared" si="2"/>
        <v>20</v>
      </c>
      <c r="E19" s="336">
        <v>44679</v>
      </c>
      <c r="F19" s="69">
        <f t="shared" si="0"/>
        <v>20</v>
      </c>
      <c r="G19" s="265" t="s">
        <v>203</v>
      </c>
      <c r="H19" s="266">
        <v>87</v>
      </c>
      <c r="I19" s="267">
        <f t="shared" si="4"/>
        <v>490</v>
      </c>
      <c r="J19" s="268">
        <f t="shared" si="5"/>
        <v>49</v>
      </c>
      <c r="L19" s="2"/>
      <c r="M19" s="83"/>
      <c r="N19" s="53"/>
      <c r="O19" s="156">
        <f t="shared" si="3"/>
        <v>0</v>
      </c>
      <c r="P19" s="336"/>
      <c r="Q19" s="69">
        <f t="shared" si="1"/>
        <v>0</v>
      </c>
      <c r="R19" s="265"/>
      <c r="S19" s="266"/>
      <c r="T19" s="267">
        <f t="shared" si="6"/>
        <v>156.01999999999998</v>
      </c>
      <c r="U19" s="268">
        <f t="shared" si="7"/>
        <v>15</v>
      </c>
    </row>
    <row r="20" spans="1:21" x14ac:dyDescent="0.25">
      <c r="A20" s="2"/>
      <c r="B20" s="83">
        <v>10</v>
      </c>
      <c r="C20" s="15">
        <v>1</v>
      </c>
      <c r="D20" s="156">
        <f t="shared" si="2"/>
        <v>10</v>
      </c>
      <c r="E20" s="324">
        <v>44679</v>
      </c>
      <c r="F20" s="69">
        <f t="shared" si="0"/>
        <v>10</v>
      </c>
      <c r="G20" s="265" t="s">
        <v>204</v>
      </c>
      <c r="H20" s="266">
        <v>87</v>
      </c>
      <c r="I20" s="267">
        <f t="shared" si="4"/>
        <v>480</v>
      </c>
      <c r="J20" s="268">
        <f t="shared" si="5"/>
        <v>48</v>
      </c>
      <c r="L20" s="2"/>
      <c r="M20" s="83"/>
      <c r="N20" s="15"/>
      <c r="O20" s="156">
        <f t="shared" si="3"/>
        <v>0</v>
      </c>
      <c r="P20" s="324"/>
      <c r="Q20" s="69">
        <f t="shared" si="1"/>
        <v>0</v>
      </c>
      <c r="R20" s="265"/>
      <c r="S20" s="266"/>
      <c r="T20" s="267">
        <f t="shared" si="6"/>
        <v>156.01999999999998</v>
      </c>
      <c r="U20" s="268">
        <f t="shared" si="7"/>
        <v>15</v>
      </c>
    </row>
    <row r="21" spans="1:21" x14ac:dyDescent="0.25">
      <c r="A21" s="2"/>
      <c r="B21" s="83">
        <v>10</v>
      </c>
      <c r="C21" s="15">
        <v>2</v>
      </c>
      <c r="D21" s="156">
        <f t="shared" si="2"/>
        <v>20</v>
      </c>
      <c r="E21" s="324">
        <v>44679</v>
      </c>
      <c r="F21" s="69">
        <f t="shared" si="0"/>
        <v>20</v>
      </c>
      <c r="G21" s="265" t="s">
        <v>205</v>
      </c>
      <c r="H21" s="266">
        <v>87</v>
      </c>
      <c r="I21" s="267">
        <f t="shared" si="4"/>
        <v>460</v>
      </c>
      <c r="J21" s="268">
        <f t="shared" si="5"/>
        <v>46</v>
      </c>
      <c r="L21" s="2"/>
      <c r="M21" s="83"/>
      <c r="N21" s="15"/>
      <c r="O21" s="156">
        <f t="shared" si="3"/>
        <v>0</v>
      </c>
      <c r="P21" s="324"/>
      <c r="Q21" s="69">
        <f t="shared" si="1"/>
        <v>0</v>
      </c>
      <c r="R21" s="265"/>
      <c r="S21" s="266"/>
      <c r="T21" s="267">
        <f t="shared" si="6"/>
        <v>156.01999999999998</v>
      </c>
      <c r="U21" s="268">
        <f t="shared" si="7"/>
        <v>15</v>
      </c>
    </row>
    <row r="22" spans="1:21" x14ac:dyDescent="0.25">
      <c r="A22" s="2"/>
      <c r="B22" s="83">
        <v>10</v>
      </c>
      <c r="C22" s="15">
        <v>2</v>
      </c>
      <c r="D22" s="156">
        <f t="shared" si="2"/>
        <v>20</v>
      </c>
      <c r="E22" s="325">
        <v>44681</v>
      </c>
      <c r="F22" s="69">
        <f t="shared" si="0"/>
        <v>20</v>
      </c>
      <c r="G22" s="70" t="s">
        <v>209</v>
      </c>
      <c r="H22" s="71">
        <v>87</v>
      </c>
      <c r="I22" s="267">
        <f t="shared" si="4"/>
        <v>440</v>
      </c>
      <c r="J22" s="268">
        <f t="shared" si="5"/>
        <v>44</v>
      </c>
      <c r="L22" s="2"/>
      <c r="M22" s="83"/>
      <c r="N22" s="15"/>
      <c r="O22" s="156">
        <f t="shared" si="3"/>
        <v>0</v>
      </c>
      <c r="P22" s="325"/>
      <c r="Q22" s="69">
        <f t="shared" si="1"/>
        <v>0</v>
      </c>
      <c r="R22" s="70"/>
      <c r="S22" s="71"/>
      <c r="T22" s="267">
        <f t="shared" si="6"/>
        <v>156.01999999999998</v>
      </c>
      <c r="U22" s="268">
        <f t="shared" si="7"/>
        <v>15</v>
      </c>
    </row>
    <row r="23" spans="1:21" x14ac:dyDescent="0.25">
      <c r="A23" s="2"/>
      <c r="B23" s="83">
        <v>10</v>
      </c>
      <c r="C23" s="15">
        <v>10</v>
      </c>
      <c r="D23" s="156">
        <f t="shared" si="2"/>
        <v>100</v>
      </c>
      <c r="E23" s="325">
        <v>44681</v>
      </c>
      <c r="F23" s="69">
        <f t="shared" si="0"/>
        <v>100</v>
      </c>
      <c r="G23" s="70" t="s">
        <v>210</v>
      </c>
      <c r="H23" s="71">
        <v>87</v>
      </c>
      <c r="I23" s="267">
        <f t="shared" si="4"/>
        <v>340</v>
      </c>
      <c r="J23" s="268">
        <f t="shared" si="5"/>
        <v>34</v>
      </c>
      <c r="L23" s="2"/>
      <c r="M23" s="83"/>
      <c r="N23" s="15"/>
      <c r="O23" s="156">
        <f t="shared" si="3"/>
        <v>0</v>
      </c>
      <c r="P23" s="325"/>
      <c r="Q23" s="69">
        <f t="shared" si="1"/>
        <v>0</v>
      </c>
      <c r="R23" s="70"/>
      <c r="S23" s="71"/>
      <c r="T23" s="267">
        <f t="shared" si="6"/>
        <v>156.01999999999998</v>
      </c>
      <c r="U23" s="268">
        <f t="shared" si="7"/>
        <v>15</v>
      </c>
    </row>
    <row r="24" spans="1:21" x14ac:dyDescent="0.25">
      <c r="A24" s="2"/>
      <c r="B24" s="83">
        <v>10</v>
      </c>
      <c r="C24" s="15">
        <v>2</v>
      </c>
      <c r="D24" s="1045">
        <f t="shared" si="2"/>
        <v>20</v>
      </c>
      <c r="E24" s="1039">
        <v>44683</v>
      </c>
      <c r="F24" s="1033">
        <f t="shared" si="0"/>
        <v>20</v>
      </c>
      <c r="G24" s="1034" t="s">
        <v>358</v>
      </c>
      <c r="H24" s="1035">
        <v>87</v>
      </c>
      <c r="I24" s="267">
        <f t="shared" si="4"/>
        <v>320</v>
      </c>
      <c r="J24" s="127">
        <f t="shared" si="5"/>
        <v>32</v>
      </c>
      <c r="L24" s="2"/>
      <c r="M24" s="83"/>
      <c r="N24" s="15"/>
      <c r="O24" s="156">
        <f t="shared" si="3"/>
        <v>0</v>
      </c>
      <c r="P24" s="1039"/>
      <c r="Q24" s="69">
        <f t="shared" si="1"/>
        <v>0</v>
      </c>
      <c r="R24" s="70"/>
      <c r="S24" s="71"/>
      <c r="T24" s="267">
        <f t="shared" si="6"/>
        <v>156.01999999999998</v>
      </c>
      <c r="U24" s="127">
        <f t="shared" si="7"/>
        <v>15</v>
      </c>
    </row>
    <row r="25" spans="1:21" x14ac:dyDescent="0.25">
      <c r="A25" s="2"/>
      <c r="B25" s="83">
        <v>10</v>
      </c>
      <c r="C25" s="15">
        <v>1</v>
      </c>
      <c r="D25" s="1045">
        <f t="shared" si="2"/>
        <v>10</v>
      </c>
      <c r="E25" s="1039">
        <v>44684</v>
      </c>
      <c r="F25" s="1033">
        <f t="shared" si="0"/>
        <v>10</v>
      </c>
      <c r="G25" s="1034" t="s">
        <v>360</v>
      </c>
      <c r="H25" s="1035">
        <v>87</v>
      </c>
      <c r="I25" s="267">
        <f t="shared" si="4"/>
        <v>310</v>
      </c>
      <c r="J25" s="127">
        <f t="shared" si="5"/>
        <v>31</v>
      </c>
      <c r="L25" s="2"/>
      <c r="M25" s="83"/>
      <c r="N25" s="15"/>
      <c r="O25" s="156">
        <f t="shared" si="3"/>
        <v>0</v>
      </c>
      <c r="P25" s="1039"/>
      <c r="Q25" s="69">
        <f t="shared" si="1"/>
        <v>0</v>
      </c>
      <c r="R25" s="70"/>
      <c r="S25" s="71"/>
      <c r="T25" s="267">
        <f t="shared" si="6"/>
        <v>156.01999999999998</v>
      </c>
      <c r="U25" s="127">
        <f t="shared" si="7"/>
        <v>15</v>
      </c>
    </row>
    <row r="26" spans="1:21" x14ac:dyDescent="0.25">
      <c r="A26" s="2"/>
      <c r="B26" s="83">
        <v>10</v>
      </c>
      <c r="C26" s="15">
        <v>1</v>
      </c>
      <c r="D26" s="1045">
        <f t="shared" si="2"/>
        <v>10</v>
      </c>
      <c r="E26" s="1039">
        <v>44684</v>
      </c>
      <c r="F26" s="1033">
        <f t="shared" si="0"/>
        <v>10</v>
      </c>
      <c r="G26" s="1034" t="s">
        <v>361</v>
      </c>
      <c r="H26" s="1035">
        <v>87</v>
      </c>
      <c r="I26" s="222">
        <f t="shared" si="4"/>
        <v>300</v>
      </c>
      <c r="J26" s="127">
        <f t="shared" si="5"/>
        <v>30</v>
      </c>
      <c r="L26" s="2"/>
      <c r="M26" s="83"/>
      <c r="N26" s="15"/>
      <c r="O26" s="156">
        <f t="shared" si="3"/>
        <v>0</v>
      </c>
      <c r="P26" s="1039"/>
      <c r="Q26" s="69">
        <f t="shared" si="1"/>
        <v>0</v>
      </c>
      <c r="R26" s="70"/>
      <c r="S26" s="71"/>
      <c r="T26" s="222">
        <f t="shared" si="6"/>
        <v>156.01999999999998</v>
      </c>
      <c r="U26" s="127">
        <f t="shared" si="7"/>
        <v>15</v>
      </c>
    </row>
    <row r="27" spans="1:21" x14ac:dyDescent="0.25">
      <c r="A27" s="2"/>
      <c r="B27" s="83">
        <v>10</v>
      </c>
      <c r="C27" s="15">
        <v>2</v>
      </c>
      <c r="D27" s="1045">
        <f t="shared" si="2"/>
        <v>20</v>
      </c>
      <c r="E27" s="1039">
        <v>44685</v>
      </c>
      <c r="F27" s="1033">
        <f t="shared" si="0"/>
        <v>20</v>
      </c>
      <c r="G27" s="1034" t="s">
        <v>378</v>
      </c>
      <c r="H27" s="1035">
        <v>87</v>
      </c>
      <c r="I27" s="222">
        <f t="shared" si="4"/>
        <v>280</v>
      </c>
      <c r="J27" s="127">
        <f t="shared" si="5"/>
        <v>28</v>
      </c>
      <c r="L27" s="2"/>
      <c r="M27" s="83"/>
      <c r="N27" s="15"/>
      <c r="O27" s="156">
        <f t="shared" si="3"/>
        <v>0</v>
      </c>
      <c r="P27" s="1039"/>
      <c r="Q27" s="69">
        <f t="shared" si="1"/>
        <v>0</v>
      </c>
      <c r="R27" s="70"/>
      <c r="S27" s="71"/>
      <c r="T27" s="222">
        <f t="shared" si="6"/>
        <v>156.01999999999998</v>
      </c>
      <c r="U27" s="127">
        <f t="shared" si="7"/>
        <v>15</v>
      </c>
    </row>
    <row r="28" spans="1:21" x14ac:dyDescent="0.25">
      <c r="A28" s="2"/>
      <c r="B28" s="83">
        <v>10</v>
      </c>
      <c r="C28" s="15">
        <v>1</v>
      </c>
      <c r="D28" s="1045">
        <f t="shared" si="2"/>
        <v>10</v>
      </c>
      <c r="E28" s="1039">
        <v>44685</v>
      </c>
      <c r="F28" s="1033">
        <f t="shared" si="0"/>
        <v>10</v>
      </c>
      <c r="G28" s="1034" t="s">
        <v>379</v>
      </c>
      <c r="H28" s="1035">
        <v>87</v>
      </c>
      <c r="I28" s="222">
        <f t="shared" si="4"/>
        <v>270</v>
      </c>
      <c r="J28" s="127">
        <f t="shared" si="5"/>
        <v>27</v>
      </c>
      <c r="L28" s="2"/>
      <c r="M28" s="83"/>
      <c r="N28" s="15"/>
      <c r="O28" s="156">
        <f t="shared" si="3"/>
        <v>0</v>
      </c>
      <c r="P28" s="1039"/>
      <c r="Q28" s="69">
        <f t="shared" si="1"/>
        <v>0</v>
      </c>
      <c r="R28" s="70"/>
      <c r="S28" s="71"/>
      <c r="T28" s="222">
        <f t="shared" si="6"/>
        <v>156.01999999999998</v>
      </c>
      <c r="U28" s="127">
        <f t="shared" si="7"/>
        <v>15</v>
      </c>
    </row>
    <row r="29" spans="1:21" x14ac:dyDescent="0.25">
      <c r="A29" s="2"/>
      <c r="B29" s="83">
        <v>10</v>
      </c>
      <c r="C29" s="15">
        <v>1</v>
      </c>
      <c r="D29" s="1045">
        <v>10</v>
      </c>
      <c r="E29" s="1039">
        <v>44686</v>
      </c>
      <c r="F29" s="1033">
        <f t="shared" si="0"/>
        <v>10</v>
      </c>
      <c r="G29" s="1034" t="s">
        <v>387</v>
      </c>
      <c r="H29" s="1035">
        <v>87</v>
      </c>
      <c r="I29" s="222">
        <f t="shared" si="4"/>
        <v>260</v>
      </c>
      <c r="J29" s="127">
        <f t="shared" si="5"/>
        <v>26</v>
      </c>
      <c r="L29" s="2"/>
      <c r="M29" s="83"/>
      <c r="N29" s="15"/>
      <c r="O29" s="156">
        <f t="shared" si="3"/>
        <v>0</v>
      </c>
      <c r="P29" s="1039"/>
      <c r="Q29" s="69">
        <f t="shared" si="1"/>
        <v>0</v>
      </c>
      <c r="R29" s="70"/>
      <c r="S29" s="71"/>
      <c r="T29" s="222">
        <f t="shared" si="6"/>
        <v>156.01999999999998</v>
      </c>
      <c r="U29" s="127">
        <f t="shared" si="7"/>
        <v>15</v>
      </c>
    </row>
    <row r="30" spans="1:21" x14ac:dyDescent="0.25">
      <c r="A30" s="2"/>
      <c r="B30" s="83">
        <v>10</v>
      </c>
      <c r="C30" s="15">
        <v>10</v>
      </c>
      <c r="D30" s="1045">
        <v>100</v>
      </c>
      <c r="E30" s="1039">
        <v>44687</v>
      </c>
      <c r="F30" s="1033">
        <f t="shared" si="0"/>
        <v>100</v>
      </c>
      <c r="G30" s="1034" t="s">
        <v>401</v>
      </c>
      <c r="H30" s="1035">
        <v>87</v>
      </c>
      <c r="I30" s="222">
        <f t="shared" si="4"/>
        <v>160</v>
      </c>
      <c r="J30" s="127">
        <f t="shared" si="5"/>
        <v>16</v>
      </c>
      <c r="L30" s="2"/>
      <c r="M30" s="83"/>
      <c r="N30" s="15"/>
      <c r="O30" s="156">
        <f t="shared" si="3"/>
        <v>0</v>
      </c>
      <c r="P30" s="1039"/>
      <c r="Q30" s="69">
        <f t="shared" si="1"/>
        <v>0</v>
      </c>
      <c r="R30" s="70"/>
      <c r="S30" s="71"/>
      <c r="T30" s="222">
        <f t="shared" si="6"/>
        <v>156.01999999999998</v>
      </c>
      <c r="U30" s="127">
        <f t="shared" si="7"/>
        <v>15</v>
      </c>
    </row>
    <row r="31" spans="1:21" x14ac:dyDescent="0.25">
      <c r="A31" s="2"/>
      <c r="B31" s="83">
        <v>10</v>
      </c>
      <c r="C31" s="15">
        <v>1</v>
      </c>
      <c r="D31" s="1045">
        <v>10</v>
      </c>
      <c r="E31" s="1039">
        <v>44688</v>
      </c>
      <c r="F31" s="1033">
        <f t="shared" si="0"/>
        <v>10</v>
      </c>
      <c r="G31" s="1034" t="s">
        <v>412</v>
      </c>
      <c r="H31" s="1035">
        <v>87</v>
      </c>
      <c r="I31" s="222">
        <f t="shared" si="4"/>
        <v>150</v>
      </c>
      <c r="J31" s="127">
        <f t="shared" si="5"/>
        <v>15</v>
      </c>
      <c r="L31" s="2"/>
      <c r="M31" s="83"/>
      <c r="N31" s="15"/>
      <c r="O31" s="156">
        <f t="shared" si="3"/>
        <v>0</v>
      </c>
      <c r="P31" s="1039"/>
      <c r="Q31" s="69">
        <f t="shared" si="1"/>
        <v>0</v>
      </c>
      <c r="R31" s="70"/>
      <c r="S31" s="71"/>
      <c r="T31" s="222">
        <f t="shared" si="6"/>
        <v>156.01999999999998</v>
      </c>
      <c r="U31" s="127">
        <f t="shared" si="7"/>
        <v>15</v>
      </c>
    </row>
    <row r="32" spans="1:21" x14ac:dyDescent="0.25">
      <c r="A32" s="2"/>
      <c r="B32" s="83">
        <v>10</v>
      </c>
      <c r="C32" s="15">
        <v>1</v>
      </c>
      <c r="D32" s="1045">
        <v>10</v>
      </c>
      <c r="E32" s="1039">
        <v>44688</v>
      </c>
      <c r="F32" s="1033">
        <f t="shared" si="0"/>
        <v>10</v>
      </c>
      <c r="G32" s="1034" t="s">
        <v>414</v>
      </c>
      <c r="H32" s="1035">
        <v>87</v>
      </c>
      <c r="I32" s="222">
        <f t="shared" si="4"/>
        <v>140</v>
      </c>
      <c r="J32" s="127">
        <f t="shared" si="5"/>
        <v>14</v>
      </c>
      <c r="L32" s="2"/>
      <c r="M32" s="83"/>
      <c r="N32" s="15"/>
      <c r="O32" s="156">
        <f t="shared" si="3"/>
        <v>0</v>
      </c>
      <c r="P32" s="1039"/>
      <c r="Q32" s="69">
        <f t="shared" si="1"/>
        <v>0</v>
      </c>
      <c r="R32" s="265"/>
      <c r="S32" s="266"/>
      <c r="T32" s="267">
        <f t="shared" si="6"/>
        <v>156.01999999999998</v>
      </c>
      <c r="U32" s="268">
        <f t="shared" si="7"/>
        <v>15</v>
      </c>
    </row>
    <row r="33" spans="1:21" x14ac:dyDescent="0.25">
      <c r="A33" s="2"/>
      <c r="B33" s="83">
        <v>10</v>
      </c>
      <c r="C33" s="15">
        <v>1</v>
      </c>
      <c r="D33" s="1045">
        <v>10</v>
      </c>
      <c r="E33" s="1039">
        <v>44692</v>
      </c>
      <c r="F33" s="1033">
        <f t="shared" si="0"/>
        <v>10</v>
      </c>
      <c r="G33" s="1034" t="s">
        <v>446</v>
      </c>
      <c r="H33" s="1035">
        <v>87</v>
      </c>
      <c r="I33" s="222">
        <f t="shared" si="4"/>
        <v>130</v>
      </c>
      <c r="J33" s="127">
        <f t="shared" si="5"/>
        <v>13</v>
      </c>
      <c r="L33" s="2"/>
      <c r="M33" s="83"/>
      <c r="N33" s="15"/>
      <c r="O33" s="156">
        <f t="shared" si="3"/>
        <v>0</v>
      </c>
      <c r="P33" s="1039"/>
      <c r="Q33" s="69">
        <f t="shared" si="1"/>
        <v>0</v>
      </c>
      <c r="R33" s="265"/>
      <c r="S33" s="266"/>
      <c r="T33" s="267">
        <f t="shared" si="6"/>
        <v>156.01999999999998</v>
      </c>
      <c r="U33" s="268">
        <f t="shared" si="7"/>
        <v>15</v>
      </c>
    </row>
    <row r="34" spans="1:21" x14ac:dyDescent="0.25">
      <c r="A34" s="2"/>
      <c r="B34" s="83">
        <v>10</v>
      </c>
      <c r="C34" s="15">
        <v>1</v>
      </c>
      <c r="D34" s="1045">
        <v>10</v>
      </c>
      <c r="E34" s="1039">
        <v>44692</v>
      </c>
      <c r="F34" s="1033">
        <f t="shared" si="0"/>
        <v>10</v>
      </c>
      <c r="G34" s="1034" t="s">
        <v>451</v>
      </c>
      <c r="H34" s="1035">
        <v>87</v>
      </c>
      <c r="I34" s="222">
        <f t="shared" si="4"/>
        <v>120</v>
      </c>
      <c r="J34" s="127">
        <f t="shared" si="5"/>
        <v>12</v>
      </c>
      <c r="L34" s="2"/>
      <c r="M34" s="83"/>
      <c r="N34" s="15"/>
      <c r="O34" s="156">
        <f t="shared" si="3"/>
        <v>0</v>
      </c>
      <c r="P34" s="1039"/>
      <c r="Q34" s="69">
        <f t="shared" si="1"/>
        <v>0</v>
      </c>
      <c r="R34" s="265"/>
      <c r="S34" s="266"/>
      <c r="T34" s="267">
        <f t="shared" si="6"/>
        <v>156.01999999999998</v>
      </c>
      <c r="U34" s="268">
        <f t="shared" si="7"/>
        <v>15</v>
      </c>
    </row>
    <row r="35" spans="1:21" x14ac:dyDescent="0.25">
      <c r="A35" s="2"/>
      <c r="B35" s="83">
        <v>10</v>
      </c>
      <c r="C35" s="15">
        <v>2</v>
      </c>
      <c r="D35" s="1045">
        <v>20</v>
      </c>
      <c r="E35" s="1039">
        <v>44693</v>
      </c>
      <c r="F35" s="1033">
        <f t="shared" si="0"/>
        <v>20</v>
      </c>
      <c r="G35" s="1034" t="s">
        <v>466</v>
      </c>
      <c r="H35" s="1035">
        <v>87</v>
      </c>
      <c r="I35" s="222">
        <f t="shared" ref="I35:I37" si="8">I34-F35</f>
        <v>100</v>
      </c>
      <c r="J35" s="127">
        <f t="shared" ref="J35:J37" si="9">J34-C35</f>
        <v>10</v>
      </c>
      <c r="L35" s="2"/>
      <c r="M35" s="83"/>
      <c r="N35" s="15"/>
      <c r="O35" s="156">
        <f t="shared" si="3"/>
        <v>0</v>
      </c>
      <c r="P35" s="1039"/>
      <c r="Q35" s="69">
        <f t="shared" si="1"/>
        <v>0</v>
      </c>
      <c r="R35" s="265"/>
      <c r="S35" s="266"/>
      <c r="T35" s="267">
        <f t="shared" si="6"/>
        <v>156.01999999999998</v>
      </c>
      <c r="U35" s="268">
        <f t="shared" si="7"/>
        <v>15</v>
      </c>
    </row>
    <row r="36" spans="1:21" x14ac:dyDescent="0.25">
      <c r="A36" s="2"/>
      <c r="B36" s="83">
        <v>10</v>
      </c>
      <c r="C36" s="15">
        <v>10</v>
      </c>
      <c r="D36" s="1045">
        <v>100</v>
      </c>
      <c r="E36" s="1039">
        <v>44695</v>
      </c>
      <c r="F36" s="1033">
        <f t="shared" si="0"/>
        <v>100</v>
      </c>
      <c r="G36" s="1034" t="s">
        <v>457</v>
      </c>
      <c r="H36" s="1035">
        <v>87</v>
      </c>
      <c r="I36" s="222">
        <f t="shared" si="8"/>
        <v>0</v>
      </c>
      <c r="J36" s="127">
        <f t="shared" si="9"/>
        <v>0</v>
      </c>
      <c r="L36" s="2"/>
      <c r="M36" s="83"/>
      <c r="N36" s="15"/>
      <c r="O36" s="156">
        <f t="shared" si="3"/>
        <v>0</v>
      </c>
      <c r="P36" s="1039"/>
      <c r="Q36" s="69">
        <f t="shared" si="1"/>
        <v>0</v>
      </c>
      <c r="R36" s="265"/>
      <c r="S36" s="266"/>
      <c r="T36" s="267">
        <f t="shared" si="6"/>
        <v>156.01999999999998</v>
      </c>
      <c r="U36" s="268">
        <f t="shared" si="7"/>
        <v>15</v>
      </c>
    </row>
    <row r="37" spans="1:21" ht="14.25" customHeight="1" x14ac:dyDescent="0.25">
      <c r="A37" s="2"/>
      <c r="B37" s="83">
        <v>10</v>
      </c>
      <c r="C37" s="15"/>
      <c r="D37" s="1045"/>
      <c r="E37" s="1039"/>
      <c r="F37" s="1061">
        <f t="shared" si="0"/>
        <v>0</v>
      </c>
      <c r="G37" s="1062"/>
      <c r="H37" s="1063"/>
      <c r="I37" s="1096">
        <f t="shared" si="8"/>
        <v>0</v>
      </c>
      <c r="J37" s="1097">
        <f t="shared" si="9"/>
        <v>0</v>
      </c>
      <c r="L37" s="2"/>
      <c r="M37" s="83"/>
      <c r="N37" s="15"/>
      <c r="O37" s="1045"/>
      <c r="P37" s="1039"/>
      <c r="Q37" s="69">
        <f t="shared" si="1"/>
        <v>0</v>
      </c>
      <c r="R37" s="265"/>
      <c r="S37" s="266"/>
      <c r="T37" s="267">
        <f t="shared" si="6"/>
        <v>156.01999999999998</v>
      </c>
      <c r="U37" s="268">
        <f t="shared" si="7"/>
        <v>15</v>
      </c>
    </row>
    <row r="38" spans="1:21" ht="15.75" thickBot="1" x14ac:dyDescent="0.3">
      <c r="A38" s="4"/>
      <c r="B38" s="83">
        <v>10</v>
      </c>
      <c r="C38" s="37"/>
      <c r="D38" s="198">
        <v>0</v>
      </c>
      <c r="E38" s="162"/>
      <c r="F38" s="1098">
        <f t="shared" si="0"/>
        <v>0</v>
      </c>
      <c r="G38" s="1099"/>
      <c r="H38" s="1079"/>
      <c r="I38" s="1094"/>
      <c r="J38" s="1094"/>
      <c r="L38" s="4"/>
      <c r="M38" s="83"/>
      <c r="N38" s="37"/>
      <c r="O38" s="198">
        <v>0</v>
      </c>
      <c r="P38" s="162"/>
      <c r="Q38" s="69">
        <f t="shared" si="1"/>
        <v>0</v>
      </c>
      <c r="R38" s="139"/>
      <c r="S38" s="71"/>
    </row>
    <row r="39" spans="1:21" ht="16.5" thickTop="1" thickBot="1" x14ac:dyDescent="0.3">
      <c r="C39" s="90">
        <f>SUM(C10:C38)</f>
        <v>77</v>
      </c>
      <c r="D39" s="156">
        <v>0</v>
      </c>
      <c r="E39" s="38"/>
      <c r="F39" s="5">
        <f>SUM(F10:F38)</f>
        <v>770</v>
      </c>
      <c r="N39" s="90">
        <f>SUM(N10:N38)</f>
        <v>0</v>
      </c>
      <c r="O39" s="156">
        <v>0</v>
      </c>
      <c r="P39" s="38"/>
      <c r="Q39" s="69">
        <f t="shared" si="1"/>
        <v>0</v>
      </c>
    </row>
    <row r="40" spans="1:21" ht="15.75" thickBot="1" x14ac:dyDescent="0.3">
      <c r="A40" s="51"/>
      <c r="D40" s="156">
        <v>0</v>
      </c>
      <c r="E40" s="68">
        <f>F4+F5+F6-+C39</f>
        <v>0</v>
      </c>
      <c r="F40" s="5"/>
      <c r="L40" s="51"/>
      <c r="O40" s="156">
        <v>0</v>
      </c>
      <c r="P40" s="68">
        <f>Q4+Q5+Q6-+N39</f>
        <v>15</v>
      </c>
      <c r="Q40" s="5"/>
    </row>
    <row r="41" spans="1:21" ht="15.75" thickBot="1" x14ac:dyDescent="0.3">
      <c r="A41" s="119"/>
      <c r="D41" s="47"/>
      <c r="F41" s="5"/>
      <c r="L41" s="119"/>
      <c r="O41" s="47"/>
      <c r="Q41" s="5"/>
    </row>
    <row r="42" spans="1:21" ht="16.5" thickTop="1" thickBot="1" x14ac:dyDescent="0.3">
      <c r="A42" s="47"/>
      <c r="C42" s="1229" t="s">
        <v>11</v>
      </c>
      <c r="D42" s="1230"/>
      <c r="E42" s="146">
        <f>E5+E4+E6+-F39</f>
        <v>0</v>
      </c>
      <c r="F42" s="5"/>
      <c r="L42" s="47"/>
      <c r="N42" s="1229" t="s">
        <v>11</v>
      </c>
      <c r="O42" s="1230"/>
      <c r="P42" s="146">
        <f>P5+P4+P6+-Q39</f>
        <v>156.01999999999998</v>
      </c>
      <c r="Q42" s="5"/>
    </row>
  </sheetData>
  <mergeCells count="12">
    <mergeCell ref="U8:U9"/>
    <mergeCell ref="J8:J9"/>
    <mergeCell ref="C42:D42"/>
    <mergeCell ref="A1:G1"/>
    <mergeCell ref="A5:A7"/>
    <mergeCell ref="B5:B7"/>
    <mergeCell ref="I8:I9"/>
    <mergeCell ref="N42:O42"/>
    <mergeCell ref="L1:R1"/>
    <mergeCell ref="L5:L7"/>
    <mergeCell ref="M5:M7"/>
    <mergeCell ref="T8:T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40" activePane="bottomLeft" state="frozen"/>
      <selection pane="bottomLeft" activeCell="C44" sqref="C4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02"/>
      <c r="B1" s="1202"/>
      <c r="C1" s="1202"/>
      <c r="D1" s="1202"/>
      <c r="E1" s="1202"/>
      <c r="F1" s="1202"/>
      <c r="G1" s="1202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5"/>
      <c r="C4" s="247"/>
      <c r="D4" s="311"/>
      <c r="E4" s="774"/>
      <c r="F4" s="313"/>
    </row>
    <row r="5" spans="1:10" ht="15" customHeight="1" x14ac:dyDescent="0.25">
      <c r="A5" s="1255"/>
      <c r="B5" s="1257" t="s">
        <v>83</v>
      </c>
      <c r="C5" s="247"/>
      <c r="D5" s="311"/>
      <c r="E5" s="775"/>
      <c r="F5" s="315"/>
      <c r="G5" s="302">
        <f>F98</f>
        <v>0</v>
      </c>
      <c r="H5" s="58">
        <f>E4+E5+E7-G5</f>
        <v>0</v>
      </c>
    </row>
    <row r="6" spans="1:10" ht="15" customHeight="1" thickBot="1" x14ac:dyDescent="0.3">
      <c r="A6" s="1255"/>
      <c r="B6" s="1258"/>
      <c r="C6" s="247"/>
      <c r="D6" s="311"/>
      <c r="E6" s="775"/>
      <c r="F6" s="315"/>
      <c r="G6" s="302"/>
      <c r="H6" s="58"/>
    </row>
    <row r="7" spans="1:10" ht="16.5" customHeight="1" thickTop="1" thickBot="1" x14ac:dyDescent="0.3">
      <c r="A7" s="1256"/>
      <c r="B7" s="1259"/>
      <c r="C7" s="247"/>
      <c r="D7" s="311"/>
      <c r="E7" s="774"/>
      <c r="F7" s="313"/>
      <c r="G7" s="240"/>
      <c r="I7" s="1260" t="s">
        <v>3</v>
      </c>
      <c r="J7" s="1253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261"/>
      <c r="J8" s="1254"/>
    </row>
    <row r="9" spans="1:10" ht="15.75" thickTop="1" x14ac:dyDescent="0.25">
      <c r="A9" s="80" t="s">
        <v>32</v>
      </c>
      <c r="B9" s="83"/>
      <c r="C9" s="15"/>
      <c r="D9" s="186"/>
      <c r="E9" s="325"/>
      <c r="F9" s="69">
        <f t="shared" ref="F9:F11" si="0">D9</f>
        <v>0</v>
      </c>
      <c r="G9" s="70"/>
      <c r="H9" s="377"/>
      <c r="I9" s="267">
        <f>E5+E4-F9+E7</f>
        <v>0</v>
      </c>
      <c r="J9" s="127">
        <f>F4+F5+F7-C9</f>
        <v>0</v>
      </c>
    </row>
    <row r="10" spans="1:10" x14ac:dyDescent="0.25">
      <c r="A10" s="207"/>
      <c r="B10" s="83"/>
      <c r="C10" s="15"/>
      <c r="D10" s="186"/>
      <c r="E10" s="325"/>
      <c r="F10" s="69">
        <f t="shared" si="0"/>
        <v>0</v>
      </c>
      <c r="G10" s="70"/>
      <c r="H10" s="377"/>
      <c r="I10" s="267">
        <f>I9-F10</f>
        <v>0</v>
      </c>
      <c r="J10" s="268">
        <f>J9-C10</f>
        <v>0</v>
      </c>
    </row>
    <row r="11" spans="1:10" x14ac:dyDescent="0.25">
      <c r="A11" s="195"/>
      <c r="B11" s="83"/>
      <c r="C11" s="15"/>
      <c r="D11" s="186"/>
      <c r="E11" s="325"/>
      <c r="F11" s="69">
        <f t="shared" si="0"/>
        <v>0</v>
      </c>
      <c r="G11" s="70"/>
      <c r="H11" s="377"/>
      <c r="I11" s="267">
        <f t="shared" ref="I11:I41" si="1">I10-F11</f>
        <v>0</v>
      </c>
      <c r="J11" s="268">
        <f t="shared" ref="J11:J59" si="2">J10-C11</f>
        <v>0</v>
      </c>
    </row>
    <row r="12" spans="1:10" x14ac:dyDescent="0.25">
      <c r="A12" s="82" t="s">
        <v>33</v>
      </c>
      <c r="B12" s="83"/>
      <c r="C12" s="15"/>
      <c r="D12" s="186"/>
      <c r="E12" s="325"/>
      <c r="F12" s="69">
        <f t="shared" ref="F12:F14" si="3">D12</f>
        <v>0</v>
      </c>
      <c r="G12" s="265"/>
      <c r="H12" s="813"/>
      <c r="I12" s="267">
        <f t="shared" si="1"/>
        <v>0</v>
      </c>
      <c r="J12" s="268">
        <f t="shared" si="2"/>
        <v>0</v>
      </c>
    </row>
    <row r="13" spans="1:10" x14ac:dyDescent="0.25">
      <c r="A13" s="73"/>
      <c r="B13" s="83"/>
      <c r="C13" s="15"/>
      <c r="D13" s="186"/>
      <c r="E13" s="325"/>
      <c r="F13" s="69">
        <f t="shared" si="3"/>
        <v>0</v>
      </c>
      <c r="G13" s="265"/>
      <c r="H13" s="813"/>
      <c r="I13" s="267">
        <f t="shared" si="1"/>
        <v>0</v>
      </c>
      <c r="J13" s="268">
        <f t="shared" si="2"/>
        <v>0</v>
      </c>
    </row>
    <row r="14" spans="1:10" x14ac:dyDescent="0.25">
      <c r="A14" s="73"/>
      <c r="B14" s="83"/>
      <c r="C14" s="15"/>
      <c r="D14" s="186"/>
      <c r="E14" s="324"/>
      <c r="F14" s="69">
        <f t="shared" si="3"/>
        <v>0</v>
      </c>
      <c r="G14" s="265"/>
      <c r="H14" s="813"/>
      <c r="I14" s="267">
        <f t="shared" si="1"/>
        <v>0</v>
      </c>
      <c r="J14" s="268">
        <f t="shared" si="2"/>
        <v>0</v>
      </c>
    </row>
    <row r="15" spans="1:10" x14ac:dyDescent="0.25">
      <c r="B15" s="83"/>
      <c r="C15" s="15"/>
      <c r="D15" s="186"/>
      <c r="E15" s="324"/>
      <c r="F15" s="69">
        <f>D15</f>
        <v>0</v>
      </c>
      <c r="G15" s="815"/>
      <c r="H15" s="813"/>
      <c r="I15" s="267">
        <f t="shared" si="1"/>
        <v>0</v>
      </c>
      <c r="J15" s="268">
        <f t="shared" si="2"/>
        <v>0</v>
      </c>
    </row>
    <row r="16" spans="1:10" x14ac:dyDescent="0.25">
      <c r="B16" s="83"/>
      <c r="C16" s="263"/>
      <c r="D16" s="186"/>
      <c r="E16" s="324"/>
      <c r="F16" s="69">
        <f>D16</f>
        <v>0</v>
      </c>
      <c r="G16" s="815"/>
      <c r="H16" s="813"/>
      <c r="I16" s="267">
        <f t="shared" si="1"/>
        <v>0</v>
      </c>
      <c r="J16" s="268">
        <f t="shared" si="2"/>
        <v>0</v>
      </c>
    </row>
    <row r="17" spans="1:10" x14ac:dyDescent="0.25">
      <c r="A17" s="81"/>
      <c r="B17" s="83"/>
      <c r="C17" s="15"/>
      <c r="D17" s="186"/>
      <c r="E17" s="336"/>
      <c r="F17" s="69">
        <f>D17</f>
        <v>0</v>
      </c>
      <c r="G17" s="815"/>
      <c r="H17" s="813"/>
      <c r="I17" s="267">
        <f t="shared" si="1"/>
        <v>0</v>
      </c>
      <c r="J17" s="268">
        <f t="shared" si="2"/>
        <v>0</v>
      </c>
    </row>
    <row r="18" spans="1:10" x14ac:dyDescent="0.25">
      <c r="A18" s="83"/>
      <c r="B18" s="83"/>
      <c r="C18" s="15"/>
      <c r="D18" s="186"/>
      <c r="E18" s="336"/>
      <c r="F18" s="69">
        <f t="shared" ref="F18:F58" si="4">D18</f>
        <v>0</v>
      </c>
      <c r="G18" s="816"/>
      <c r="H18" s="813"/>
      <c r="I18" s="267">
        <f t="shared" si="1"/>
        <v>0</v>
      </c>
      <c r="J18" s="268">
        <f t="shared" si="2"/>
        <v>0</v>
      </c>
    </row>
    <row r="19" spans="1:10" x14ac:dyDescent="0.25">
      <c r="A19" s="2"/>
      <c r="B19" s="83"/>
      <c r="C19" s="15"/>
      <c r="D19" s="186"/>
      <c r="E19" s="336"/>
      <c r="F19" s="69">
        <f t="shared" si="4"/>
        <v>0</v>
      </c>
      <c r="G19" s="815"/>
      <c r="H19" s="813"/>
      <c r="I19" s="267">
        <f t="shared" si="1"/>
        <v>0</v>
      </c>
      <c r="J19" s="268">
        <f t="shared" si="2"/>
        <v>0</v>
      </c>
    </row>
    <row r="20" spans="1:10" x14ac:dyDescent="0.25">
      <c r="A20" s="2"/>
      <c r="B20" s="83"/>
      <c r="C20" s="15"/>
      <c r="D20" s="186"/>
      <c r="E20" s="336"/>
      <c r="F20" s="69">
        <f t="shared" si="4"/>
        <v>0</v>
      </c>
      <c r="G20" s="265"/>
      <c r="H20" s="813"/>
      <c r="I20" s="267">
        <f t="shared" si="1"/>
        <v>0</v>
      </c>
      <c r="J20" s="268">
        <f t="shared" si="2"/>
        <v>0</v>
      </c>
    </row>
    <row r="21" spans="1:10" x14ac:dyDescent="0.25">
      <c r="A21" s="2"/>
      <c r="B21" s="83"/>
      <c r="C21" s="15"/>
      <c r="D21" s="186"/>
      <c r="E21" s="324"/>
      <c r="F21" s="69">
        <f t="shared" si="4"/>
        <v>0</v>
      </c>
      <c r="G21" s="265"/>
      <c r="H21" s="813"/>
      <c r="I21" s="267">
        <f t="shared" si="1"/>
        <v>0</v>
      </c>
      <c r="J21" s="268">
        <f t="shared" si="2"/>
        <v>0</v>
      </c>
    </row>
    <row r="22" spans="1:10" x14ac:dyDescent="0.25">
      <c r="A22" s="2"/>
      <c r="B22" s="83"/>
      <c r="C22" s="15"/>
      <c r="D22" s="186"/>
      <c r="E22" s="324"/>
      <c r="F22" s="69">
        <f t="shared" si="4"/>
        <v>0</v>
      </c>
      <c r="G22" s="70"/>
      <c r="H22" s="377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24"/>
      <c r="F23" s="69">
        <f t="shared" si="4"/>
        <v>0</v>
      </c>
      <c r="G23" s="70"/>
      <c r="H23" s="377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24"/>
      <c r="F24" s="69">
        <f t="shared" si="4"/>
        <v>0</v>
      </c>
      <c r="G24" s="70"/>
      <c r="H24" s="377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6"/>
      <c r="F25" s="69">
        <f t="shared" si="4"/>
        <v>0</v>
      </c>
      <c r="G25" s="70"/>
      <c r="H25" s="377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6"/>
      <c r="F26" s="69">
        <f t="shared" si="4"/>
        <v>0</v>
      </c>
      <c r="G26" s="70"/>
      <c r="H26" s="377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/>
      <c r="E27" s="336"/>
      <c r="F27" s="69">
        <f t="shared" si="4"/>
        <v>0</v>
      </c>
      <c r="G27" s="70"/>
      <c r="H27" s="377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36"/>
      <c r="F28" s="69">
        <f t="shared" si="4"/>
        <v>0</v>
      </c>
      <c r="G28" s="70"/>
      <c r="H28" s="377"/>
      <c r="I28" s="222">
        <f t="shared" si="1"/>
        <v>0</v>
      </c>
      <c r="J28" s="127">
        <f t="shared" si="2"/>
        <v>0</v>
      </c>
    </row>
    <row r="29" spans="1:10" x14ac:dyDescent="0.25">
      <c r="A29" s="187"/>
      <c r="B29" s="83"/>
      <c r="C29" s="15"/>
      <c r="D29" s="186"/>
      <c r="E29" s="324"/>
      <c r="F29" s="69">
        <f t="shared" si="4"/>
        <v>0</v>
      </c>
      <c r="G29" s="265"/>
      <c r="H29" s="813"/>
      <c r="I29" s="267">
        <f t="shared" si="1"/>
        <v>0</v>
      </c>
      <c r="J29" s="268">
        <f t="shared" si="2"/>
        <v>0</v>
      </c>
    </row>
    <row r="30" spans="1:10" x14ac:dyDescent="0.25">
      <c r="A30" s="187"/>
      <c r="B30" s="83"/>
      <c r="C30" s="15"/>
      <c r="D30" s="186"/>
      <c r="E30" s="324"/>
      <c r="F30" s="69">
        <f t="shared" si="4"/>
        <v>0</v>
      </c>
      <c r="G30" s="265"/>
      <c r="H30" s="813"/>
      <c r="I30" s="267">
        <f t="shared" si="1"/>
        <v>0</v>
      </c>
      <c r="J30" s="268">
        <f t="shared" si="2"/>
        <v>0</v>
      </c>
    </row>
    <row r="31" spans="1:10" x14ac:dyDescent="0.25">
      <c r="A31" s="187"/>
      <c r="B31" s="83"/>
      <c r="C31" s="15"/>
      <c r="D31" s="186"/>
      <c r="E31" s="324"/>
      <c r="F31" s="69">
        <f t="shared" si="4"/>
        <v>0</v>
      </c>
      <c r="G31" s="265"/>
      <c r="H31" s="813"/>
      <c r="I31" s="267">
        <f t="shared" si="1"/>
        <v>0</v>
      </c>
      <c r="J31" s="268">
        <f t="shared" si="2"/>
        <v>0</v>
      </c>
    </row>
    <row r="32" spans="1:10" x14ac:dyDescent="0.25">
      <c r="A32" s="187"/>
      <c r="B32" s="83"/>
      <c r="C32" s="15"/>
      <c r="D32" s="186"/>
      <c r="E32" s="324"/>
      <c r="F32" s="69">
        <f t="shared" si="4"/>
        <v>0</v>
      </c>
      <c r="G32" s="265"/>
      <c r="H32" s="813"/>
      <c r="I32" s="267">
        <f t="shared" si="1"/>
        <v>0</v>
      </c>
      <c r="J32" s="268">
        <f t="shared" si="2"/>
        <v>0</v>
      </c>
    </row>
    <row r="33" spans="1:10" x14ac:dyDescent="0.25">
      <c r="A33" s="2"/>
      <c r="B33" s="83"/>
      <c r="C33" s="15"/>
      <c r="D33" s="186"/>
      <c r="E33" s="324"/>
      <c r="F33" s="69">
        <f t="shared" si="4"/>
        <v>0</v>
      </c>
      <c r="G33" s="265"/>
      <c r="H33" s="813"/>
      <c r="I33" s="267">
        <f t="shared" si="1"/>
        <v>0</v>
      </c>
      <c r="J33" s="268">
        <f t="shared" si="2"/>
        <v>0</v>
      </c>
    </row>
    <row r="34" spans="1:10" x14ac:dyDescent="0.25">
      <c r="A34" s="2"/>
      <c r="B34" s="83"/>
      <c r="C34" s="15"/>
      <c r="D34" s="186"/>
      <c r="E34" s="324"/>
      <c r="F34" s="69">
        <f t="shared" si="4"/>
        <v>0</v>
      </c>
      <c r="G34" s="70"/>
      <c r="H34" s="377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24"/>
      <c r="F35" s="69">
        <f t="shared" si="4"/>
        <v>0</v>
      </c>
      <c r="G35" s="70"/>
      <c r="H35" s="377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25"/>
      <c r="F36" s="69">
        <f t="shared" si="4"/>
        <v>0</v>
      </c>
      <c r="G36" s="70"/>
      <c r="H36" s="377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25"/>
      <c r="F37" s="69">
        <f t="shared" si="4"/>
        <v>0</v>
      </c>
      <c r="G37" s="70"/>
      <c r="H37" s="377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25"/>
      <c r="F38" s="69">
        <f t="shared" si="4"/>
        <v>0</v>
      </c>
      <c r="G38" s="70"/>
      <c r="H38" s="377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/>
      <c r="E39" s="325"/>
      <c r="F39" s="69">
        <f t="shared" si="4"/>
        <v>0</v>
      </c>
      <c r="G39" s="70"/>
      <c r="H39" s="377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/>
      <c r="E40" s="325"/>
      <c r="F40" s="69">
        <f t="shared" si="4"/>
        <v>0</v>
      </c>
      <c r="G40" s="70"/>
      <c r="H40" s="128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/>
      <c r="E41" s="325"/>
      <c r="F41" s="69">
        <f t="shared" si="4"/>
        <v>0</v>
      </c>
      <c r="G41" s="70"/>
      <c r="H41" s="71"/>
      <c r="I41" s="222">
        <f t="shared" si="1"/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25"/>
      <c r="F42" s="69">
        <f t="shared" si="4"/>
        <v>0</v>
      </c>
      <c r="G42" s="70"/>
      <c r="H42" s="71"/>
      <c r="I42" s="222">
        <f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25"/>
      <c r="F43" s="69">
        <f t="shared" si="4"/>
        <v>0</v>
      </c>
      <c r="G43" s="70"/>
      <c r="H43" s="71"/>
      <c r="I43" s="222">
        <f t="shared" ref="I43:I59" si="5">I42-F43</f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25"/>
      <c r="F44" s="69">
        <f t="shared" si="4"/>
        <v>0</v>
      </c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25"/>
      <c r="F45" s="69">
        <f t="shared" si="4"/>
        <v>0</v>
      </c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25"/>
      <c r="F46" s="69">
        <f t="shared" si="4"/>
        <v>0</v>
      </c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25"/>
      <c r="F47" s="69">
        <f t="shared" si="4"/>
        <v>0</v>
      </c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25"/>
      <c r="F48" s="69">
        <f t="shared" si="4"/>
        <v>0</v>
      </c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25"/>
      <c r="F49" s="69">
        <f t="shared" si="4"/>
        <v>0</v>
      </c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25"/>
      <c r="F50" s="69">
        <f t="shared" si="4"/>
        <v>0</v>
      </c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25"/>
      <c r="F51" s="69">
        <f t="shared" si="4"/>
        <v>0</v>
      </c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25"/>
      <c r="F52" s="69">
        <f t="shared" si="4"/>
        <v>0</v>
      </c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25"/>
      <c r="F53" s="69">
        <f t="shared" si="4"/>
        <v>0</v>
      </c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25"/>
      <c r="F54" s="69">
        <f t="shared" si="4"/>
        <v>0</v>
      </c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25"/>
      <c r="F55" s="69">
        <f t="shared" si="4"/>
        <v>0</v>
      </c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25"/>
      <c r="F56" s="69">
        <f t="shared" si="4"/>
        <v>0</v>
      </c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25"/>
      <c r="F57" s="69">
        <f t="shared" si="4"/>
        <v>0</v>
      </c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25"/>
      <c r="F58" s="69">
        <f t="shared" si="4"/>
        <v>0</v>
      </c>
      <c r="G58" s="70"/>
      <c r="H58" s="71"/>
      <c r="I58" s="222">
        <f t="shared" si="5"/>
        <v>0</v>
      </c>
      <c r="J58" s="127">
        <f t="shared" si="2"/>
        <v>0</v>
      </c>
    </row>
    <row r="59" spans="1:10" ht="14.25" customHeight="1" x14ac:dyDescent="0.25">
      <c r="A59" s="2"/>
      <c r="B59" s="83"/>
      <c r="C59" s="15"/>
      <c r="D59" s="186"/>
      <c r="E59" s="325"/>
      <c r="F59" s="69"/>
      <c r="G59" s="70"/>
      <c r="H59" s="71"/>
      <c r="I59" s="222">
        <f t="shared" si="5"/>
        <v>0</v>
      </c>
      <c r="J59" s="127">
        <f t="shared" si="2"/>
        <v>0</v>
      </c>
    </row>
    <row r="60" spans="1:10" ht="14.25" customHeight="1" x14ac:dyDescent="0.25">
      <c r="A60" s="2"/>
      <c r="B60" s="83"/>
      <c r="C60" s="15"/>
      <c r="D60" s="186"/>
      <c r="E60" s="325"/>
      <c r="F60" s="69"/>
      <c r="G60" s="70"/>
      <c r="H60" s="71"/>
      <c r="I60" s="222"/>
      <c r="J60" s="127"/>
    </row>
    <row r="61" spans="1:10" ht="14.25" customHeight="1" x14ac:dyDescent="0.25">
      <c r="A61" s="2"/>
      <c r="B61" s="83"/>
      <c r="C61" s="15"/>
      <c r="D61" s="186"/>
      <c r="E61" s="325"/>
      <c r="F61" s="69"/>
      <c r="G61" s="70"/>
      <c r="H61" s="71"/>
      <c r="I61" s="222"/>
      <c r="J61" s="127"/>
    </row>
    <row r="62" spans="1:10" ht="14.25" customHeight="1" x14ac:dyDescent="0.25">
      <c r="A62" s="2"/>
      <c r="B62" s="83"/>
      <c r="C62" s="15"/>
      <c r="D62" s="186"/>
      <c r="E62" s="325"/>
      <c r="F62" s="69"/>
      <c r="G62" s="70"/>
      <c r="H62" s="71"/>
      <c r="I62" s="222"/>
      <c r="J62" s="127"/>
    </row>
    <row r="63" spans="1:10" ht="14.25" customHeight="1" x14ac:dyDescent="0.25">
      <c r="A63" s="2"/>
      <c r="B63" s="83"/>
      <c r="C63" s="15"/>
      <c r="D63" s="186"/>
      <c r="E63" s="325"/>
      <c r="F63" s="69"/>
      <c r="G63" s="70"/>
      <c r="H63" s="71"/>
      <c r="I63" s="222"/>
      <c r="J63" s="127"/>
    </row>
    <row r="64" spans="1:10" ht="14.25" customHeight="1" x14ac:dyDescent="0.25">
      <c r="A64" s="2"/>
      <c r="B64" s="83"/>
      <c r="C64" s="15"/>
      <c r="D64" s="186"/>
      <c r="E64" s="325"/>
      <c r="F64" s="69"/>
      <c r="G64" s="70"/>
      <c r="H64" s="71"/>
      <c r="I64" s="222"/>
      <c r="J64" s="127"/>
    </row>
    <row r="65" spans="1:10" ht="14.25" customHeight="1" x14ac:dyDescent="0.25">
      <c r="A65" s="2"/>
      <c r="B65" s="83"/>
      <c r="C65" s="15"/>
      <c r="D65" s="186"/>
      <c r="E65" s="325"/>
      <c r="F65" s="69"/>
      <c r="G65" s="70"/>
      <c r="H65" s="71"/>
      <c r="I65" s="222"/>
      <c r="J65" s="127"/>
    </row>
    <row r="66" spans="1:10" ht="14.25" customHeight="1" x14ac:dyDescent="0.25">
      <c r="A66" s="2"/>
      <c r="B66" s="83"/>
      <c r="C66" s="15"/>
      <c r="D66" s="186"/>
      <c r="E66" s="325"/>
      <c r="F66" s="69"/>
      <c r="G66" s="70"/>
      <c r="H66" s="71"/>
      <c r="I66" s="222"/>
      <c r="J66" s="127"/>
    </row>
    <row r="67" spans="1:10" ht="14.25" customHeight="1" x14ac:dyDescent="0.25">
      <c r="A67" s="2"/>
      <c r="B67" s="83"/>
      <c r="C67" s="15"/>
      <c r="D67" s="186"/>
      <c r="E67" s="325"/>
      <c r="F67" s="69"/>
      <c r="G67" s="70"/>
      <c r="H67" s="71"/>
      <c r="I67" s="222"/>
      <c r="J67" s="127"/>
    </row>
    <row r="68" spans="1:10" ht="14.25" customHeight="1" x14ac:dyDescent="0.25">
      <c r="A68" s="2"/>
      <c r="B68" s="83"/>
      <c r="C68" s="15"/>
      <c r="D68" s="186"/>
      <c r="E68" s="325"/>
      <c r="F68" s="69"/>
      <c r="G68" s="70"/>
      <c r="H68" s="71"/>
      <c r="I68" s="222"/>
      <c r="J68" s="127"/>
    </row>
    <row r="69" spans="1:10" ht="14.25" customHeight="1" x14ac:dyDescent="0.25">
      <c r="A69" s="2"/>
      <c r="B69" s="83"/>
      <c r="C69" s="15"/>
      <c r="D69" s="186"/>
      <c r="E69" s="325"/>
      <c r="F69" s="69"/>
      <c r="G69" s="70"/>
      <c r="H69" s="71"/>
      <c r="I69" s="222"/>
      <c r="J69" s="127"/>
    </row>
    <row r="70" spans="1:10" ht="14.25" customHeight="1" x14ac:dyDescent="0.25">
      <c r="A70" s="2"/>
      <c r="B70" s="83"/>
      <c r="C70" s="15"/>
      <c r="D70" s="186"/>
      <c r="E70" s="325"/>
      <c r="F70" s="69"/>
      <c r="G70" s="70"/>
      <c r="H70" s="71"/>
      <c r="I70" s="222"/>
      <c r="J70" s="127"/>
    </row>
    <row r="71" spans="1:10" ht="14.25" customHeight="1" x14ac:dyDescent="0.25">
      <c r="A71" s="2"/>
      <c r="B71" s="83"/>
      <c r="C71" s="15"/>
      <c r="D71" s="186"/>
      <c r="E71" s="325"/>
      <c r="F71" s="69"/>
      <c r="G71" s="70"/>
      <c r="H71" s="71"/>
      <c r="I71" s="222"/>
      <c r="J71" s="127"/>
    </row>
    <row r="72" spans="1:10" ht="14.25" customHeight="1" x14ac:dyDescent="0.25">
      <c r="A72" s="2"/>
      <c r="B72" s="83"/>
      <c r="C72" s="15"/>
      <c r="D72" s="186"/>
      <c r="E72" s="325"/>
      <c r="F72" s="69"/>
      <c r="G72" s="70"/>
      <c r="H72" s="71"/>
      <c r="I72" s="222"/>
      <c r="J72" s="127"/>
    </row>
    <row r="73" spans="1:10" ht="14.25" customHeight="1" x14ac:dyDescent="0.25">
      <c r="A73" s="2"/>
      <c r="B73" s="83"/>
      <c r="C73" s="15"/>
      <c r="D73" s="186"/>
      <c r="E73" s="325"/>
      <c r="F73" s="69"/>
      <c r="G73" s="70"/>
      <c r="H73" s="71"/>
      <c r="I73" s="222"/>
      <c r="J73" s="127"/>
    </row>
    <row r="74" spans="1:10" ht="14.25" customHeight="1" x14ac:dyDescent="0.25">
      <c r="A74" s="2"/>
      <c r="B74" s="83"/>
      <c r="C74" s="15"/>
      <c r="D74" s="186"/>
      <c r="E74" s="325"/>
      <c r="F74" s="69"/>
      <c r="G74" s="70"/>
      <c r="H74" s="71"/>
      <c r="I74" s="222"/>
      <c r="J74" s="127"/>
    </row>
    <row r="75" spans="1:10" ht="14.25" customHeight="1" x14ac:dyDescent="0.25">
      <c r="A75" s="2"/>
      <c r="B75" s="83"/>
      <c r="C75" s="15"/>
      <c r="D75" s="186"/>
      <c r="E75" s="325"/>
      <c r="F75" s="69"/>
      <c r="G75" s="70"/>
      <c r="H75" s="71"/>
      <c r="I75" s="222"/>
      <c r="J75" s="127"/>
    </row>
    <row r="76" spans="1:10" ht="14.25" customHeight="1" x14ac:dyDescent="0.25">
      <c r="A76" s="2"/>
      <c r="B76" s="83"/>
      <c r="C76" s="15"/>
      <c r="D76" s="186"/>
      <c r="E76" s="325"/>
      <c r="F76" s="69"/>
      <c r="G76" s="70"/>
      <c r="H76" s="71"/>
      <c r="I76" s="222"/>
      <c r="J76" s="127"/>
    </row>
    <row r="77" spans="1:10" ht="14.25" customHeight="1" x14ac:dyDescent="0.25">
      <c r="A77" s="2"/>
      <c r="B77" s="83"/>
      <c r="C77" s="15"/>
      <c r="D77" s="186"/>
      <c r="E77" s="325"/>
      <c r="F77" s="69"/>
      <c r="G77" s="70"/>
      <c r="H77" s="71"/>
      <c r="I77" s="222"/>
      <c r="J77" s="127"/>
    </row>
    <row r="78" spans="1:10" ht="14.25" customHeight="1" x14ac:dyDescent="0.25">
      <c r="A78" s="2"/>
      <c r="B78" s="83"/>
      <c r="C78" s="15"/>
      <c r="D78" s="186"/>
      <c r="E78" s="325"/>
      <c r="F78" s="69"/>
      <c r="G78" s="70"/>
      <c r="H78" s="71"/>
      <c r="I78" s="222"/>
      <c r="J78" s="127"/>
    </row>
    <row r="79" spans="1:10" ht="14.25" customHeight="1" x14ac:dyDescent="0.25">
      <c r="A79" s="2"/>
      <c r="B79" s="83"/>
      <c r="C79" s="15"/>
      <c r="D79" s="186"/>
      <c r="E79" s="325"/>
      <c r="F79" s="69"/>
      <c r="G79" s="70"/>
      <c r="H79" s="71"/>
      <c r="I79" s="222"/>
      <c r="J79" s="127"/>
    </row>
    <row r="80" spans="1:10" ht="14.25" customHeight="1" x14ac:dyDescent="0.25">
      <c r="A80" s="2"/>
      <c r="B80" s="83"/>
      <c r="C80" s="15"/>
      <c r="D80" s="186"/>
      <c r="E80" s="325"/>
      <c r="F80" s="69"/>
      <c r="G80" s="70"/>
      <c r="H80" s="71"/>
      <c r="I80" s="222"/>
      <c r="J80" s="127"/>
    </row>
    <row r="81" spans="1:10" ht="14.25" customHeight="1" x14ac:dyDescent="0.25">
      <c r="A81" s="2"/>
      <c r="B81" s="83"/>
      <c r="C81" s="15"/>
      <c r="D81" s="186"/>
      <c r="E81" s="325"/>
      <c r="F81" s="69"/>
      <c r="G81" s="70"/>
      <c r="H81" s="71"/>
      <c r="I81" s="222"/>
      <c r="J81" s="127"/>
    </row>
    <row r="82" spans="1:10" ht="14.25" customHeight="1" x14ac:dyDescent="0.25">
      <c r="A82" s="2"/>
      <c r="B82" s="83"/>
      <c r="C82" s="15"/>
      <c r="D82" s="186"/>
      <c r="E82" s="325"/>
      <c r="F82" s="69"/>
      <c r="G82" s="70"/>
      <c r="H82" s="71"/>
      <c r="I82" s="222"/>
      <c r="J82" s="127"/>
    </row>
    <row r="83" spans="1:10" ht="14.25" customHeight="1" x14ac:dyDescent="0.25">
      <c r="A83" s="2"/>
      <c r="B83" s="83"/>
      <c r="C83" s="15"/>
      <c r="D83" s="186"/>
      <c r="E83" s="325"/>
      <c r="F83" s="69"/>
      <c r="G83" s="70"/>
      <c r="H83" s="71"/>
      <c r="I83" s="222"/>
      <c r="J83" s="127"/>
    </row>
    <row r="84" spans="1:10" ht="14.25" customHeight="1" x14ac:dyDescent="0.25">
      <c r="A84" s="2"/>
      <c r="B84" s="83"/>
      <c r="C84" s="15"/>
      <c r="D84" s="186"/>
      <c r="E84" s="325"/>
      <c r="F84" s="69"/>
      <c r="G84" s="70"/>
      <c r="H84" s="71"/>
      <c r="I84" s="222"/>
      <c r="J84" s="127"/>
    </row>
    <row r="85" spans="1:10" ht="14.25" customHeight="1" x14ac:dyDescent="0.25">
      <c r="A85" s="2"/>
      <c r="B85" s="83"/>
      <c r="C85" s="15"/>
      <c r="D85" s="186"/>
      <c r="E85" s="325"/>
      <c r="F85" s="69"/>
      <c r="G85" s="70"/>
      <c r="H85" s="71"/>
      <c r="I85" s="222"/>
      <c r="J85" s="127"/>
    </row>
    <row r="86" spans="1:10" ht="14.25" customHeight="1" x14ac:dyDescent="0.25">
      <c r="A86" s="2"/>
      <c r="B86" s="83"/>
      <c r="C86" s="15"/>
      <c r="D86" s="186"/>
      <c r="E86" s="325"/>
      <c r="F86" s="69"/>
      <c r="G86" s="70"/>
      <c r="H86" s="71"/>
      <c r="I86" s="222"/>
      <c r="J86" s="127"/>
    </row>
    <row r="87" spans="1:10" ht="14.25" customHeight="1" x14ac:dyDescent="0.25">
      <c r="A87" s="2"/>
      <c r="B87" s="83"/>
      <c r="C87" s="15"/>
      <c r="D87" s="186"/>
      <c r="E87" s="325"/>
      <c r="F87" s="69"/>
      <c r="G87" s="70"/>
      <c r="H87" s="71"/>
      <c r="I87" s="222"/>
      <c r="J87" s="127"/>
    </row>
    <row r="88" spans="1:10" ht="14.25" customHeight="1" x14ac:dyDescent="0.25">
      <c r="A88" s="2"/>
      <c r="B88" s="83"/>
      <c r="C88" s="15"/>
      <c r="D88" s="186"/>
      <c r="E88" s="325"/>
      <c r="F88" s="69"/>
      <c r="G88" s="70"/>
      <c r="H88" s="71"/>
      <c r="I88" s="222"/>
      <c r="J88" s="127"/>
    </row>
    <row r="89" spans="1:10" ht="14.25" customHeight="1" x14ac:dyDescent="0.25">
      <c r="A89" s="2"/>
      <c r="B89" s="83"/>
      <c r="C89" s="15"/>
      <c r="D89" s="186"/>
      <c r="E89" s="325"/>
      <c r="F89" s="69"/>
      <c r="G89" s="70"/>
      <c r="H89" s="71"/>
      <c r="I89" s="222"/>
      <c r="J89" s="127"/>
    </row>
    <row r="90" spans="1:10" ht="14.25" customHeight="1" x14ac:dyDescent="0.25">
      <c r="A90" s="2"/>
      <c r="B90" s="83"/>
      <c r="C90" s="15"/>
      <c r="D90" s="186"/>
      <c r="E90" s="325"/>
      <c r="F90" s="69"/>
      <c r="G90" s="70"/>
      <c r="H90" s="71"/>
      <c r="I90" s="222"/>
      <c r="J90" s="127"/>
    </row>
    <row r="91" spans="1:10" ht="14.25" customHeight="1" x14ac:dyDescent="0.25">
      <c r="A91" s="2"/>
      <c r="B91" s="83"/>
      <c r="C91" s="15"/>
      <c r="D91" s="186"/>
      <c r="E91" s="325"/>
      <c r="F91" s="69"/>
      <c r="G91" s="70"/>
      <c r="H91" s="71"/>
      <c r="I91" s="222"/>
      <c r="J91" s="127"/>
    </row>
    <row r="92" spans="1:10" ht="14.25" customHeight="1" x14ac:dyDescent="0.25">
      <c r="A92" s="2"/>
      <c r="B92" s="83"/>
      <c r="C92" s="15"/>
      <c r="D92" s="186"/>
      <c r="E92" s="325"/>
      <c r="F92" s="69"/>
      <c r="G92" s="70"/>
      <c r="H92" s="71"/>
      <c r="I92" s="222"/>
      <c r="J92" s="127"/>
    </row>
    <row r="93" spans="1:10" ht="14.25" customHeight="1" x14ac:dyDescent="0.25">
      <c r="A93" s="2"/>
      <c r="B93" s="83"/>
      <c r="C93" s="15"/>
      <c r="D93" s="186"/>
      <c r="E93" s="325"/>
      <c r="F93" s="69"/>
      <c r="G93" s="70"/>
      <c r="H93" s="71"/>
      <c r="I93" s="222"/>
      <c r="J93" s="127"/>
    </row>
    <row r="94" spans="1:10" x14ac:dyDescent="0.25">
      <c r="A94" s="2"/>
      <c r="B94" s="83"/>
      <c r="C94" s="15"/>
      <c r="D94" s="186"/>
      <c r="E94" s="325"/>
      <c r="F94" s="69"/>
      <c r="G94" s="70"/>
      <c r="H94" s="71"/>
      <c r="I94" s="222">
        <f>I59-F94</f>
        <v>0</v>
      </c>
      <c r="J94" s="127">
        <f>J59-C94</f>
        <v>0</v>
      </c>
    </row>
    <row r="95" spans="1:10" x14ac:dyDescent="0.25">
      <c r="A95" s="2"/>
      <c r="B95" s="83"/>
      <c r="C95" s="15"/>
      <c r="D95" s="186"/>
      <c r="E95" s="325"/>
      <c r="F95" s="69"/>
      <c r="G95" s="70"/>
      <c r="H95" s="71"/>
      <c r="I95" s="222">
        <f t="shared" ref="I95:I96" si="6">I94-F95</f>
        <v>0</v>
      </c>
      <c r="J95" s="127">
        <f t="shared" ref="J95" si="7">J94-C95</f>
        <v>0</v>
      </c>
    </row>
    <row r="96" spans="1:10" x14ac:dyDescent="0.25">
      <c r="A96" s="2"/>
      <c r="B96" s="83"/>
      <c r="C96" s="15"/>
      <c r="D96" s="186">
        <f t="shared" ref="D96" si="8">C96*B96</f>
        <v>0</v>
      </c>
      <c r="E96" s="325"/>
      <c r="F96" s="69">
        <f t="shared" ref="F96:F97" si="9">D96</f>
        <v>0</v>
      </c>
      <c r="G96" s="70"/>
      <c r="H96" s="71"/>
      <c r="I96" s="222">
        <f t="shared" si="6"/>
        <v>0</v>
      </c>
      <c r="J96" s="127">
        <f>J42-C96</f>
        <v>0</v>
      </c>
    </row>
    <row r="97" spans="1:10" ht="15.75" thickBot="1" x14ac:dyDescent="0.3">
      <c r="A97" s="4"/>
      <c r="B97" s="83"/>
      <c r="C97" s="37"/>
      <c r="D97" s="198">
        <f>C97*B34</f>
        <v>0</v>
      </c>
      <c r="E97" s="162"/>
      <c r="F97" s="155">
        <f t="shared" si="9"/>
        <v>0</v>
      </c>
      <c r="G97" s="139"/>
      <c r="H97" s="71"/>
      <c r="J97" s="73"/>
    </row>
    <row r="98" spans="1:10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0</v>
      </c>
      <c r="J99" s="73"/>
    </row>
    <row r="100" spans="1:10" ht="15.75" thickBot="1" x14ac:dyDescent="0.3">
      <c r="A100" s="119"/>
    </row>
    <row r="101" spans="1:10" ht="16.5" thickTop="1" thickBot="1" x14ac:dyDescent="0.3">
      <c r="A101" s="47"/>
      <c r="C101" s="1229" t="s">
        <v>11</v>
      </c>
      <c r="D101" s="1230"/>
      <c r="E101" s="146">
        <f>E5+E4+E7+-F98</f>
        <v>0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02"/>
      <c r="B1" s="1202"/>
      <c r="C1" s="1202"/>
      <c r="D1" s="1202"/>
      <c r="E1" s="1202"/>
      <c r="F1" s="1202"/>
      <c r="G1" s="1202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11"/>
      <c r="E4" s="774"/>
      <c r="F4" s="313"/>
    </row>
    <row r="5" spans="1:11" ht="16.5" thickBot="1" x14ac:dyDescent="0.3">
      <c r="A5" s="1255"/>
      <c r="B5" s="1257" t="s">
        <v>88</v>
      </c>
      <c r="C5" s="923"/>
      <c r="D5" s="962"/>
      <c r="E5" s="775"/>
      <c r="F5" s="315"/>
      <c r="G5" s="302">
        <f>F97</f>
        <v>0</v>
      </c>
      <c r="H5" s="58">
        <f>E4+E5+E6-G5</f>
        <v>0</v>
      </c>
    </row>
    <row r="6" spans="1:11" ht="16.5" thickTop="1" thickBot="1" x14ac:dyDescent="0.3">
      <c r="A6" s="1256"/>
      <c r="B6" s="1259"/>
      <c r="C6" s="247"/>
      <c r="D6" s="311"/>
      <c r="E6" s="774"/>
      <c r="F6" s="313"/>
      <c r="G6" s="240"/>
      <c r="I6" s="1260" t="s">
        <v>3</v>
      </c>
      <c r="J6" s="1253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61"/>
      <c r="J7" s="1254"/>
    </row>
    <row r="8" spans="1:11" ht="15.75" thickTop="1" x14ac:dyDescent="0.25">
      <c r="A8" s="80" t="s">
        <v>32</v>
      </c>
      <c r="B8" s="83"/>
      <c r="C8" s="15"/>
      <c r="D8" s="186"/>
      <c r="E8" s="325"/>
      <c r="F8" s="69">
        <f t="shared" ref="F8:F13" si="0">D8</f>
        <v>0</v>
      </c>
      <c r="G8" s="265"/>
      <c r="H8" s="249"/>
      <c r="I8" s="267">
        <f>E5+E4-F8+E6</f>
        <v>0</v>
      </c>
      <c r="J8" s="127">
        <f>F4+F5+F6-C8</f>
        <v>0</v>
      </c>
    </row>
    <row r="9" spans="1:11" x14ac:dyDescent="0.25">
      <c r="A9" s="207"/>
      <c r="B9" s="83"/>
      <c r="C9" s="15"/>
      <c r="D9" s="186"/>
      <c r="E9" s="325"/>
      <c r="F9" s="264">
        <f t="shared" si="0"/>
        <v>0</v>
      </c>
      <c r="G9" s="265"/>
      <c r="H9" s="249"/>
      <c r="I9" s="267">
        <f>I8-F9</f>
        <v>0</v>
      </c>
      <c r="J9" s="268">
        <f>J8-C9</f>
        <v>0</v>
      </c>
      <c r="K9" s="240"/>
    </row>
    <row r="10" spans="1:11" x14ac:dyDescent="0.25">
      <c r="A10" s="195"/>
      <c r="B10" s="83"/>
      <c r="C10" s="15"/>
      <c r="D10" s="186"/>
      <c r="E10" s="325"/>
      <c r="F10" s="264">
        <f t="shared" si="0"/>
        <v>0</v>
      </c>
      <c r="G10" s="265"/>
      <c r="H10" s="249"/>
      <c r="I10" s="267">
        <f t="shared" ref="I10:I40" si="1">I9-F10</f>
        <v>0</v>
      </c>
      <c r="J10" s="268">
        <f t="shared" ref="J10:J58" si="2">J9-C10</f>
        <v>0</v>
      </c>
      <c r="K10" s="240"/>
    </row>
    <row r="11" spans="1:11" x14ac:dyDescent="0.25">
      <c r="A11" s="82" t="s">
        <v>33</v>
      </c>
      <c r="B11" s="83"/>
      <c r="C11" s="15"/>
      <c r="D11" s="186"/>
      <c r="E11" s="325"/>
      <c r="F11" s="264">
        <f t="shared" si="0"/>
        <v>0</v>
      </c>
      <c r="G11" s="265"/>
      <c r="H11" s="249"/>
      <c r="I11" s="267">
        <f t="shared" si="1"/>
        <v>0</v>
      </c>
      <c r="J11" s="268">
        <f t="shared" si="2"/>
        <v>0</v>
      </c>
      <c r="K11" s="240"/>
    </row>
    <row r="12" spans="1:11" x14ac:dyDescent="0.25">
      <c r="A12" s="73"/>
      <c r="B12" s="83"/>
      <c r="C12" s="15"/>
      <c r="D12" s="186"/>
      <c r="E12" s="325"/>
      <c r="F12" s="264">
        <f t="shared" si="0"/>
        <v>0</v>
      </c>
      <c r="G12" s="265"/>
      <c r="H12" s="249"/>
      <c r="I12" s="267">
        <f t="shared" si="1"/>
        <v>0</v>
      </c>
      <c r="J12" s="268">
        <f t="shared" si="2"/>
        <v>0</v>
      </c>
      <c r="K12" s="240"/>
    </row>
    <row r="13" spans="1:11" x14ac:dyDescent="0.25">
      <c r="A13" s="73"/>
      <c r="B13" s="83"/>
      <c r="C13" s="15"/>
      <c r="D13" s="186"/>
      <c r="E13" s="324"/>
      <c r="F13" s="264">
        <f t="shared" si="0"/>
        <v>0</v>
      </c>
      <c r="G13" s="265"/>
      <c r="H13" s="249"/>
      <c r="I13" s="267">
        <f t="shared" si="1"/>
        <v>0</v>
      </c>
      <c r="J13" s="268">
        <f t="shared" si="2"/>
        <v>0</v>
      </c>
      <c r="K13" s="240"/>
    </row>
    <row r="14" spans="1:11" x14ac:dyDescent="0.25">
      <c r="B14" s="83"/>
      <c r="C14" s="15"/>
      <c r="D14" s="186"/>
      <c r="E14" s="324"/>
      <c r="F14" s="264">
        <f>D14</f>
        <v>0</v>
      </c>
      <c r="G14" s="265"/>
      <c r="H14" s="249"/>
      <c r="I14" s="267">
        <f t="shared" si="1"/>
        <v>0</v>
      </c>
      <c r="J14" s="268">
        <f t="shared" si="2"/>
        <v>0</v>
      </c>
      <c r="K14" s="240"/>
    </row>
    <row r="15" spans="1:11" x14ac:dyDescent="0.25">
      <c r="B15" s="83"/>
      <c r="C15" s="263"/>
      <c r="D15" s="186"/>
      <c r="E15" s="324"/>
      <c r="F15" s="264">
        <f>D15</f>
        <v>0</v>
      </c>
      <c r="G15" s="265"/>
      <c r="H15" s="249"/>
      <c r="I15" s="267">
        <f t="shared" si="1"/>
        <v>0</v>
      </c>
      <c r="J15" s="268">
        <f t="shared" si="2"/>
        <v>0</v>
      </c>
      <c r="K15" s="240"/>
    </row>
    <row r="16" spans="1:11" x14ac:dyDescent="0.25">
      <c r="A16" s="81"/>
      <c r="B16" s="83"/>
      <c r="C16" s="15"/>
      <c r="D16" s="186"/>
      <c r="E16" s="336"/>
      <c r="F16" s="264">
        <f>D16</f>
        <v>0</v>
      </c>
      <c r="G16" s="265"/>
      <c r="H16" s="249"/>
      <c r="I16" s="267">
        <f t="shared" si="1"/>
        <v>0</v>
      </c>
      <c r="J16" s="268">
        <f t="shared" si="2"/>
        <v>0</v>
      </c>
      <c r="K16" s="240"/>
    </row>
    <row r="17" spans="1:10" x14ac:dyDescent="0.25">
      <c r="A17" s="83"/>
      <c r="B17" s="83"/>
      <c r="C17" s="15"/>
      <c r="D17" s="186"/>
      <c r="E17" s="336"/>
      <c r="F17" s="69">
        <f t="shared" ref="F17:F41" si="3">D17</f>
        <v>0</v>
      </c>
      <c r="G17" s="595"/>
      <c r="H17" s="249"/>
      <c r="I17" s="267">
        <f t="shared" si="1"/>
        <v>0</v>
      </c>
      <c r="J17" s="268">
        <f t="shared" si="2"/>
        <v>0</v>
      </c>
    </row>
    <row r="18" spans="1:10" x14ac:dyDescent="0.25">
      <c r="A18" s="2"/>
      <c r="B18" s="83"/>
      <c r="C18" s="15"/>
      <c r="D18" s="186"/>
      <c r="E18" s="336"/>
      <c r="F18" s="69">
        <f t="shared" si="3"/>
        <v>0</v>
      </c>
      <c r="G18" s="265"/>
      <c r="H18" s="249"/>
      <c r="I18" s="267">
        <f t="shared" si="1"/>
        <v>0</v>
      </c>
      <c r="J18" s="268">
        <f t="shared" si="2"/>
        <v>0</v>
      </c>
    </row>
    <row r="19" spans="1:10" x14ac:dyDescent="0.25">
      <c r="A19" s="2"/>
      <c r="B19" s="83"/>
      <c r="C19" s="15"/>
      <c r="D19" s="186"/>
      <c r="E19" s="336"/>
      <c r="F19" s="69">
        <f t="shared" si="3"/>
        <v>0</v>
      </c>
      <c r="G19" s="265"/>
      <c r="H19" s="249"/>
      <c r="I19" s="267">
        <f t="shared" si="1"/>
        <v>0</v>
      </c>
      <c r="J19" s="268">
        <f t="shared" si="2"/>
        <v>0</v>
      </c>
    </row>
    <row r="20" spans="1:10" x14ac:dyDescent="0.25">
      <c r="A20" s="2"/>
      <c r="B20" s="83"/>
      <c r="C20" s="15"/>
      <c r="D20" s="186"/>
      <c r="E20" s="324"/>
      <c r="F20" s="69">
        <f t="shared" si="3"/>
        <v>0</v>
      </c>
      <c r="G20" s="265"/>
      <c r="H20" s="249"/>
      <c r="I20" s="267">
        <f t="shared" si="1"/>
        <v>0</v>
      </c>
      <c r="J20" s="268">
        <f t="shared" si="2"/>
        <v>0</v>
      </c>
    </row>
    <row r="21" spans="1:10" x14ac:dyDescent="0.25">
      <c r="A21" s="2"/>
      <c r="B21" s="83"/>
      <c r="C21" s="15"/>
      <c r="D21" s="186"/>
      <c r="E21" s="324"/>
      <c r="F21" s="69">
        <f t="shared" si="3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/>
      <c r="E22" s="324"/>
      <c r="F22" s="69">
        <f t="shared" si="3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24"/>
      <c r="F23" s="69">
        <f t="shared" si="3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36"/>
      <c r="F24" s="69">
        <f t="shared" si="3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6"/>
      <c r="F25" s="69">
        <f t="shared" si="3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6"/>
      <c r="F26" s="69">
        <f t="shared" si="3"/>
        <v>0</v>
      </c>
      <c r="G26" s="70"/>
      <c r="H26" s="128"/>
      <c r="I26" s="222">
        <f t="shared" si="1"/>
        <v>0</v>
      </c>
      <c r="J26" s="127">
        <f t="shared" si="2"/>
        <v>0</v>
      </c>
    </row>
    <row r="27" spans="1:10" x14ac:dyDescent="0.25">
      <c r="A27" s="187"/>
      <c r="B27" s="83"/>
      <c r="C27" s="15"/>
      <c r="D27" s="186"/>
      <c r="E27" s="336"/>
      <c r="F27" s="69">
        <f t="shared" si="3"/>
        <v>0</v>
      </c>
      <c r="G27" s="70"/>
      <c r="H27" s="128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24"/>
      <c r="F28" s="69">
        <f t="shared" si="3"/>
        <v>0</v>
      </c>
      <c r="G28" s="265"/>
      <c r="H28" s="249"/>
      <c r="I28" s="267">
        <f t="shared" si="1"/>
        <v>0</v>
      </c>
      <c r="J28" s="268">
        <f t="shared" si="2"/>
        <v>0</v>
      </c>
    </row>
    <row r="29" spans="1:10" x14ac:dyDescent="0.25">
      <c r="A29" s="187"/>
      <c r="B29" s="83"/>
      <c r="C29" s="15"/>
      <c r="D29" s="186"/>
      <c r="E29" s="324"/>
      <c r="F29" s="69">
        <f t="shared" si="3"/>
        <v>0</v>
      </c>
      <c r="G29" s="265"/>
      <c r="H29" s="249"/>
      <c r="I29" s="267">
        <f t="shared" si="1"/>
        <v>0</v>
      </c>
      <c r="J29" s="268">
        <f t="shared" si="2"/>
        <v>0</v>
      </c>
    </row>
    <row r="30" spans="1:10" x14ac:dyDescent="0.25">
      <c r="A30" s="187"/>
      <c r="B30" s="83"/>
      <c r="C30" s="15"/>
      <c r="D30" s="186"/>
      <c r="E30" s="324"/>
      <c r="F30" s="69">
        <f t="shared" si="3"/>
        <v>0</v>
      </c>
      <c r="G30" s="265"/>
      <c r="H30" s="249"/>
      <c r="I30" s="267">
        <f t="shared" si="1"/>
        <v>0</v>
      </c>
      <c r="J30" s="268">
        <f t="shared" si="2"/>
        <v>0</v>
      </c>
    </row>
    <row r="31" spans="1:10" x14ac:dyDescent="0.25">
      <c r="A31" s="187"/>
      <c r="B31" s="83"/>
      <c r="C31" s="15"/>
      <c r="D31" s="186"/>
      <c r="E31" s="324"/>
      <c r="F31" s="69">
        <f t="shared" si="3"/>
        <v>0</v>
      </c>
      <c r="G31" s="265"/>
      <c r="H31" s="249"/>
      <c r="I31" s="267">
        <f t="shared" si="1"/>
        <v>0</v>
      </c>
      <c r="J31" s="268">
        <f t="shared" si="2"/>
        <v>0</v>
      </c>
    </row>
    <row r="32" spans="1:10" x14ac:dyDescent="0.25">
      <c r="A32" s="2"/>
      <c r="B32" s="83"/>
      <c r="C32" s="15"/>
      <c r="D32" s="186"/>
      <c r="E32" s="324"/>
      <c r="F32" s="69">
        <f t="shared" si="3"/>
        <v>0</v>
      </c>
      <c r="G32" s="265"/>
      <c r="H32" s="249"/>
      <c r="I32" s="267">
        <f t="shared" si="1"/>
        <v>0</v>
      </c>
      <c r="J32" s="268">
        <f t="shared" si="2"/>
        <v>0</v>
      </c>
    </row>
    <row r="33" spans="1:10" x14ac:dyDescent="0.25">
      <c r="A33" s="2"/>
      <c r="B33" s="83"/>
      <c r="C33" s="15"/>
      <c r="D33" s="186"/>
      <c r="E33" s="324"/>
      <c r="F33" s="69">
        <f t="shared" si="3"/>
        <v>0</v>
      </c>
      <c r="G33" s="70"/>
      <c r="H33" s="128"/>
      <c r="I33" s="222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6"/>
      <c r="E34" s="324"/>
      <c r="F34" s="69">
        <f t="shared" si="3"/>
        <v>0</v>
      </c>
      <c r="G34" s="70"/>
      <c r="H34" s="128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25"/>
      <c r="F35" s="69">
        <f t="shared" si="3"/>
        <v>0</v>
      </c>
      <c r="G35" s="70"/>
      <c r="H35" s="128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25"/>
      <c r="F36" s="69">
        <f t="shared" si="3"/>
        <v>0</v>
      </c>
      <c r="G36" s="70"/>
      <c r="H36" s="128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25"/>
      <c r="F37" s="69">
        <f t="shared" si="3"/>
        <v>0</v>
      </c>
      <c r="G37" s="70"/>
      <c r="H37" s="128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25"/>
      <c r="F38" s="69">
        <f t="shared" si="3"/>
        <v>0</v>
      </c>
      <c r="G38" s="70"/>
      <c r="H38" s="128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>
        <f t="shared" ref="D39:D41" si="4">C39*B39</f>
        <v>0</v>
      </c>
      <c r="E39" s="325"/>
      <c r="F39" s="69">
        <f t="shared" si="3"/>
        <v>0</v>
      </c>
      <c r="G39" s="70"/>
      <c r="H39" s="128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>
        <f t="shared" si="4"/>
        <v>0</v>
      </c>
      <c r="E40" s="325"/>
      <c r="F40" s="69">
        <f t="shared" si="3"/>
        <v>0</v>
      </c>
      <c r="G40" s="70"/>
      <c r="H40" s="71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>
        <f t="shared" si="4"/>
        <v>0</v>
      </c>
      <c r="E41" s="325"/>
      <c r="F41" s="69">
        <f t="shared" si="3"/>
        <v>0</v>
      </c>
      <c r="G41" s="70"/>
      <c r="H41" s="71"/>
      <c r="I41" s="222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25"/>
      <c r="F42" s="69"/>
      <c r="G42" s="70"/>
      <c r="H42" s="71"/>
      <c r="I42" s="222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25"/>
      <c r="F43" s="69"/>
      <c r="G43" s="70"/>
      <c r="H43" s="71"/>
      <c r="I43" s="222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25"/>
      <c r="F44" s="69"/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25"/>
      <c r="F45" s="69"/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25"/>
      <c r="F46" s="69"/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25"/>
      <c r="F47" s="69"/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25"/>
      <c r="F48" s="69"/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25"/>
      <c r="F49" s="69"/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25"/>
      <c r="F50" s="69"/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25"/>
      <c r="F51" s="69"/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25"/>
      <c r="F52" s="69"/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25"/>
      <c r="F53" s="69"/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25"/>
      <c r="F54" s="69"/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25"/>
      <c r="F55" s="69"/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25"/>
      <c r="F56" s="69"/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25"/>
      <c r="F57" s="69"/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25"/>
      <c r="F58" s="69"/>
      <c r="G58" s="70"/>
      <c r="H58" s="71"/>
      <c r="I58" s="222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6"/>
      <c r="E59" s="325"/>
      <c r="F59" s="69"/>
      <c r="G59" s="70"/>
      <c r="H59" s="71"/>
      <c r="I59" s="222"/>
      <c r="J59" s="127"/>
    </row>
    <row r="60" spans="1:10" x14ac:dyDescent="0.25">
      <c r="A60" s="2"/>
      <c r="B60" s="83"/>
      <c r="C60" s="15"/>
      <c r="D60" s="186"/>
      <c r="E60" s="325"/>
      <c r="F60" s="69"/>
      <c r="G60" s="70"/>
      <c r="H60" s="71"/>
      <c r="I60" s="222"/>
      <c r="J60" s="127"/>
    </row>
    <row r="61" spans="1:10" x14ac:dyDescent="0.25">
      <c r="A61" s="2"/>
      <c r="B61" s="83"/>
      <c r="C61" s="15"/>
      <c r="D61" s="186"/>
      <c r="E61" s="325"/>
      <c r="F61" s="69"/>
      <c r="G61" s="70"/>
      <c r="H61" s="71"/>
      <c r="I61" s="222"/>
      <c r="J61" s="127"/>
    </row>
    <row r="62" spans="1:10" x14ac:dyDescent="0.25">
      <c r="A62" s="2"/>
      <c r="B62" s="83"/>
      <c r="C62" s="15"/>
      <c r="D62" s="186"/>
      <c r="E62" s="325"/>
      <c r="F62" s="69"/>
      <c r="G62" s="70"/>
      <c r="H62" s="71"/>
      <c r="I62" s="222"/>
      <c r="J62" s="127"/>
    </row>
    <row r="63" spans="1:10" x14ac:dyDescent="0.25">
      <c r="A63" s="2"/>
      <c r="B63" s="83"/>
      <c r="C63" s="15"/>
      <c r="D63" s="186"/>
      <c r="E63" s="325"/>
      <c r="F63" s="69"/>
      <c r="G63" s="70"/>
      <c r="H63" s="71"/>
      <c r="I63" s="222"/>
      <c r="J63" s="127"/>
    </row>
    <row r="64" spans="1:10" x14ac:dyDescent="0.25">
      <c r="A64" s="2"/>
      <c r="B64" s="83"/>
      <c r="C64" s="15"/>
      <c r="D64" s="186"/>
      <c r="E64" s="325"/>
      <c r="F64" s="69"/>
      <c r="G64" s="70"/>
      <c r="H64" s="71"/>
      <c r="I64" s="222"/>
      <c r="J64" s="127"/>
    </row>
    <row r="65" spans="1:10" x14ac:dyDescent="0.25">
      <c r="A65" s="2"/>
      <c r="B65" s="83"/>
      <c r="C65" s="15"/>
      <c r="D65" s="186"/>
      <c r="E65" s="325"/>
      <c r="F65" s="69"/>
      <c r="G65" s="70"/>
      <c r="H65" s="71"/>
      <c r="I65" s="222"/>
      <c r="J65" s="127"/>
    </row>
    <row r="66" spans="1:10" x14ac:dyDescent="0.25">
      <c r="A66" s="2"/>
      <c r="B66" s="83"/>
      <c r="C66" s="15"/>
      <c r="D66" s="186"/>
      <c r="E66" s="325"/>
      <c r="F66" s="69"/>
      <c r="G66" s="70"/>
      <c r="H66" s="71"/>
      <c r="I66" s="222"/>
      <c r="J66" s="127"/>
    </row>
    <row r="67" spans="1:10" x14ac:dyDescent="0.25">
      <c r="A67" s="2"/>
      <c r="B67" s="83"/>
      <c r="C67" s="15"/>
      <c r="D67" s="186"/>
      <c r="E67" s="325"/>
      <c r="F67" s="69"/>
      <c r="G67" s="70"/>
      <c r="H67" s="71"/>
      <c r="I67" s="222"/>
      <c r="J67" s="127"/>
    </row>
    <row r="68" spans="1:10" x14ac:dyDescent="0.25">
      <c r="A68" s="2"/>
      <c r="B68" s="83"/>
      <c r="C68" s="15"/>
      <c r="D68" s="186"/>
      <c r="E68" s="325"/>
      <c r="F68" s="69"/>
      <c r="G68" s="70"/>
      <c r="H68" s="71"/>
      <c r="I68" s="222"/>
      <c r="J68" s="127"/>
    </row>
    <row r="69" spans="1:10" x14ac:dyDescent="0.25">
      <c r="A69" s="2"/>
      <c r="B69" s="83"/>
      <c r="C69" s="15"/>
      <c r="D69" s="186"/>
      <c r="E69" s="325"/>
      <c r="F69" s="69"/>
      <c r="G69" s="70"/>
      <c r="H69" s="71"/>
      <c r="I69" s="222"/>
      <c r="J69" s="127"/>
    </row>
    <row r="70" spans="1:10" x14ac:dyDescent="0.25">
      <c r="A70" s="2"/>
      <c r="B70" s="83"/>
      <c r="C70" s="15"/>
      <c r="D70" s="186"/>
      <c r="E70" s="325"/>
      <c r="F70" s="69"/>
      <c r="G70" s="70"/>
      <c r="H70" s="71"/>
      <c r="I70" s="222"/>
      <c r="J70" s="127"/>
    </row>
    <row r="71" spans="1:10" x14ac:dyDescent="0.25">
      <c r="A71" s="2"/>
      <c r="B71" s="83"/>
      <c r="C71" s="15"/>
      <c r="D71" s="186"/>
      <c r="E71" s="325"/>
      <c r="F71" s="69"/>
      <c r="G71" s="70"/>
      <c r="H71" s="71"/>
      <c r="I71" s="222"/>
      <c r="J71" s="127"/>
    </row>
    <row r="72" spans="1:10" x14ac:dyDescent="0.25">
      <c r="A72" s="2"/>
      <c r="B72" s="83"/>
      <c r="C72" s="15"/>
      <c r="D72" s="186"/>
      <c r="E72" s="325"/>
      <c r="F72" s="69"/>
      <c r="G72" s="70"/>
      <c r="H72" s="71"/>
      <c r="I72" s="222"/>
      <c r="J72" s="127"/>
    </row>
    <row r="73" spans="1:10" x14ac:dyDescent="0.25">
      <c r="A73" s="2"/>
      <c r="B73" s="83"/>
      <c r="C73" s="15"/>
      <c r="D73" s="186"/>
      <c r="E73" s="325"/>
      <c r="F73" s="69"/>
      <c r="G73" s="70"/>
      <c r="H73" s="71"/>
      <c r="I73" s="222"/>
      <c r="J73" s="127"/>
    </row>
    <row r="74" spans="1:10" x14ac:dyDescent="0.25">
      <c r="A74" s="2"/>
      <c r="B74" s="83"/>
      <c r="C74" s="15"/>
      <c r="D74" s="186"/>
      <c r="E74" s="325"/>
      <c r="F74" s="69"/>
      <c r="G74" s="70"/>
      <c r="H74" s="71"/>
      <c r="I74" s="222"/>
      <c r="J74" s="127"/>
    </row>
    <row r="75" spans="1:10" x14ac:dyDescent="0.25">
      <c r="A75" s="2"/>
      <c r="B75" s="83"/>
      <c r="C75" s="15"/>
      <c r="D75" s="186"/>
      <c r="E75" s="325"/>
      <c r="F75" s="69"/>
      <c r="G75" s="70"/>
      <c r="H75" s="71"/>
      <c r="I75" s="222"/>
      <c r="J75" s="127"/>
    </row>
    <row r="76" spans="1:10" x14ac:dyDescent="0.25">
      <c r="A76" s="2"/>
      <c r="B76" s="83"/>
      <c r="C76" s="15"/>
      <c r="D76" s="186"/>
      <c r="E76" s="325"/>
      <c r="F76" s="69"/>
      <c r="G76" s="70"/>
      <c r="H76" s="71"/>
      <c r="I76" s="222"/>
      <c r="J76" s="127"/>
    </row>
    <row r="77" spans="1:10" x14ac:dyDescent="0.25">
      <c r="A77" s="2"/>
      <c r="B77" s="83"/>
      <c r="C77" s="15"/>
      <c r="D77" s="186"/>
      <c r="E77" s="325"/>
      <c r="F77" s="69"/>
      <c r="G77" s="70"/>
      <c r="H77" s="71"/>
      <c r="I77" s="222"/>
      <c r="J77" s="127"/>
    </row>
    <row r="78" spans="1:10" x14ac:dyDescent="0.25">
      <c r="A78" s="2"/>
      <c r="B78" s="83"/>
      <c r="C78" s="15"/>
      <c r="D78" s="186"/>
      <c r="E78" s="325"/>
      <c r="F78" s="69"/>
      <c r="G78" s="70"/>
      <c r="H78" s="71"/>
      <c r="I78" s="222"/>
      <c r="J78" s="127"/>
    </row>
    <row r="79" spans="1:10" x14ac:dyDescent="0.25">
      <c r="A79" s="2"/>
      <c r="B79" s="83"/>
      <c r="C79" s="15"/>
      <c r="D79" s="186"/>
      <c r="E79" s="325"/>
      <c r="F79" s="69"/>
      <c r="G79" s="70"/>
      <c r="H79" s="71"/>
      <c r="I79" s="222"/>
      <c r="J79" s="127"/>
    </row>
    <row r="80" spans="1:10" x14ac:dyDescent="0.25">
      <c r="A80" s="2"/>
      <c r="B80" s="83"/>
      <c r="C80" s="15"/>
      <c r="D80" s="186"/>
      <c r="E80" s="325"/>
      <c r="F80" s="69"/>
      <c r="G80" s="70"/>
      <c r="H80" s="71"/>
      <c r="I80" s="222"/>
      <c r="J80" s="127"/>
    </row>
    <row r="81" spans="1:10" x14ac:dyDescent="0.25">
      <c r="A81" s="2"/>
      <c r="B81" s="83"/>
      <c r="C81" s="15"/>
      <c r="D81" s="186"/>
      <c r="E81" s="325"/>
      <c r="F81" s="69"/>
      <c r="G81" s="70"/>
      <c r="H81" s="71"/>
      <c r="I81" s="222"/>
      <c r="J81" s="127"/>
    </row>
    <row r="82" spans="1:10" x14ac:dyDescent="0.25">
      <c r="A82" s="2"/>
      <c r="B82" s="83"/>
      <c r="C82" s="15"/>
      <c r="D82" s="186"/>
      <c r="E82" s="325"/>
      <c r="F82" s="69"/>
      <c r="G82" s="70"/>
      <c r="H82" s="71"/>
      <c r="I82" s="222"/>
      <c r="J82" s="127"/>
    </row>
    <row r="83" spans="1:10" x14ac:dyDescent="0.25">
      <c r="A83" s="2"/>
      <c r="B83" s="83"/>
      <c r="C83" s="15"/>
      <c r="D83" s="186"/>
      <c r="E83" s="325"/>
      <c r="F83" s="69"/>
      <c r="G83" s="70"/>
      <c r="H83" s="71"/>
      <c r="I83" s="222"/>
      <c r="J83" s="127"/>
    </row>
    <row r="84" spans="1:10" x14ac:dyDescent="0.25">
      <c r="A84" s="2"/>
      <c r="B84" s="83"/>
      <c r="C84" s="15"/>
      <c r="D84" s="186"/>
      <c r="E84" s="325"/>
      <c r="F84" s="69"/>
      <c r="G84" s="70"/>
      <c r="H84" s="71"/>
      <c r="I84" s="222"/>
      <c r="J84" s="127"/>
    </row>
    <row r="85" spans="1:10" x14ac:dyDescent="0.25">
      <c r="A85" s="2"/>
      <c r="B85" s="83"/>
      <c r="C85" s="15"/>
      <c r="D85" s="186"/>
      <c r="E85" s="325"/>
      <c r="F85" s="69"/>
      <c r="G85" s="70"/>
      <c r="H85" s="71"/>
      <c r="I85" s="222"/>
      <c r="J85" s="127"/>
    </row>
    <row r="86" spans="1:10" x14ac:dyDescent="0.25">
      <c r="A86" s="2"/>
      <c r="B86" s="83"/>
      <c r="C86" s="15"/>
      <c r="D86" s="186"/>
      <c r="E86" s="325"/>
      <c r="F86" s="69"/>
      <c r="G86" s="70"/>
      <c r="H86" s="71"/>
      <c r="I86" s="222"/>
      <c r="J86" s="127"/>
    </row>
    <row r="87" spans="1:10" x14ac:dyDescent="0.25">
      <c r="A87" s="2"/>
      <c r="B87" s="83"/>
      <c r="C87" s="15"/>
      <c r="D87" s="186"/>
      <c r="E87" s="325"/>
      <c r="F87" s="69"/>
      <c r="G87" s="70"/>
      <c r="H87" s="71"/>
      <c r="I87" s="222"/>
      <c r="J87" s="127"/>
    </row>
    <row r="88" spans="1:10" x14ac:dyDescent="0.25">
      <c r="A88" s="2"/>
      <c r="B88" s="83"/>
      <c r="C88" s="15"/>
      <c r="D88" s="186"/>
      <c r="E88" s="325"/>
      <c r="F88" s="69"/>
      <c r="G88" s="70"/>
      <c r="H88" s="71"/>
      <c r="I88" s="222"/>
      <c r="J88" s="127"/>
    </row>
    <row r="89" spans="1:10" x14ac:dyDescent="0.25">
      <c r="A89" s="2"/>
      <c r="B89" s="83"/>
      <c r="C89" s="15"/>
      <c r="D89" s="186"/>
      <c r="E89" s="325"/>
      <c r="F89" s="69"/>
      <c r="G89" s="70"/>
      <c r="H89" s="71"/>
      <c r="I89" s="222"/>
      <c r="J89" s="127"/>
    </row>
    <row r="90" spans="1:10" x14ac:dyDescent="0.25">
      <c r="A90" s="2"/>
      <c r="B90" s="83"/>
      <c r="C90" s="15"/>
      <c r="D90" s="186"/>
      <c r="E90" s="325"/>
      <c r="F90" s="69"/>
      <c r="G90" s="70"/>
      <c r="H90" s="71"/>
      <c r="I90" s="222"/>
      <c r="J90" s="127"/>
    </row>
    <row r="91" spans="1:10" x14ac:dyDescent="0.25">
      <c r="A91" s="2"/>
      <c r="B91" s="83"/>
      <c r="C91" s="15"/>
      <c r="D91" s="186"/>
      <c r="E91" s="325"/>
      <c r="F91" s="69"/>
      <c r="G91" s="70"/>
      <c r="H91" s="71"/>
      <c r="I91" s="222"/>
      <c r="J91" s="127"/>
    </row>
    <row r="92" spans="1:10" x14ac:dyDescent="0.25">
      <c r="A92" s="2"/>
      <c r="B92" s="83"/>
      <c r="C92" s="15"/>
      <c r="D92" s="186"/>
      <c r="E92" s="325"/>
      <c r="F92" s="69"/>
      <c r="G92" s="70"/>
      <c r="H92" s="71"/>
      <c r="I92" s="222"/>
      <c r="J92" s="127"/>
    </row>
    <row r="93" spans="1:10" x14ac:dyDescent="0.25">
      <c r="A93" s="2"/>
      <c r="B93" s="83"/>
      <c r="C93" s="15"/>
      <c r="D93" s="186"/>
      <c r="E93" s="325"/>
      <c r="F93" s="69"/>
      <c r="G93" s="70"/>
      <c r="H93" s="71"/>
      <c r="I93" s="222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6"/>
      <c r="E94" s="325"/>
      <c r="F94" s="69"/>
      <c r="G94" s="70"/>
      <c r="H94" s="71"/>
      <c r="I94" s="222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6">
        <f t="shared" ref="D95" si="8">C95*B95</f>
        <v>0</v>
      </c>
      <c r="E95" s="325"/>
      <c r="F95" s="69">
        <f t="shared" ref="F95:F96" si="9">D95</f>
        <v>0</v>
      </c>
      <c r="G95" s="70"/>
      <c r="H95" s="71"/>
      <c r="I95" s="222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98">
        <f>C96*B33</f>
        <v>0</v>
      </c>
      <c r="E96" s="162"/>
      <c r="F96" s="155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229" t="s">
        <v>11</v>
      </c>
      <c r="D100" s="1230"/>
      <c r="E100" s="146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02"/>
      <c r="B1" s="1202"/>
      <c r="C1" s="1202"/>
      <c r="D1" s="1202"/>
      <c r="E1" s="1202"/>
      <c r="F1" s="1202"/>
      <c r="G1" s="1202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11"/>
      <c r="E4" s="312"/>
      <c r="F4" s="313"/>
    </row>
    <row r="5" spans="1:11" ht="15" customHeight="1" thickBot="1" x14ac:dyDescent="0.3">
      <c r="A5" s="1225"/>
      <c r="B5" s="1262" t="s">
        <v>78</v>
      </c>
      <c r="C5" s="247"/>
      <c r="D5" s="311"/>
      <c r="E5" s="314"/>
      <c r="F5" s="315"/>
      <c r="G5" s="302"/>
      <c r="H5" s="58">
        <f>E4+E5+E6-G5</f>
        <v>0</v>
      </c>
    </row>
    <row r="6" spans="1:11" ht="17.25" thickTop="1" thickBot="1" x14ac:dyDescent="0.3">
      <c r="A6" s="1226"/>
      <c r="B6" s="1263"/>
      <c r="C6" s="247"/>
      <c r="D6" s="311"/>
      <c r="E6" s="314"/>
      <c r="F6" s="315"/>
      <c r="G6" s="240"/>
      <c r="I6" s="1260" t="s">
        <v>3</v>
      </c>
      <c r="J6" s="1253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61"/>
      <c r="J7" s="1254"/>
    </row>
    <row r="8" spans="1:11" ht="15.75" thickTop="1" x14ac:dyDescent="0.25">
      <c r="A8" s="80" t="s">
        <v>32</v>
      </c>
      <c r="B8" s="83"/>
      <c r="C8" s="15"/>
      <c r="D8" s="186">
        <v>0</v>
      </c>
      <c r="E8" s="325"/>
      <c r="F8" s="69">
        <f t="shared" ref="F8:F13" si="0">D8</f>
        <v>0</v>
      </c>
      <c r="G8" s="265"/>
      <c r="H8" s="249"/>
      <c r="I8" s="267">
        <f>E5+E4-F8+E6</f>
        <v>0</v>
      </c>
      <c r="J8" s="268">
        <f>F4+F5+F6-C8</f>
        <v>0</v>
      </c>
    </row>
    <row r="9" spans="1:11" x14ac:dyDescent="0.25">
      <c r="A9" s="207"/>
      <c r="B9" s="83"/>
      <c r="C9" s="15"/>
      <c r="D9" s="186">
        <v>0</v>
      </c>
      <c r="E9" s="325"/>
      <c r="F9" s="264">
        <f t="shared" si="0"/>
        <v>0</v>
      </c>
      <c r="G9" s="265"/>
      <c r="H9" s="249"/>
      <c r="I9" s="267">
        <f>I8-F9</f>
        <v>0</v>
      </c>
      <c r="J9" s="268">
        <f>J8-C9</f>
        <v>0</v>
      </c>
    </row>
    <row r="10" spans="1:11" x14ac:dyDescent="0.25">
      <c r="A10" s="195"/>
      <c r="B10" s="83"/>
      <c r="C10" s="15"/>
      <c r="D10" s="186">
        <v>0</v>
      </c>
      <c r="E10" s="739"/>
      <c r="F10" s="264">
        <f t="shared" si="0"/>
        <v>0</v>
      </c>
      <c r="G10" s="265"/>
      <c r="H10" s="249"/>
      <c r="I10" s="267">
        <f t="shared" ref="I10:I28" si="1">I9-F10</f>
        <v>0</v>
      </c>
      <c r="J10" s="268">
        <f t="shared" ref="J10:J28" si="2">J9-C10</f>
        <v>0</v>
      </c>
      <c r="K10" s="240"/>
    </row>
    <row r="11" spans="1:11" x14ac:dyDescent="0.25">
      <c r="A11" s="82" t="s">
        <v>33</v>
      </c>
      <c r="B11" s="83"/>
      <c r="C11" s="15"/>
      <c r="D11" s="186">
        <f t="shared" ref="D11:D28" si="3">C11*B11</f>
        <v>0</v>
      </c>
      <c r="E11" s="739"/>
      <c r="F11" s="264">
        <f t="shared" si="0"/>
        <v>0</v>
      </c>
      <c r="G11" s="265"/>
      <c r="H11" s="249"/>
      <c r="I11" s="267">
        <f t="shared" si="1"/>
        <v>0</v>
      </c>
      <c r="J11" s="268">
        <f t="shared" si="2"/>
        <v>0</v>
      </c>
      <c r="K11" s="240"/>
    </row>
    <row r="12" spans="1:11" x14ac:dyDescent="0.25">
      <c r="A12" s="73"/>
      <c r="B12" s="83"/>
      <c r="C12" s="15"/>
      <c r="D12" s="186">
        <f t="shared" si="3"/>
        <v>0</v>
      </c>
      <c r="E12" s="739"/>
      <c r="F12" s="264">
        <f t="shared" si="0"/>
        <v>0</v>
      </c>
      <c r="G12" s="265"/>
      <c r="H12" s="249"/>
      <c r="I12" s="267">
        <f t="shared" si="1"/>
        <v>0</v>
      </c>
      <c r="J12" s="268">
        <f t="shared" si="2"/>
        <v>0</v>
      </c>
      <c r="K12" s="240"/>
    </row>
    <row r="13" spans="1:11" x14ac:dyDescent="0.25">
      <c r="A13" s="73"/>
      <c r="B13" s="83"/>
      <c r="C13" s="15"/>
      <c r="D13" s="186">
        <f t="shared" si="3"/>
        <v>0</v>
      </c>
      <c r="E13" s="328"/>
      <c r="F13" s="264">
        <f t="shared" si="0"/>
        <v>0</v>
      </c>
      <c r="G13" s="265"/>
      <c r="H13" s="249"/>
      <c r="I13" s="267">
        <f t="shared" si="1"/>
        <v>0</v>
      </c>
      <c r="J13" s="268">
        <f t="shared" si="2"/>
        <v>0</v>
      </c>
      <c r="K13" s="240"/>
    </row>
    <row r="14" spans="1:11" x14ac:dyDescent="0.25">
      <c r="B14" s="83"/>
      <c r="C14" s="15"/>
      <c r="D14" s="186">
        <f t="shared" si="3"/>
        <v>0</v>
      </c>
      <c r="E14" s="328"/>
      <c r="F14" s="264">
        <f>D14</f>
        <v>0</v>
      </c>
      <c r="G14" s="265"/>
      <c r="H14" s="249"/>
      <c r="I14" s="267">
        <f t="shared" si="1"/>
        <v>0</v>
      </c>
      <c r="J14" s="268">
        <f t="shared" si="2"/>
        <v>0</v>
      </c>
      <c r="K14" s="240"/>
    </row>
    <row r="15" spans="1:11" x14ac:dyDescent="0.25">
      <c r="B15" s="83"/>
      <c r="C15" s="263"/>
      <c r="D15" s="186">
        <f t="shared" si="3"/>
        <v>0</v>
      </c>
      <c r="E15" s="324"/>
      <c r="F15" s="264">
        <f>D15</f>
        <v>0</v>
      </c>
      <c r="G15" s="265"/>
      <c r="H15" s="249"/>
      <c r="I15" s="267">
        <f t="shared" si="1"/>
        <v>0</v>
      </c>
      <c r="J15" s="268">
        <f t="shared" si="2"/>
        <v>0</v>
      </c>
      <c r="K15" s="240"/>
    </row>
    <row r="16" spans="1:11" x14ac:dyDescent="0.25">
      <c r="A16" s="81"/>
      <c r="B16" s="83"/>
      <c r="C16" s="15"/>
      <c r="D16" s="186">
        <f t="shared" si="3"/>
        <v>0</v>
      </c>
      <c r="E16" s="336"/>
      <c r="F16" s="69">
        <f>D16</f>
        <v>0</v>
      </c>
      <c r="G16" s="70"/>
      <c r="H16" s="249"/>
      <c r="I16" s="267">
        <f t="shared" si="1"/>
        <v>0</v>
      </c>
      <c r="J16" s="268">
        <f t="shared" si="2"/>
        <v>0</v>
      </c>
    </row>
    <row r="17" spans="1:10" x14ac:dyDescent="0.25">
      <c r="A17" s="83"/>
      <c r="B17" s="83"/>
      <c r="C17" s="15"/>
      <c r="D17" s="186">
        <f t="shared" si="3"/>
        <v>0</v>
      </c>
      <c r="E17" s="336"/>
      <c r="F17" s="69">
        <f t="shared" ref="F17:F29" si="4">D17</f>
        <v>0</v>
      </c>
      <c r="G17" s="913"/>
      <c r="H17" s="249"/>
      <c r="I17" s="267">
        <f t="shared" si="1"/>
        <v>0</v>
      </c>
      <c r="J17" s="268">
        <f t="shared" si="2"/>
        <v>0</v>
      </c>
    </row>
    <row r="18" spans="1:10" x14ac:dyDescent="0.25">
      <c r="A18" s="2"/>
      <c r="B18" s="83"/>
      <c r="C18" s="15"/>
      <c r="D18" s="186">
        <f t="shared" si="3"/>
        <v>0</v>
      </c>
      <c r="E18" s="336"/>
      <c r="F18" s="69">
        <f t="shared" si="4"/>
        <v>0</v>
      </c>
      <c r="G18" s="70"/>
      <c r="H18" s="128"/>
      <c r="I18" s="222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6">
        <f t="shared" si="3"/>
        <v>0</v>
      </c>
      <c r="E19" s="336"/>
      <c r="F19" s="69">
        <f t="shared" si="4"/>
        <v>0</v>
      </c>
      <c r="G19" s="70"/>
      <c r="H19" s="128"/>
      <c r="I19" s="222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6">
        <f t="shared" si="3"/>
        <v>0</v>
      </c>
      <c r="E20" s="324"/>
      <c r="F20" s="69">
        <f t="shared" si="4"/>
        <v>0</v>
      </c>
      <c r="G20" s="70"/>
      <c r="H20" s="128"/>
      <c r="I20" s="222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6">
        <f t="shared" si="3"/>
        <v>0</v>
      </c>
      <c r="E21" s="324"/>
      <c r="F21" s="69">
        <f t="shared" si="4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>
        <f t="shared" si="3"/>
        <v>0</v>
      </c>
      <c r="E22" s="324"/>
      <c r="F22" s="69">
        <f t="shared" si="4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>
        <f t="shared" si="3"/>
        <v>0</v>
      </c>
      <c r="E23" s="324"/>
      <c r="F23" s="69">
        <f t="shared" si="4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>
        <f t="shared" si="3"/>
        <v>0</v>
      </c>
      <c r="E24" s="336"/>
      <c r="F24" s="69">
        <f t="shared" si="4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>
        <f t="shared" si="3"/>
        <v>0</v>
      </c>
      <c r="E25" s="336"/>
      <c r="F25" s="69">
        <f t="shared" si="4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>
        <f t="shared" si="3"/>
        <v>0</v>
      </c>
      <c r="E26" s="325"/>
      <c r="F26" s="69">
        <f t="shared" si="4"/>
        <v>0</v>
      </c>
      <c r="G26" s="70"/>
      <c r="H26" s="71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>
        <f t="shared" si="3"/>
        <v>0</v>
      </c>
      <c r="E27" s="325"/>
      <c r="F27" s="69">
        <f t="shared" si="4"/>
        <v>0</v>
      </c>
      <c r="G27" s="70"/>
      <c r="H27" s="71"/>
      <c r="I27" s="222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6">
        <f t="shared" si="3"/>
        <v>0</v>
      </c>
      <c r="E28" s="325"/>
      <c r="F28" s="69">
        <f t="shared" si="4"/>
        <v>0</v>
      </c>
      <c r="G28" s="70"/>
      <c r="H28" s="71"/>
      <c r="I28" s="222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98"/>
      <c r="E29" s="162"/>
      <c r="F29" s="155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229" t="s">
        <v>11</v>
      </c>
      <c r="D33" s="1230"/>
      <c r="E33" s="146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202"/>
      <c r="B1" s="1202"/>
      <c r="C1" s="1202"/>
      <c r="D1" s="1202"/>
      <c r="E1" s="1202"/>
      <c r="F1" s="1202"/>
      <c r="G1" s="1202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493"/>
      <c r="B4" s="1264" t="s">
        <v>81</v>
      </c>
      <c r="C4" s="66"/>
      <c r="D4" s="245"/>
      <c r="E4" s="191"/>
      <c r="F4" s="144"/>
    </row>
    <row r="5" spans="1:10" ht="16.5" customHeight="1" thickBot="1" x14ac:dyDescent="0.3">
      <c r="A5" s="493" t="s">
        <v>52</v>
      </c>
      <c r="B5" s="1265"/>
      <c r="C5" s="247"/>
      <c r="D5" s="245"/>
      <c r="E5" s="492"/>
      <c r="F5" s="268"/>
      <c r="G5" s="302">
        <f>F33</f>
        <v>0</v>
      </c>
      <c r="H5" s="58">
        <f>E4+E5+E6</f>
        <v>0</v>
      </c>
    </row>
    <row r="6" spans="1:10" ht="16.5" customHeight="1" thickTop="1" thickBot="1" x14ac:dyDescent="0.3">
      <c r="A6" s="494"/>
      <c r="B6" s="1266"/>
      <c r="C6" s="247"/>
      <c r="D6" s="245"/>
      <c r="E6" s="447"/>
      <c r="F6" s="268"/>
      <c r="G6" s="240"/>
      <c r="H6" s="240"/>
      <c r="I6" s="1260" t="s">
        <v>3</v>
      </c>
      <c r="J6" s="1253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61"/>
      <c r="J7" s="1267"/>
    </row>
    <row r="8" spans="1:10" ht="15.75" thickTop="1" x14ac:dyDescent="0.25">
      <c r="A8" s="80" t="s">
        <v>32</v>
      </c>
      <c r="B8" s="614">
        <f>F4+F5+F6-C8</f>
        <v>0</v>
      </c>
      <c r="C8" s="15"/>
      <c r="D8" s="186">
        <v>0</v>
      </c>
      <c r="E8" s="325"/>
      <c r="F8" s="69">
        <f t="shared" ref="F8:F33" si="0">D8</f>
        <v>0</v>
      </c>
      <c r="G8" s="265"/>
      <c r="H8" s="266"/>
      <c r="I8" s="259">
        <f>E5+E4-F8+E6</f>
        <v>0</v>
      </c>
      <c r="J8" s="424">
        <f>F4+F5+F6-C8</f>
        <v>0</v>
      </c>
    </row>
    <row r="9" spans="1:10" x14ac:dyDescent="0.25">
      <c r="A9" s="207"/>
      <c r="B9" s="614">
        <f>B8-C9</f>
        <v>0</v>
      </c>
      <c r="C9" s="15"/>
      <c r="D9" s="186">
        <v>0</v>
      </c>
      <c r="E9" s="325"/>
      <c r="F9" s="264">
        <f t="shared" si="0"/>
        <v>0</v>
      </c>
      <c r="G9" s="265"/>
      <c r="H9" s="266"/>
      <c r="I9" s="259">
        <f>I8-F9</f>
        <v>0</v>
      </c>
      <c r="J9" s="309">
        <f>J8-C9</f>
        <v>0</v>
      </c>
    </row>
    <row r="10" spans="1:10" x14ac:dyDescent="0.25">
      <c r="A10" s="195"/>
      <c r="B10" s="614">
        <f t="shared" ref="B10:B32" si="1">B9-C10</f>
        <v>0</v>
      </c>
      <c r="C10" s="15"/>
      <c r="D10" s="186">
        <v>0</v>
      </c>
      <c r="E10" s="325"/>
      <c r="F10" s="264">
        <f t="shared" si="0"/>
        <v>0</v>
      </c>
      <c r="G10" s="265"/>
      <c r="H10" s="266"/>
      <c r="I10" s="259">
        <f t="shared" ref="I10:I31" si="2">I9-F10</f>
        <v>0</v>
      </c>
      <c r="J10" s="309">
        <f t="shared" ref="J10:J31" si="3">J9-C10</f>
        <v>0</v>
      </c>
    </row>
    <row r="11" spans="1:10" x14ac:dyDescent="0.25">
      <c r="A11" s="82" t="s">
        <v>33</v>
      </c>
      <c r="B11" s="614">
        <f t="shared" si="1"/>
        <v>0</v>
      </c>
      <c r="C11" s="15"/>
      <c r="D11" s="186">
        <v>0</v>
      </c>
      <c r="E11" s="325"/>
      <c r="F11" s="264">
        <f t="shared" si="0"/>
        <v>0</v>
      </c>
      <c r="G11" s="265"/>
      <c r="H11" s="266"/>
      <c r="I11" s="259">
        <f t="shared" si="2"/>
        <v>0</v>
      </c>
      <c r="J11" s="309">
        <f t="shared" si="3"/>
        <v>0</v>
      </c>
    </row>
    <row r="12" spans="1:10" x14ac:dyDescent="0.25">
      <c r="A12" s="73"/>
      <c r="B12" s="614">
        <f t="shared" si="1"/>
        <v>0</v>
      </c>
      <c r="C12" s="15"/>
      <c r="D12" s="186">
        <v>0</v>
      </c>
      <c r="E12" s="325"/>
      <c r="F12" s="264">
        <f t="shared" si="0"/>
        <v>0</v>
      </c>
      <c r="G12" s="265"/>
      <c r="H12" s="266"/>
      <c r="I12" s="259">
        <f t="shared" si="2"/>
        <v>0</v>
      </c>
      <c r="J12" s="309">
        <f t="shared" si="3"/>
        <v>0</v>
      </c>
    </row>
    <row r="13" spans="1:10" x14ac:dyDescent="0.25">
      <c r="A13" s="73"/>
      <c r="B13" s="614">
        <f t="shared" si="1"/>
        <v>0</v>
      </c>
      <c r="C13" s="15"/>
      <c r="D13" s="186">
        <v>0</v>
      </c>
      <c r="E13" s="324"/>
      <c r="F13" s="264">
        <f t="shared" si="0"/>
        <v>0</v>
      </c>
      <c r="G13" s="265"/>
      <c r="H13" s="266"/>
      <c r="I13" s="259">
        <f t="shared" si="2"/>
        <v>0</v>
      </c>
      <c r="J13" s="309">
        <f t="shared" si="3"/>
        <v>0</v>
      </c>
    </row>
    <row r="14" spans="1:10" x14ac:dyDescent="0.25">
      <c r="B14" s="614">
        <f t="shared" si="1"/>
        <v>0</v>
      </c>
      <c r="C14" s="15"/>
      <c r="D14" s="186">
        <v>0</v>
      </c>
      <c r="E14" s="324"/>
      <c r="F14" s="69">
        <f t="shared" si="0"/>
        <v>0</v>
      </c>
      <c r="G14" s="70"/>
      <c r="H14" s="71"/>
      <c r="I14" s="259">
        <f t="shared" si="2"/>
        <v>0</v>
      </c>
      <c r="J14" s="309">
        <f t="shared" si="3"/>
        <v>0</v>
      </c>
    </row>
    <row r="15" spans="1:10" x14ac:dyDescent="0.25">
      <c r="B15" s="614">
        <f t="shared" si="1"/>
        <v>0</v>
      </c>
      <c r="C15" s="15"/>
      <c r="D15" s="186">
        <v>0</v>
      </c>
      <c r="E15" s="324"/>
      <c r="F15" s="69">
        <f t="shared" si="0"/>
        <v>0</v>
      </c>
      <c r="G15" s="70"/>
      <c r="H15" s="71"/>
      <c r="I15" s="259">
        <f t="shared" si="2"/>
        <v>0</v>
      </c>
      <c r="J15" s="309">
        <f t="shared" si="3"/>
        <v>0</v>
      </c>
    </row>
    <row r="16" spans="1:10" x14ac:dyDescent="0.25">
      <c r="A16" s="187"/>
      <c r="B16" s="614">
        <f t="shared" si="1"/>
        <v>0</v>
      </c>
      <c r="C16" s="15"/>
      <c r="D16" s="186">
        <v>0</v>
      </c>
      <c r="E16" s="336"/>
      <c r="F16" s="69">
        <f t="shared" si="0"/>
        <v>0</v>
      </c>
      <c r="G16" s="265"/>
      <c r="H16" s="266"/>
      <c r="I16" s="259">
        <f t="shared" si="2"/>
        <v>0</v>
      </c>
      <c r="J16" s="309">
        <f t="shared" si="3"/>
        <v>0</v>
      </c>
    </row>
    <row r="17" spans="1:10" x14ac:dyDescent="0.25">
      <c r="A17" s="187"/>
      <c r="B17" s="614">
        <f t="shared" si="1"/>
        <v>0</v>
      </c>
      <c r="C17" s="15"/>
      <c r="D17" s="186">
        <v>0</v>
      </c>
      <c r="E17" s="324"/>
      <c r="F17" s="69">
        <f t="shared" si="0"/>
        <v>0</v>
      </c>
      <c r="G17" s="265"/>
      <c r="H17" s="266"/>
      <c r="I17" s="259">
        <f t="shared" si="2"/>
        <v>0</v>
      </c>
      <c r="J17" s="309">
        <f t="shared" si="3"/>
        <v>0</v>
      </c>
    </row>
    <row r="18" spans="1:10" x14ac:dyDescent="0.25">
      <c r="A18" s="187"/>
      <c r="B18" s="614">
        <f t="shared" si="1"/>
        <v>0</v>
      </c>
      <c r="C18" s="263"/>
      <c r="D18" s="186">
        <v>0</v>
      </c>
      <c r="E18" s="328"/>
      <c r="F18" s="69">
        <f t="shared" si="0"/>
        <v>0</v>
      </c>
      <c r="G18" s="265"/>
      <c r="H18" s="266"/>
      <c r="I18" s="259">
        <f t="shared" si="2"/>
        <v>0</v>
      </c>
      <c r="J18" s="309">
        <f t="shared" si="3"/>
        <v>0</v>
      </c>
    </row>
    <row r="19" spans="1:10" x14ac:dyDescent="0.25">
      <c r="A19" s="187"/>
      <c r="B19" s="614">
        <f t="shared" si="1"/>
        <v>0</v>
      </c>
      <c r="C19" s="15"/>
      <c r="D19" s="186">
        <v>0</v>
      </c>
      <c r="E19" s="324"/>
      <c r="F19" s="69">
        <f t="shared" si="0"/>
        <v>0</v>
      </c>
      <c r="G19" s="265"/>
      <c r="H19" s="266"/>
      <c r="I19" s="259">
        <f t="shared" si="2"/>
        <v>0</v>
      </c>
      <c r="J19" s="309">
        <f t="shared" si="3"/>
        <v>0</v>
      </c>
    </row>
    <row r="20" spans="1:10" x14ac:dyDescent="0.25">
      <c r="A20" s="187"/>
      <c r="B20" s="614">
        <f t="shared" si="1"/>
        <v>0</v>
      </c>
      <c r="C20" s="15"/>
      <c r="D20" s="186">
        <v>0</v>
      </c>
      <c r="E20" s="324"/>
      <c r="F20" s="69">
        <f t="shared" si="0"/>
        <v>0</v>
      </c>
      <c r="G20" s="265"/>
      <c r="H20" s="266"/>
      <c r="I20" s="259">
        <f t="shared" si="2"/>
        <v>0</v>
      </c>
      <c r="J20" s="309">
        <f t="shared" si="3"/>
        <v>0</v>
      </c>
    </row>
    <row r="21" spans="1:10" x14ac:dyDescent="0.25">
      <c r="A21" s="2"/>
      <c r="B21" s="614">
        <f t="shared" si="1"/>
        <v>0</v>
      </c>
      <c r="C21" s="15"/>
      <c r="D21" s="186">
        <v>0</v>
      </c>
      <c r="E21" s="324"/>
      <c r="F21" s="69">
        <f t="shared" si="0"/>
        <v>0</v>
      </c>
      <c r="G21" s="265"/>
      <c r="H21" s="266"/>
      <c r="I21" s="259">
        <f t="shared" si="2"/>
        <v>0</v>
      </c>
      <c r="J21" s="309">
        <f t="shared" si="3"/>
        <v>0</v>
      </c>
    </row>
    <row r="22" spans="1:10" x14ac:dyDescent="0.25">
      <c r="A22" s="2"/>
      <c r="B22" s="614">
        <f t="shared" si="1"/>
        <v>0</v>
      </c>
      <c r="C22" s="15"/>
      <c r="D22" s="186">
        <v>0</v>
      </c>
      <c r="E22" s="324"/>
      <c r="F22" s="69">
        <f t="shared" si="0"/>
        <v>0</v>
      </c>
      <c r="G22" s="265"/>
      <c r="H22" s="266"/>
      <c r="I22" s="259">
        <f t="shared" si="2"/>
        <v>0</v>
      </c>
      <c r="J22" s="309">
        <f t="shared" si="3"/>
        <v>0</v>
      </c>
    </row>
    <row r="23" spans="1:10" x14ac:dyDescent="0.25">
      <c r="A23" s="2"/>
      <c r="B23" s="614">
        <f t="shared" si="1"/>
        <v>0</v>
      </c>
      <c r="C23" s="15"/>
      <c r="D23" s="186">
        <v>0</v>
      </c>
      <c r="E23" s="324"/>
      <c r="F23" s="69">
        <f t="shared" si="0"/>
        <v>0</v>
      </c>
      <c r="G23" s="265"/>
      <c r="H23" s="266"/>
      <c r="I23" s="259">
        <f t="shared" si="2"/>
        <v>0</v>
      </c>
      <c r="J23" s="309">
        <f t="shared" si="3"/>
        <v>0</v>
      </c>
    </row>
    <row r="24" spans="1:10" x14ac:dyDescent="0.25">
      <c r="A24" s="2"/>
      <c r="B24" s="614">
        <f t="shared" si="1"/>
        <v>0</v>
      </c>
      <c r="C24" s="15"/>
      <c r="D24" s="186">
        <v>0</v>
      </c>
      <c r="E24" s="325"/>
      <c r="F24" s="69">
        <f t="shared" si="0"/>
        <v>0</v>
      </c>
      <c r="G24" s="265"/>
      <c r="H24" s="266"/>
      <c r="I24" s="259">
        <f t="shared" si="2"/>
        <v>0</v>
      </c>
      <c r="J24" s="309">
        <f t="shared" si="3"/>
        <v>0</v>
      </c>
    </row>
    <row r="25" spans="1:10" x14ac:dyDescent="0.25">
      <c r="A25" s="2"/>
      <c r="B25" s="614">
        <f t="shared" si="1"/>
        <v>0</v>
      </c>
      <c r="C25" s="15"/>
      <c r="D25" s="186">
        <v>0</v>
      </c>
      <c r="E25" s="325"/>
      <c r="F25" s="69">
        <f t="shared" si="0"/>
        <v>0</v>
      </c>
      <c r="G25" s="70"/>
      <c r="H25" s="71"/>
      <c r="I25" s="259">
        <f t="shared" si="2"/>
        <v>0</v>
      </c>
      <c r="J25" s="309">
        <f t="shared" si="3"/>
        <v>0</v>
      </c>
    </row>
    <row r="26" spans="1:10" x14ac:dyDescent="0.25">
      <c r="A26" s="2"/>
      <c r="B26" s="614">
        <f t="shared" si="1"/>
        <v>0</v>
      </c>
      <c r="C26" s="15"/>
      <c r="D26" s="186">
        <f t="shared" ref="D26:D31" si="4">C26*B26</f>
        <v>0</v>
      </c>
      <c r="E26" s="325"/>
      <c r="F26" s="69">
        <f t="shared" si="0"/>
        <v>0</v>
      </c>
      <c r="G26" s="70"/>
      <c r="H26" s="71"/>
      <c r="I26" s="259">
        <f t="shared" si="2"/>
        <v>0</v>
      </c>
      <c r="J26" s="309">
        <f t="shared" si="3"/>
        <v>0</v>
      </c>
    </row>
    <row r="27" spans="1:10" x14ac:dyDescent="0.25">
      <c r="A27" s="2"/>
      <c r="B27" s="614">
        <f t="shared" si="1"/>
        <v>0</v>
      </c>
      <c r="C27" s="15"/>
      <c r="D27" s="186">
        <f t="shared" si="4"/>
        <v>0</v>
      </c>
      <c r="E27" s="325"/>
      <c r="F27" s="69">
        <f t="shared" si="0"/>
        <v>0</v>
      </c>
      <c r="G27" s="70"/>
      <c r="H27" s="71"/>
      <c r="I27" s="259">
        <f t="shared" si="2"/>
        <v>0</v>
      </c>
      <c r="J27" s="309">
        <f t="shared" si="3"/>
        <v>0</v>
      </c>
    </row>
    <row r="28" spans="1:10" x14ac:dyDescent="0.25">
      <c r="A28" s="2"/>
      <c r="B28" s="614">
        <f t="shared" si="1"/>
        <v>0</v>
      </c>
      <c r="C28" s="15"/>
      <c r="D28" s="186">
        <f t="shared" si="4"/>
        <v>0</v>
      </c>
      <c r="E28" s="325"/>
      <c r="F28" s="69">
        <f t="shared" si="0"/>
        <v>0</v>
      </c>
      <c r="G28" s="70"/>
      <c r="H28" s="71"/>
      <c r="I28" s="259">
        <f t="shared" si="2"/>
        <v>0</v>
      </c>
      <c r="J28" s="309">
        <f t="shared" si="3"/>
        <v>0</v>
      </c>
    </row>
    <row r="29" spans="1:10" x14ac:dyDescent="0.25">
      <c r="A29" s="2"/>
      <c r="B29" s="614">
        <f t="shared" si="1"/>
        <v>0</v>
      </c>
      <c r="C29" s="15"/>
      <c r="D29" s="186">
        <f t="shared" si="4"/>
        <v>0</v>
      </c>
      <c r="E29" s="325"/>
      <c r="F29" s="69">
        <f t="shared" si="0"/>
        <v>0</v>
      </c>
      <c r="G29" s="70"/>
      <c r="H29" s="71"/>
      <c r="I29" s="259">
        <f t="shared" si="2"/>
        <v>0</v>
      </c>
      <c r="J29" s="309">
        <f t="shared" si="3"/>
        <v>0</v>
      </c>
    </row>
    <row r="30" spans="1:10" x14ac:dyDescent="0.25">
      <c r="A30" s="2"/>
      <c r="B30" s="614">
        <f t="shared" si="1"/>
        <v>0</v>
      </c>
      <c r="C30" s="15"/>
      <c r="D30" s="186">
        <f t="shared" si="4"/>
        <v>0</v>
      </c>
      <c r="E30" s="325"/>
      <c r="F30" s="69">
        <f t="shared" si="0"/>
        <v>0</v>
      </c>
      <c r="G30" s="70"/>
      <c r="H30" s="71"/>
      <c r="I30" s="259">
        <f t="shared" si="2"/>
        <v>0</v>
      </c>
      <c r="J30" s="309">
        <f t="shared" si="3"/>
        <v>0</v>
      </c>
    </row>
    <row r="31" spans="1:10" x14ac:dyDescent="0.25">
      <c r="A31" s="2"/>
      <c r="B31" s="614">
        <f t="shared" si="1"/>
        <v>0</v>
      </c>
      <c r="C31" s="15"/>
      <c r="D31" s="186">
        <f t="shared" si="4"/>
        <v>0</v>
      </c>
      <c r="E31" s="325"/>
      <c r="F31" s="69">
        <f t="shared" si="0"/>
        <v>0</v>
      </c>
      <c r="G31" s="70"/>
      <c r="H31" s="71"/>
      <c r="I31" s="259">
        <f t="shared" si="2"/>
        <v>0</v>
      </c>
      <c r="J31" s="309">
        <f t="shared" si="3"/>
        <v>0</v>
      </c>
    </row>
    <row r="32" spans="1:10" ht="15.75" thickBot="1" x14ac:dyDescent="0.3">
      <c r="A32" s="4"/>
      <c r="B32" s="776">
        <f t="shared" si="1"/>
        <v>0</v>
      </c>
      <c r="C32" s="37"/>
      <c r="D32" s="213">
        <f>C32*B22</f>
        <v>0</v>
      </c>
      <c r="E32" s="333"/>
      <c r="F32" s="155">
        <f t="shared" si="0"/>
        <v>0</v>
      </c>
      <c r="G32" s="215"/>
      <c r="H32" s="206"/>
    </row>
    <row r="33" spans="1:9" ht="16.5" thickTop="1" thickBot="1" x14ac:dyDescent="0.3">
      <c r="B33" s="614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14"/>
      <c r="D34" s="113" t="s">
        <v>4</v>
      </c>
      <c r="E34" s="68">
        <f>F4+F5+F6</f>
        <v>0</v>
      </c>
    </row>
    <row r="35" spans="1:9" ht="15.75" thickBot="1" x14ac:dyDescent="0.3">
      <c r="A35" s="119"/>
    </row>
    <row r="36" spans="1:9" ht="16.5" thickTop="1" thickBot="1" x14ac:dyDescent="0.3">
      <c r="A36" s="47"/>
      <c r="C36" s="1229" t="s">
        <v>11</v>
      </c>
      <c r="D36" s="1230"/>
      <c r="E36" s="146">
        <f>E5+E4+E6-F33</f>
        <v>0</v>
      </c>
    </row>
    <row r="40" spans="1:9" ht="16.5" x14ac:dyDescent="0.25">
      <c r="B40" s="445"/>
      <c r="C40" s="446"/>
      <c r="D40" s="447">
        <v>2034.8</v>
      </c>
      <c r="E40" s="448">
        <v>43899</v>
      </c>
      <c r="F40" s="449">
        <v>26330</v>
      </c>
      <c r="G40" s="447">
        <v>2034.8</v>
      </c>
      <c r="H40" s="450">
        <f t="shared" ref="H40" si="5">G40-D40</f>
        <v>0</v>
      </c>
      <c r="I40" s="451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4"/>
  <sheetViews>
    <sheetView topLeftCell="L1" workbookViewId="0">
      <selection activeCell="O6" sqref="O6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217" t="s">
        <v>230</v>
      </c>
      <c r="B1" s="1217"/>
      <c r="C1" s="1217"/>
      <c r="D1" s="1217"/>
      <c r="E1" s="1217"/>
      <c r="F1" s="1217"/>
      <c r="G1" s="1217"/>
      <c r="H1" s="356">
        <v>1</v>
      </c>
      <c r="I1" s="571"/>
      <c r="L1" s="1191" t="s">
        <v>240</v>
      </c>
      <c r="M1" s="1191"/>
      <c r="N1" s="1191"/>
      <c r="O1" s="1191"/>
      <c r="P1" s="1191"/>
      <c r="Q1" s="1191"/>
      <c r="R1" s="1191"/>
      <c r="S1" s="356">
        <v>2</v>
      </c>
      <c r="T1" s="571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569"/>
      <c r="L2" s="75"/>
      <c r="M2" s="75"/>
      <c r="N2" s="75"/>
      <c r="O2" s="75"/>
      <c r="P2" s="75"/>
      <c r="Q2" s="75"/>
      <c r="R2" s="75"/>
      <c r="S2" s="75"/>
      <c r="T2" s="569"/>
    </row>
    <row r="3" spans="1:21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66" t="s">
        <v>20</v>
      </c>
      <c r="H3" s="365" t="s">
        <v>6</v>
      </c>
      <c r="I3" s="572"/>
      <c r="L3" s="72" t="s">
        <v>0</v>
      </c>
      <c r="M3" s="72" t="s">
        <v>1</v>
      </c>
      <c r="N3" s="72"/>
      <c r="O3" s="72" t="s">
        <v>2</v>
      </c>
      <c r="P3" s="72" t="s">
        <v>3</v>
      </c>
      <c r="Q3" s="72" t="s">
        <v>4</v>
      </c>
      <c r="R3" s="366" t="s">
        <v>20</v>
      </c>
      <c r="S3" s="365" t="s">
        <v>6</v>
      </c>
      <c r="T3" s="572"/>
    </row>
    <row r="4" spans="1:21" ht="15.75" customHeight="1" thickTop="1" x14ac:dyDescent="0.25">
      <c r="A4" s="75"/>
      <c r="B4" s="75"/>
      <c r="C4" s="566"/>
      <c r="D4" s="248"/>
      <c r="E4" s="246"/>
      <c r="F4" s="243"/>
      <c r="G4" s="803"/>
      <c r="H4" s="153"/>
      <c r="I4" s="576"/>
      <c r="L4" s="75"/>
      <c r="M4" s="75"/>
      <c r="N4" s="566"/>
      <c r="O4" s="248"/>
      <c r="P4" s="246"/>
      <c r="Q4" s="243"/>
      <c r="R4" s="1114"/>
      <c r="S4" s="153"/>
      <c r="T4" s="576"/>
    </row>
    <row r="5" spans="1:21" ht="15" customHeight="1" x14ac:dyDescent="0.25">
      <c r="A5" s="938"/>
      <c r="B5" s="1268" t="s">
        <v>85</v>
      </c>
      <c r="C5" s="322">
        <v>68</v>
      </c>
      <c r="D5" s="248">
        <v>44650</v>
      </c>
      <c r="E5" s="242">
        <v>504.88</v>
      </c>
      <c r="F5" s="243">
        <v>17</v>
      </c>
      <c r="G5" s="241">
        <f>F39</f>
        <v>2497.8999999999996</v>
      </c>
      <c r="H5" s="138">
        <f>E5-G5</f>
        <v>-1993.0199999999995</v>
      </c>
      <c r="I5" s="573"/>
      <c r="L5" s="1110"/>
      <c r="M5" s="1268" t="s">
        <v>85</v>
      </c>
      <c r="N5" s="322">
        <v>69</v>
      </c>
      <c r="O5" s="248">
        <v>44707</v>
      </c>
      <c r="P5" s="242">
        <v>1001.73</v>
      </c>
      <c r="Q5" s="243">
        <v>36</v>
      </c>
      <c r="R5" s="241">
        <f>Q39</f>
        <v>0</v>
      </c>
      <c r="S5" s="138">
        <f>P5-R5</f>
        <v>1001.73</v>
      </c>
      <c r="T5" s="573"/>
    </row>
    <row r="6" spans="1:21" ht="15.75" thickBot="1" x14ac:dyDescent="0.3">
      <c r="A6" s="250" t="s">
        <v>52</v>
      </c>
      <c r="B6" s="1269"/>
      <c r="C6" s="569">
        <v>68</v>
      </c>
      <c r="D6" s="248">
        <v>44679</v>
      </c>
      <c r="E6" s="75">
        <v>2405.6799999999998</v>
      </c>
      <c r="F6" s="73">
        <v>87</v>
      </c>
      <c r="G6" s="243"/>
      <c r="H6" s="242"/>
      <c r="I6" s="322"/>
      <c r="L6" s="250" t="s">
        <v>52</v>
      </c>
      <c r="M6" s="1269"/>
      <c r="N6" s="569"/>
      <c r="O6" s="248"/>
      <c r="P6" s="75"/>
      <c r="Q6" s="73"/>
      <c r="R6" s="243"/>
      <c r="S6" s="242"/>
      <c r="T6" s="322"/>
    </row>
    <row r="7" spans="1:21" ht="14.25" customHeight="1" thickBot="1" x14ac:dyDescent="0.3">
      <c r="A7" s="250"/>
      <c r="B7" s="707"/>
      <c r="C7" s="569">
        <v>65</v>
      </c>
      <c r="D7" s="248">
        <v>44680</v>
      </c>
      <c r="E7" s="75">
        <v>1003.67</v>
      </c>
      <c r="F7" s="73">
        <v>37</v>
      </c>
      <c r="G7" s="243"/>
      <c r="H7" s="242"/>
      <c r="I7" s="322"/>
      <c r="L7" s="250"/>
      <c r="M7" s="707"/>
      <c r="N7" s="569"/>
      <c r="O7" s="248"/>
      <c r="P7" s="75"/>
      <c r="Q7" s="73"/>
      <c r="R7" s="243"/>
      <c r="S7" s="242"/>
      <c r="T7" s="322"/>
    </row>
    <row r="8" spans="1:21" ht="16.5" thickTop="1" thickBot="1" x14ac:dyDescent="0.3">
      <c r="A8" s="242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 t="s">
        <v>15</v>
      </c>
      <c r="H8" s="373"/>
      <c r="I8" s="574"/>
      <c r="L8" s="242"/>
      <c r="M8" s="374" t="s">
        <v>7</v>
      </c>
      <c r="N8" s="369" t="s">
        <v>8</v>
      </c>
      <c r="O8" s="370" t="s">
        <v>17</v>
      </c>
      <c r="P8" s="371" t="s">
        <v>2</v>
      </c>
      <c r="Q8" s="364" t="s">
        <v>18</v>
      </c>
      <c r="R8" s="372" t="s">
        <v>15</v>
      </c>
      <c r="S8" s="373"/>
      <c r="T8" s="574"/>
    </row>
    <row r="9" spans="1:21" ht="15.75" thickTop="1" x14ac:dyDescent="0.25">
      <c r="A9" s="927"/>
      <c r="B9" s="195">
        <f>F4+F5+F6-C9+F7</f>
        <v>139</v>
      </c>
      <c r="C9" s="15">
        <v>2</v>
      </c>
      <c r="D9" s="69">
        <v>59.71</v>
      </c>
      <c r="E9" s="336">
        <v>44676</v>
      </c>
      <c r="F9" s="279">
        <f>D9</f>
        <v>59.71</v>
      </c>
      <c r="G9" s="70" t="s">
        <v>190</v>
      </c>
      <c r="H9" s="71">
        <v>70</v>
      </c>
      <c r="I9" s="569">
        <f>E4+E5+E6-F9+E7</f>
        <v>3854.52</v>
      </c>
      <c r="J9" s="60">
        <f>H9*F9</f>
        <v>4179.7</v>
      </c>
      <c r="L9" s="927"/>
      <c r="M9" s="195">
        <f>Q4+Q5+Q6-N9+Q7</f>
        <v>36</v>
      </c>
      <c r="N9" s="15"/>
      <c r="O9" s="69"/>
      <c r="P9" s="336"/>
      <c r="Q9" s="279">
        <f>O9</f>
        <v>0</v>
      </c>
      <c r="R9" s="70"/>
      <c r="S9" s="71"/>
      <c r="T9" s="569">
        <f>P4+P5+P6-Q9+P7</f>
        <v>1001.73</v>
      </c>
      <c r="U9" s="60">
        <f>S9*Q9</f>
        <v>0</v>
      </c>
    </row>
    <row r="10" spans="1:21" x14ac:dyDescent="0.25">
      <c r="A10" s="242"/>
      <c r="B10" s="195">
        <f>B9-C10</f>
        <v>135</v>
      </c>
      <c r="C10" s="15">
        <v>4</v>
      </c>
      <c r="D10" s="69">
        <v>117.35</v>
      </c>
      <c r="E10" s="495">
        <v>44676</v>
      </c>
      <c r="F10" s="279">
        <f t="shared" ref="F10:F38" si="0">D10</f>
        <v>117.35</v>
      </c>
      <c r="G10" s="265" t="s">
        <v>185</v>
      </c>
      <c r="H10" s="266">
        <v>70</v>
      </c>
      <c r="I10" s="322">
        <f>I9-F10</f>
        <v>3737.17</v>
      </c>
      <c r="J10" s="60">
        <f t="shared" ref="J10:J37" si="1">H10*F10</f>
        <v>8214.5</v>
      </c>
      <c r="L10" s="242"/>
      <c r="M10" s="195">
        <f>M9-N10</f>
        <v>36</v>
      </c>
      <c r="N10" s="15"/>
      <c r="O10" s="69"/>
      <c r="P10" s="495"/>
      <c r="Q10" s="279">
        <f t="shared" ref="Q10:Q38" si="2">O10</f>
        <v>0</v>
      </c>
      <c r="R10" s="265"/>
      <c r="S10" s="266"/>
      <c r="T10" s="322">
        <f>T9-Q10</f>
        <v>1001.73</v>
      </c>
      <c r="U10" s="60">
        <f t="shared" ref="U10:U37" si="3">S10*Q10</f>
        <v>0</v>
      </c>
    </row>
    <row r="11" spans="1:21" x14ac:dyDescent="0.25">
      <c r="A11" s="242"/>
      <c r="B11" s="195">
        <f t="shared" ref="B11:B38" si="4">B10-C11</f>
        <v>124</v>
      </c>
      <c r="C11" s="15">
        <v>11</v>
      </c>
      <c r="D11" s="69">
        <v>327.82</v>
      </c>
      <c r="E11" s="495">
        <v>44677</v>
      </c>
      <c r="F11" s="279">
        <f t="shared" si="0"/>
        <v>327.82</v>
      </c>
      <c r="G11" s="265" t="s">
        <v>198</v>
      </c>
      <c r="H11" s="266">
        <v>70</v>
      </c>
      <c r="I11" s="322">
        <f t="shared" ref="I11:I38" si="5">I10-F11</f>
        <v>3409.35</v>
      </c>
      <c r="J11" s="60">
        <f t="shared" si="1"/>
        <v>22947.399999999998</v>
      </c>
      <c r="L11" s="242"/>
      <c r="M11" s="195">
        <f t="shared" ref="M11:M36" si="6">M10-N11</f>
        <v>36</v>
      </c>
      <c r="N11" s="15"/>
      <c r="O11" s="69"/>
      <c r="P11" s="495"/>
      <c r="Q11" s="279">
        <f t="shared" si="2"/>
        <v>0</v>
      </c>
      <c r="R11" s="265"/>
      <c r="S11" s="266"/>
      <c r="T11" s="322">
        <f t="shared" ref="T11:T38" si="7">T10-Q11</f>
        <v>1001.73</v>
      </c>
      <c r="U11" s="60">
        <f t="shared" si="3"/>
        <v>0</v>
      </c>
    </row>
    <row r="12" spans="1:21" x14ac:dyDescent="0.25">
      <c r="A12" s="927"/>
      <c r="B12" s="195">
        <f t="shared" si="4"/>
        <v>123</v>
      </c>
      <c r="C12" s="15">
        <v>1</v>
      </c>
      <c r="D12" s="1033">
        <v>29.64</v>
      </c>
      <c r="E12" s="1065">
        <v>44686</v>
      </c>
      <c r="F12" s="1066">
        <f t="shared" si="0"/>
        <v>29.64</v>
      </c>
      <c r="G12" s="1037" t="s">
        <v>385</v>
      </c>
      <c r="H12" s="1038">
        <v>70</v>
      </c>
      <c r="I12" s="322">
        <f t="shared" si="5"/>
        <v>3379.71</v>
      </c>
      <c r="J12" s="60">
        <f t="shared" si="1"/>
        <v>2074.8000000000002</v>
      </c>
      <c r="L12" s="927"/>
      <c r="M12" s="195">
        <f t="shared" si="6"/>
        <v>36</v>
      </c>
      <c r="N12" s="15"/>
      <c r="O12" s="69"/>
      <c r="P12" s="495"/>
      <c r="Q12" s="279">
        <f t="shared" si="2"/>
        <v>0</v>
      </c>
      <c r="R12" s="265"/>
      <c r="S12" s="266"/>
      <c r="T12" s="322">
        <f t="shared" si="7"/>
        <v>1001.73</v>
      </c>
      <c r="U12" s="60">
        <f t="shared" si="3"/>
        <v>0</v>
      </c>
    </row>
    <row r="13" spans="1:21" x14ac:dyDescent="0.25">
      <c r="A13" s="242"/>
      <c r="B13" s="195">
        <f t="shared" si="4"/>
        <v>119</v>
      </c>
      <c r="C13" s="15">
        <v>4</v>
      </c>
      <c r="D13" s="1033">
        <v>113.83</v>
      </c>
      <c r="E13" s="1065">
        <v>44686</v>
      </c>
      <c r="F13" s="1066">
        <f t="shared" si="0"/>
        <v>113.83</v>
      </c>
      <c r="G13" s="1037" t="s">
        <v>396</v>
      </c>
      <c r="H13" s="1038">
        <v>70</v>
      </c>
      <c r="I13" s="322">
        <f t="shared" si="5"/>
        <v>3265.88</v>
      </c>
      <c r="J13" s="301">
        <f t="shared" si="1"/>
        <v>7968.0999999999995</v>
      </c>
      <c r="L13" s="242"/>
      <c r="M13" s="195">
        <f t="shared" si="6"/>
        <v>36</v>
      </c>
      <c r="N13" s="15"/>
      <c r="O13" s="69"/>
      <c r="P13" s="495"/>
      <c r="Q13" s="279">
        <f t="shared" si="2"/>
        <v>0</v>
      </c>
      <c r="R13" s="265"/>
      <c r="S13" s="266"/>
      <c r="T13" s="322">
        <f t="shared" si="7"/>
        <v>1001.73</v>
      </c>
      <c r="U13" s="301">
        <f t="shared" si="3"/>
        <v>0</v>
      </c>
    </row>
    <row r="14" spans="1:21" x14ac:dyDescent="0.25">
      <c r="A14" s="242"/>
      <c r="B14" s="195">
        <f t="shared" si="4"/>
        <v>111</v>
      </c>
      <c r="C14" s="15">
        <v>8</v>
      </c>
      <c r="D14" s="1033">
        <v>204.56</v>
      </c>
      <c r="E14" s="1065">
        <v>44687</v>
      </c>
      <c r="F14" s="1066">
        <f t="shared" si="0"/>
        <v>204.56</v>
      </c>
      <c r="G14" s="1037" t="s">
        <v>394</v>
      </c>
      <c r="H14" s="1038">
        <v>70</v>
      </c>
      <c r="I14" s="322">
        <f t="shared" si="5"/>
        <v>3061.32</v>
      </c>
      <c r="J14" s="301">
        <f t="shared" si="1"/>
        <v>14319.2</v>
      </c>
      <c r="L14" s="242"/>
      <c r="M14" s="195">
        <f t="shared" si="6"/>
        <v>36</v>
      </c>
      <c r="N14" s="15"/>
      <c r="O14" s="69"/>
      <c r="P14" s="495"/>
      <c r="Q14" s="279">
        <f t="shared" si="2"/>
        <v>0</v>
      </c>
      <c r="R14" s="265"/>
      <c r="S14" s="266"/>
      <c r="T14" s="322">
        <f t="shared" si="7"/>
        <v>1001.73</v>
      </c>
      <c r="U14" s="301">
        <f t="shared" si="3"/>
        <v>0</v>
      </c>
    </row>
    <row r="15" spans="1:21" x14ac:dyDescent="0.25">
      <c r="A15" s="242"/>
      <c r="B15" s="195">
        <f t="shared" si="4"/>
        <v>103</v>
      </c>
      <c r="C15" s="15">
        <v>8</v>
      </c>
      <c r="D15" s="1033">
        <v>220.31</v>
      </c>
      <c r="E15" s="1067">
        <v>44688</v>
      </c>
      <c r="F15" s="1066">
        <f t="shared" si="0"/>
        <v>220.31</v>
      </c>
      <c r="G15" s="1037" t="s">
        <v>410</v>
      </c>
      <c r="H15" s="1038">
        <v>70</v>
      </c>
      <c r="I15" s="322">
        <f t="shared" si="5"/>
        <v>2841.01</v>
      </c>
      <c r="J15" s="301">
        <f t="shared" si="1"/>
        <v>15421.7</v>
      </c>
      <c r="L15" s="242"/>
      <c r="M15" s="195">
        <f t="shared" si="6"/>
        <v>36</v>
      </c>
      <c r="N15" s="15"/>
      <c r="O15" s="69"/>
      <c r="P15" s="336"/>
      <c r="Q15" s="279">
        <f t="shared" si="2"/>
        <v>0</v>
      </c>
      <c r="R15" s="265"/>
      <c r="S15" s="266"/>
      <c r="T15" s="322">
        <f t="shared" si="7"/>
        <v>1001.73</v>
      </c>
      <c r="U15" s="301">
        <f t="shared" si="3"/>
        <v>0</v>
      </c>
    </row>
    <row r="16" spans="1:21" x14ac:dyDescent="0.25">
      <c r="A16" s="242"/>
      <c r="B16" s="195">
        <f t="shared" si="4"/>
        <v>99</v>
      </c>
      <c r="C16" s="15">
        <v>4</v>
      </c>
      <c r="D16" s="1033">
        <v>113.24</v>
      </c>
      <c r="E16" s="1067">
        <v>44690</v>
      </c>
      <c r="F16" s="1066">
        <f t="shared" si="0"/>
        <v>113.24</v>
      </c>
      <c r="G16" s="1037" t="s">
        <v>429</v>
      </c>
      <c r="H16" s="1038">
        <v>70</v>
      </c>
      <c r="I16" s="322">
        <f t="shared" si="5"/>
        <v>2727.7700000000004</v>
      </c>
      <c r="J16" s="301">
        <f t="shared" si="1"/>
        <v>7926.7999999999993</v>
      </c>
      <c r="L16" s="242"/>
      <c r="M16" s="195">
        <f t="shared" si="6"/>
        <v>36</v>
      </c>
      <c r="N16" s="15"/>
      <c r="O16" s="69"/>
      <c r="P16" s="336"/>
      <c r="Q16" s="279">
        <f t="shared" si="2"/>
        <v>0</v>
      </c>
      <c r="R16" s="265"/>
      <c r="S16" s="266"/>
      <c r="T16" s="322">
        <f t="shared" si="7"/>
        <v>1001.73</v>
      </c>
      <c r="U16" s="301">
        <f t="shared" si="3"/>
        <v>0</v>
      </c>
    </row>
    <row r="17" spans="1:21" x14ac:dyDescent="0.25">
      <c r="A17" s="242"/>
      <c r="B17" s="195">
        <f t="shared" si="4"/>
        <v>98</v>
      </c>
      <c r="C17" s="15">
        <v>1</v>
      </c>
      <c r="D17" s="1033">
        <v>30.96</v>
      </c>
      <c r="E17" s="1067">
        <v>44692</v>
      </c>
      <c r="F17" s="1066">
        <f t="shared" si="0"/>
        <v>30.96</v>
      </c>
      <c r="G17" s="1037" t="s">
        <v>449</v>
      </c>
      <c r="H17" s="1038">
        <v>70</v>
      </c>
      <c r="I17" s="322">
        <f t="shared" si="5"/>
        <v>2696.8100000000004</v>
      </c>
      <c r="J17" s="301">
        <f t="shared" si="1"/>
        <v>2167.2000000000003</v>
      </c>
      <c r="L17" s="242"/>
      <c r="M17" s="195">
        <f t="shared" si="6"/>
        <v>36</v>
      </c>
      <c r="N17" s="15"/>
      <c r="O17" s="69"/>
      <c r="P17" s="336"/>
      <c r="Q17" s="279">
        <f t="shared" si="2"/>
        <v>0</v>
      </c>
      <c r="R17" s="265"/>
      <c r="S17" s="266"/>
      <c r="T17" s="322">
        <f t="shared" si="7"/>
        <v>1001.73</v>
      </c>
      <c r="U17" s="301">
        <f t="shared" si="3"/>
        <v>0</v>
      </c>
    </row>
    <row r="18" spans="1:21" x14ac:dyDescent="0.25">
      <c r="A18" s="242"/>
      <c r="B18" s="195">
        <f t="shared" si="4"/>
        <v>90</v>
      </c>
      <c r="C18" s="15">
        <v>8</v>
      </c>
      <c r="D18" s="1033">
        <v>208.82</v>
      </c>
      <c r="E18" s="1067">
        <v>44692</v>
      </c>
      <c r="F18" s="1066">
        <f t="shared" si="0"/>
        <v>208.82</v>
      </c>
      <c r="G18" s="1037" t="s">
        <v>453</v>
      </c>
      <c r="H18" s="1038">
        <v>70</v>
      </c>
      <c r="I18" s="322">
        <f t="shared" si="5"/>
        <v>2487.9900000000002</v>
      </c>
      <c r="J18" s="301">
        <f t="shared" si="1"/>
        <v>14617.4</v>
      </c>
      <c r="L18" s="242"/>
      <c r="M18" s="195">
        <f t="shared" si="6"/>
        <v>36</v>
      </c>
      <c r="N18" s="15"/>
      <c r="O18" s="69"/>
      <c r="P18" s="336"/>
      <c r="Q18" s="279">
        <f t="shared" si="2"/>
        <v>0</v>
      </c>
      <c r="R18" s="265"/>
      <c r="S18" s="266"/>
      <c r="T18" s="322">
        <f t="shared" si="7"/>
        <v>1001.73</v>
      </c>
      <c r="U18" s="301">
        <f t="shared" si="3"/>
        <v>0</v>
      </c>
    </row>
    <row r="19" spans="1:21" x14ac:dyDescent="0.25">
      <c r="A19" s="242"/>
      <c r="B19" s="195">
        <f t="shared" si="4"/>
        <v>86</v>
      </c>
      <c r="C19" s="15">
        <v>4</v>
      </c>
      <c r="D19" s="1033">
        <v>107.91</v>
      </c>
      <c r="E19" s="1067">
        <v>44694</v>
      </c>
      <c r="F19" s="1066">
        <f t="shared" si="0"/>
        <v>107.91</v>
      </c>
      <c r="G19" s="1037" t="s">
        <v>489</v>
      </c>
      <c r="H19" s="1038">
        <v>70</v>
      </c>
      <c r="I19" s="322">
        <f t="shared" si="5"/>
        <v>2380.0800000000004</v>
      </c>
      <c r="J19" s="301">
        <f t="shared" si="1"/>
        <v>7553.7</v>
      </c>
      <c r="L19" s="242"/>
      <c r="M19" s="195">
        <f t="shared" si="6"/>
        <v>36</v>
      </c>
      <c r="N19" s="15"/>
      <c r="O19" s="69"/>
      <c r="P19" s="336"/>
      <c r="Q19" s="279">
        <f t="shared" si="2"/>
        <v>0</v>
      </c>
      <c r="R19" s="265"/>
      <c r="S19" s="266"/>
      <c r="T19" s="322">
        <f t="shared" si="7"/>
        <v>1001.73</v>
      </c>
      <c r="U19" s="301">
        <f t="shared" si="3"/>
        <v>0</v>
      </c>
    </row>
    <row r="20" spans="1:21" x14ac:dyDescent="0.25">
      <c r="A20" s="75"/>
      <c r="B20" s="195">
        <f t="shared" si="4"/>
        <v>84</v>
      </c>
      <c r="C20" s="15">
        <v>2</v>
      </c>
      <c r="D20" s="1033">
        <v>57.07</v>
      </c>
      <c r="E20" s="1067">
        <v>44695</v>
      </c>
      <c r="F20" s="1066">
        <f t="shared" si="0"/>
        <v>57.07</v>
      </c>
      <c r="G20" s="1037" t="s">
        <v>478</v>
      </c>
      <c r="H20" s="1038">
        <v>70</v>
      </c>
      <c r="I20" s="322">
        <f t="shared" si="5"/>
        <v>2323.0100000000002</v>
      </c>
      <c r="J20" s="301">
        <f t="shared" si="1"/>
        <v>3994.9</v>
      </c>
      <c r="L20" s="75"/>
      <c r="M20" s="195">
        <f t="shared" si="6"/>
        <v>36</v>
      </c>
      <c r="N20" s="15"/>
      <c r="O20" s="69"/>
      <c r="P20" s="336"/>
      <c r="Q20" s="279">
        <f t="shared" si="2"/>
        <v>0</v>
      </c>
      <c r="R20" s="265"/>
      <c r="S20" s="266"/>
      <c r="T20" s="322">
        <f t="shared" si="7"/>
        <v>1001.73</v>
      </c>
      <c r="U20" s="301">
        <f t="shared" si="3"/>
        <v>0</v>
      </c>
    </row>
    <row r="21" spans="1:21" x14ac:dyDescent="0.25">
      <c r="A21" s="75"/>
      <c r="B21" s="195">
        <f t="shared" si="4"/>
        <v>74</v>
      </c>
      <c r="C21" s="15">
        <v>10</v>
      </c>
      <c r="D21" s="1033">
        <v>268.63</v>
      </c>
      <c r="E21" s="1067">
        <v>44695</v>
      </c>
      <c r="F21" s="1066">
        <f t="shared" si="0"/>
        <v>268.63</v>
      </c>
      <c r="G21" s="1034" t="s">
        <v>497</v>
      </c>
      <c r="H21" s="1035">
        <v>70</v>
      </c>
      <c r="I21" s="569">
        <f t="shared" si="5"/>
        <v>2054.38</v>
      </c>
      <c r="J21" s="60">
        <f t="shared" si="1"/>
        <v>18804.099999999999</v>
      </c>
      <c r="L21" s="75"/>
      <c r="M21" s="195">
        <f t="shared" si="6"/>
        <v>36</v>
      </c>
      <c r="N21" s="15"/>
      <c r="O21" s="69"/>
      <c r="P21" s="336"/>
      <c r="Q21" s="279">
        <f t="shared" si="2"/>
        <v>0</v>
      </c>
      <c r="R21" s="70"/>
      <c r="S21" s="71"/>
      <c r="T21" s="569">
        <f t="shared" si="7"/>
        <v>1001.73</v>
      </c>
      <c r="U21" s="60">
        <f t="shared" si="3"/>
        <v>0</v>
      </c>
    </row>
    <row r="22" spans="1:21" x14ac:dyDescent="0.25">
      <c r="A22" s="75"/>
      <c r="B22" s="195">
        <f t="shared" si="4"/>
        <v>72</v>
      </c>
      <c r="C22" s="15">
        <v>2</v>
      </c>
      <c r="D22" s="1033">
        <v>56.54</v>
      </c>
      <c r="E22" s="1067">
        <v>44697</v>
      </c>
      <c r="F22" s="1066">
        <f t="shared" si="0"/>
        <v>56.54</v>
      </c>
      <c r="G22" s="1034" t="s">
        <v>509</v>
      </c>
      <c r="H22" s="1035">
        <v>70</v>
      </c>
      <c r="I22" s="569">
        <f t="shared" si="5"/>
        <v>1997.8400000000001</v>
      </c>
      <c r="J22" s="60">
        <f t="shared" si="1"/>
        <v>3957.7999999999997</v>
      </c>
      <c r="L22" s="75"/>
      <c r="M22" s="195">
        <f t="shared" si="6"/>
        <v>36</v>
      </c>
      <c r="N22" s="15"/>
      <c r="O22" s="69"/>
      <c r="P22" s="336"/>
      <c r="Q22" s="279">
        <f t="shared" si="2"/>
        <v>0</v>
      </c>
      <c r="R22" s="70"/>
      <c r="S22" s="71"/>
      <c r="T22" s="569">
        <f t="shared" si="7"/>
        <v>1001.73</v>
      </c>
      <c r="U22" s="60">
        <f t="shared" si="3"/>
        <v>0</v>
      </c>
    </row>
    <row r="23" spans="1:21" x14ac:dyDescent="0.25">
      <c r="A23" s="19"/>
      <c r="B23" s="195">
        <f t="shared" si="4"/>
        <v>66</v>
      </c>
      <c r="C23" s="73">
        <v>6</v>
      </c>
      <c r="D23" s="1033">
        <v>170.62</v>
      </c>
      <c r="E23" s="1042">
        <v>44697</v>
      </c>
      <c r="F23" s="1066">
        <f t="shared" si="0"/>
        <v>170.62</v>
      </c>
      <c r="G23" s="1034" t="s">
        <v>510</v>
      </c>
      <c r="H23" s="1035">
        <v>70</v>
      </c>
      <c r="I23" s="569">
        <f t="shared" si="5"/>
        <v>1827.2200000000003</v>
      </c>
      <c r="J23" s="60">
        <f t="shared" si="1"/>
        <v>11943.4</v>
      </c>
      <c r="L23" s="19"/>
      <c r="M23" s="195">
        <f t="shared" si="6"/>
        <v>36</v>
      </c>
      <c r="N23" s="73"/>
      <c r="O23" s="69"/>
      <c r="P23" s="134"/>
      <c r="Q23" s="279">
        <f t="shared" si="2"/>
        <v>0</v>
      </c>
      <c r="R23" s="70"/>
      <c r="S23" s="71"/>
      <c r="T23" s="569">
        <f t="shared" si="7"/>
        <v>1001.73</v>
      </c>
      <c r="U23" s="60">
        <f t="shared" si="3"/>
        <v>0</v>
      </c>
    </row>
    <row r="24" spans="1:21" x14ac:dyDescent="0.25">
      <c r="A24" s="19"/>
      <c r="B24" s="195">
        <f t="shared" si="4"/>
        <v>61</v>
      </c>
      <c r="C24" s="73">
        <v>5</v>
      </c>
      <c r="D24" s="1033">
        <v>150.04</v>
      </c>
      <c r="E24" s="1042">
        <v>44697</v>
      </c>
      <c r="F24" s="1066">
        <f t="shared" si="0"/>
        <v>150.04</v>
      </c>
      <c r="G24" s="1034" t="s">
        <v>516</v>
      </c>
      <c r="H24" s="1035">
        <v>70</v>
      </c>
      <c r="I24" s="569">
        <f t="shared" si="5"/>
        <v>1677.1800000000003</v>
      </c>
      <c r="J24" s="60">
        <f t="shared" si="1"/>
        <v>10502.8</v>
      </c>
      <c r="L24" s="19"/>
      <c r="M24" s="195">
        <f t="shared" si="6"/>
        <v>36</v>
      </c>
      <c r="N24" s="73"/>
      <c r="O24" s="69"/>
      <c r="P24" s="134"/>
      <c r="Q24" s="279">
        <f t="shared" si="2"/>
        <v>0</v>
      </c>
      <c r="R24" s="70"/>
      <c r="S24" s="71"/>
      <c r="T24" s="569">
        <f t="shared" si="7"/>
        <v>1001.73</v>
      </c>
      <c r="U24" s="60">
        <f t="shared" si="3"/>
        <v>0</v>
      </c>
    </row>
    <row r="25" spans="1:21" x14ac:dyDescent="0.25">
      <c r="A25" s="19"/>
      <c r="B25" s="195">
        <f t="shared" si="4"/>
        <v>59</v>
      </c>
      <c r="C25" s="73">
        <v>2</v>
      </c>
      <c r="D25" s="1033">
        <v>49.88</v>
      </c>
      <c r="E25" s="1042">
        <v>44699</v>
      </c>
      <c r="F25" s="1066">
        <f t="shared" si="0"/>
        <v>49.88</v>
      </c>
      <c r="G25" s="1034" t="s">
        <v>524</v>
      </c>
      <c r="H25" s="1035">
        <v>70</v>
      </c>
      <c r="I25" s="569">
        <f t="shared" si="5"/>
        <v>1627.3000000000002</v>
      </c>
      <c r="J25" s="60">
        <f t="shared" si="1"/>
        <v>3491.6000000000004</v>
      </c>
      <c r="L25" s="19"/>
      <c r="M25" s="195">
        <f t="shared" si="6"/>
        <v>36</v>
      </c>
      <c r="N25" s="73"/>
      <c r="O25" s="69"/>
      <c r="P25" s="134"/>
      <c r="Q25" s="279">
        <f t="shared" si="2"/>
        <v>0</v>
      </c>
      <c r="R25" s="70"/>
      <c r="S25" s="71"/>
      <c r="T25" s="569">
        <f t="shared" si="7"/>
        <v>1001.73</v>
      </c>
      <c r="U25" s="60">
        <f t="shared" si="3"/>
        <v>0</v>
      </c>
    </row>
    <row r="26" spans="1:21" x14ac:dyDescent="0.25">
      <c r="A26" s="19"/>
      <c r="B26" s="195">
        <f t="shared" si="4"/>
        <v>55</v>
      </c>
      <c r="C26" s="15">
        <v>4</v>
      </c>
      <c r="D26" s="1033">
        <v>107.74</v>
      </c>
      <c r="E26" s="1042">
        <v>44699</v>
      </c>
      <c r="F26" s="1066">
        <f t="shared" si="0"/>
        <v>107.74</v>
      </c>
      <c r="G26" s="1034" t="s">
        <v>527</v>
      </c>
      <c r="H26" s="1035">
        <v>70</v>
      </c>
      <c r="I26" s="569">
        <f t="shared" si="5"/>
        <v>1519.5600000000002</v>
      </c>
      <c r="J26" s="60">
        <f t="shared" si="1"/>
        <v>7541.7999999999993</v>
      </c>
      <c r="L26" s="19"/>
      <c r="M26" s="195">
        <f t="shared" si="6"/>
        <v>36</v>
      </c>
      <c r="N26" s="15"/>
      <c r="O26" s="69"/>
      <c r="P26" s="134"/>
      <c r="Q26" s="279">
        <f t="shared" si="2"/>
        <v>0</v>
      </c>
      <c r="R26" s="70"/>
      <c r="S26" s="71"/>
      <c r="T26" s="569">
        <f t="shared" si="7"/>
        <v>1001.73</v>
      </c>
      <c r="U26" s="60">
        <f t="shared" si="3"/>
        <v>0</v>
      </c>
    </row>
    <row r="27" spans="1:21" x14ac:dyDescent="0.25">
      <c r="A27" s="19"/>
      <c r="B27" s="195">
        <f t="shared" si="4"/>
        <v>51</v>
      </c>
      <c r="C27" s="15">
        <v>4</v>
      </c>
      <c r="D27" s="1033">
        <v>103.23</v>
      </c>
      <c r="E27" s="1042">
        <v>44702</v>
      </c>
      <c r="F27" s="1066">
        <f t="shared" si="0"/>
        <v>103.23</v>
      </c>
      <c r="G27" s="1034" t="s">
        <v>547</v>
      </c>
      <c r="H27" s="1035">
        <v>70</v>
      </c>
      <c r="I27" s="569">
        <f t="shared" si="5"/>
        <v>1416.3300000000002</v>
      </c>
      <c r="J27" s="60">
        <f t="shared" si="1"/>
        <v>7226.1</v>
      </c>
      <c r="L27" s="19"/>
      <c r="M27" s="195">
        <f t="shared" si="6"/>
        <v>36</v>
      </c>
      <c r="N27" s="15"/>
      <c r="O27" s="69"/>
      <c r="P27" s="134"/>
      <c r="Q27" s="279">
        <f t="shared" si="2"/>
        <v>0</v>
      </c>
      <c r="R27" s="70"/>
      <c r="S27" s="71"/>
      <c r="T27" s="569">
        <f t="shared" si="7"/>
        <v>1001.73</v>
      </c>
      <c r="U27" s="60">
        <f t="shared" si="3"/>
        <v>0</v>
      </c>
    </row>
    <row r="28" spans="1:21" x14ac:dyDescent="0.25">
      <c r="A28" s="19"/>
      <c r="B28" s="195">
        <f t="shared" si="4"/>
        <v>51</v>
      </c>
      <c r="C28" s="15"/>
      <c r="D28" s="1033"/>
      <c r="E28" s="1042"/>
      <c r="F28" s="1066">
        <f t="shared" si="0"/>
        <v>0</v>
      </c>
      <c r="G28" s="1034"/>
      <c r="H28" s="1035"/>
      <c r="I28" s="569">
        <f t="shared" si="5"/>
        <v>1416.3300000000002</v>
      </c>
      <c r="J28" s="60">
        <f t="shared" si="1"/>
        <v>0</v>
      </c>
      <c r="L28" s="19"/>
      <c r="M28" s="195">
        <f t="shared" si="6"/>
        <v>36</v>
      </c>
      <c r="N28" s="15"/>
      <c r="O28" s="69"/>
      <c r="P28" s="134"/>
      <c r="Q28" s="279">
        <f t="shared" si="2"/>
        <v>0</v>
      </c>
      <c r="R28" s="70"/>
      <c r="S28" s="71"/>
      <c r="T28" s="569">
        <f t="shared" si="7"/>
        <v>1001.73</v>
      </c>
      <c r="U28" s="60">
        <f t="shared" si="3"/>
        <v>0</v>
      </c>
    </row>
    <row r="29" spans="1:21" x14ac:dyDescent="0.25">
      <c r="A29" s="19"/>
      <c r="B29" s="195">
        <f t="shared" si="4"/>
        <v>51</v>
      </c>
      <c r="C29" s="15"/>
      <c r="D29" s="1033"/>
      <c r="E29" s="1042"/>
      <c r="F29" s="1066">
        <f t="shared" si="0"/>
        <v>0</v>
      </c>
      <c r="G29" s="1034"/>
      <c r="H29" s="1035"/>
      <c r="I29" s="569">
        <f t="shared" si="5"/>
        <v>1416.3300000000002</v>
      </c>
      <c r="J29" s="60">
        <f t="shared" si="1"/>
        <v>0</v>
      </c>
      <c r="L29" s="19"/>
      <c r="M29" s="195">
        <f t="shared" si="6"/>
        <v>36</v>
      </c>
      <c r="N29" s="15"/>
      <c r="O29" s="69"/>
      <c r="P29" s="134"/>
      <c r="Q29" s="279">
        <f t="shared" si="2"/>
        <v>0</v>
      </c>
      <c r="R29" s="70"/>
      <c r="S29" s="71"/>
      <c r="T29" s="569">
        <f t="shared" si="7"/>
        <v>1001.73</v>
      </c>
      <c r="U29" s="60">
        <f t="shared" si="3"/>
        <v>0</v>
      </c>
    </row>
    <row r="30" spans="1:21" x14ac:dyDescent="0.25">
      <c r="A30" s="19"/>
      <c r="B30" s="195">
        <f t="shared" si="4"/>
        <v>51</v>
      </c>
      <c r="C30" s="15"/>
      <c r="D30" s="1033"/>
      <c r="E30" s="1042"/>
      <c r="F30" s="1066">
        <f t="shared" si="0"/>
        <v>0</v>
      </c>
      <c r="G30" s="1034"/>
      <c r="H30" s="1035"/>
      <c r="I30" s="569">
        <f t="shared" si="5"/>
        <v>1416.3300000000002</v>
      </c>
      <c r="J30" s="60">
        <f t="shared" si="1"/>
        <v>0</v>
      </c>
      <c r="L30" s="19"/>
      <c r="M30" s="195">
        <f t="shared" si="6"/>
        <v>36</v>
      </c>
      <c r="N30" s="15"/>
      <c r="O30" s="69"/>
      <c r="P30" s="134"/>
      <c r="Q30" s="279">
        <f t="shared" si="2"/>
        <v>0</v>
      </c>
      <c r="R30" s="70"/>
      <c r="S30" s="71"/>
      <c r="T30" s="569">
        <f t="shared" si="7"/>
        <v>1001.73</v>
      </c>
      <c r="U30" s="60">
        <f t="shared" si="3"/>
        <v>0</v>
      </c>
    </row>
    <row r="31" spans="1:21" x14ac:dyDescent="0.25">
      <c r="A31" s="19"/>
      <c r="B31" s="195">
        <f t="shared" si="4"/>
        <v>51</v>
      </c>
      <c r="C31" s="15"/>
      <c r="D31" s="1033"/>
      <c r="E31" s="1042"/>
      <c r="F31" s="1066">
        <f t="shared" si="0"/>
        <v>0</v>
      </c>
      <c r="G31" s="1034"/>
      <c r="H31" s="1035"/>
      <c r="I31" s="569">
        <f t="shared" si="5"/>
        <v>1416.3300000000002</v>
      </c>
      <c r="J31" s="60">
        <f t="shared" si="1"/>
        <v>0</v>
      </c>
      <c r="L31" s="19"/>
      <c r="M31" s="195">
        <f t="shared" si="6"/>
        <v>36</v>
      </c>
      <c r="N31" s="15"/>
      <c r="O31" s="69"/>
      <c r="P31" s="134"/>
      <c r="Q31" s="279">
        <f t="shared" si="2"/>
        <v>0</v>
      </c>
      <c r="R31" s="70"/>
      <c r="S31" s="71"/>
      <c r="T31" s="569">
        <f t="shared" si="7"/>
        <v>1001.73</v>
      </c>
      <c r="U31" s="60">
        <f t="shared" si="3"/>
        <v>0</v>
      </c>
    </row>
    <row r="32" spans="1:21" x14ac:dyDescent="0.25">
      <c r="A32" s="19"/>
      <c r="B32" s="195">
        <f t="shared" si="4"/>
        <v>51</v>
      </c>
      <c r="C32" s="15"/>
      <c r="D32" s="1033"/>
      <c r="E32" s="1042"/>
      <c r="F32" s="1066">
        <f t="shared" si="0"/>
        <v>0</v>
      </c>
      <c r="G32" s="1034"/>
      <c r="H32" s="1035"/>
      <c r="I32" s="569">
        <f t="shared" si="5"/>
        <v>1416.3300000000002</v>
      </c>
      <c r="J32" s="60">
        <f t="shared" si="1"/>
        <v>0</v>
      </c>
      <c r="L32" s="19"/>
      <c r="M32" s="195">
        <f t="shared" si="6"/>
        <v>36</v>
      </c>
      <c r="N32" s="15"/>
      <c r="O32" s="69"/>
      <c r="P32" s="134"/>
      <c r="Q32" s="279">
        <f t="shared" si="2"/>
        <v>0</v>
      </c>
      <c r="R32" s="70"/>
      <c r="S32" s="71"/>
      <c r="T32" s="569">
        <f t="shared" si="7"/>
        <v>1001.73</v>
      </c>
      <c r="U32" s="60">
        <f t="shared" si="3"/>
        <v>0</v>
      </c>
    </row>
    <row r="33" spans="1:21" x14ac:dyDescent="0.25">
      <c r="A33" s="19"/>
      <c r="B33" s="195">
        <f t="shared" si="4"/>
        <v>51</v>
      </c>
      <c r="C33" s="15"/>
      <c r="D33" s="1033"/>
      <c r="E33" s="1042"/>
      <c r="F33" s="1066">
        <f t="shared" si="0"/>
        <v>0</v>
      </c>
      <c r="G33" s="1034"/>
      <c r="H33" s="1035"/>
      <c r="I33" s="569">
        <f t="shared" si="5"/>
        <v>1416.3300000000002</v>
      </c>
      <c r="J33" s="60">
        <f t="shared" si="1"/>
        <v>0</v>
      </c>
      <c r="L33" s="19"/>
      <c r="M33" s="195">
        <f t="shared" si="6"/>
        <v>36</v>
      </c>
      <c r="N33" s="15"/>
      <c r="O33" s="69"/>
      <c r="P33" s="134"/>
      <c r="Q33" s="279">
        <f t="shared" si="2"/>
        <v>0</v>
      </c>
      <c r="R33" s="70"/>
      <c r="S33" s="71"/>
      <c r="T33" s="569">
        <f t="shared" si="7"/>
        <v>1001.73</v>
      </c>
      <c r="U33" s="60">
        <f t="shared" si="3"/>
        <v>0</v>
      </c>
    </row>
    <row r="34" spans="1:21" x14ac:dyDescent="0.25">
      <c r="A34" s="19"/>
      <c r="B34" s="195">
        <f t="shared" si="4"/>
        <v>51</v>
      </c>
      <c r="C34" s="15"/>
      <c r="D34" s="1033"/>
      <c r="E34" s="1042"/>
      <c r="F34" s="1066">
        <f t="shared" si="0"/>
        <v>0</v>
      </c>
      <c r="G34" s="1034"/>
      <c r="H34" s="1035"/>
      <c r="I34" s="569">
        <f t="shared" si="5"/>
        <v>1416.3300000000002</v>
      </c>
      <c r="J34" s="60">
        <f t="shared" si="1"/>
        <v>0</v>
      </c>
      <c r="L34" s="19"/>
      <c r="M34" s="195">
        <f t="shared" si="6"/>
        <v>36</v>
      </c>
      <c r="N34" s="15"/>
      <c r="O34" s="69"/>
      <c r="P34" s="134"/>
      <c r="Q34" s="279">
        <f t="shared" si="2"/>
        <v>0</v>
      </c>
      <c r="R34" s="70"/>
      <c r="S34" s="71"/>
      <c r="T34" s="569">
        <f t="shared" si="7"/>
        <v>1001.73</v>
      </c>
      <c r="U34" s="60">
        <f t="shared" si="3"/>
        <v>0</v>
      </c>
    </row>
    <row r="35" spans="1:21" x14ac:dyDescent="0.25">
      <c r="A35" s="19"/>
      <c r="B35" s="195">
        <f t="shared" si="4"/>
        <v>51</v>
      </c>
      <c r="C35" s="15"/>
      <c r="D35" s="1033"/>
      <c r="E35" s="1042"/>
      <c r="F35" s="1066">
        <f t="shared" si="0"/>
        <v>0</v>
      </c>
      <c r="G35" s="1034"/>
      <c r="H35" s="1035"/>
      <c r="I35" s="569">
        <f t="shared" si="5"/>
        <v>1416.3300000000002</v>
      </c>
      <c r="J35" s="60">
        <f t="shared" si="1"/>
        <v>0</v>
      </c>
      <c r="L35" s="19"/>
      <c r="M35" s="195">
        <f t="shared" si="6"/>
        <v>36</v>
      </c>
      <c r="N35" s="15"/>
      <c r="O35" s="69"/>
      <c r="P35" s="134"/>
      <c r="Q35" s="279">
        <f t="shared" si="2"/>
        <v>0</v>
      </c>
      <c r="R35" s="70"/>
      <c r="S35" s="71"/>
      <c r="T35" s="569">
        <f t="shared" si="7"/>
        <v>1001.73</v>
      </c>
      <c r="U35" s="60">
        <f t="shared" si="3"/>
        <v>0</v>
      </c>
    </row>
    <row r="36" spans="1:21" x14ac:dyDescent="0.25">
      <c r="A36" s="19"/>
      <c r="B36" s="195">
        <f t="shared" si="4"/>
        <v>51</v>
      </c>
      <c r="C36" s="15"/>
      <c r="D36" s="1033"/>
      <c r="E36" s="1042"/>
      <c r="F36" s="1066">
        <f t="shared" si="0"/>
        <v>0</v>
      </c>
      <c r="G36" s="1034"/>
      <c r="H36" s="1035"/>
      <c r="I36" s="569">
        <f t="shared" si="5"/>
        <v>1416.3300000000002</v>
      </c>
      <c r="J36" s="60">
        <f t="shared" si="1"/>
        <v>0</v>
      </c>
      <c r="L36" s="19"/>
      <c r="M36" s="195">
        <f t="shared" si="6"/>
        <v>36</v>
      </c>
      <c r="N36" s="15"/>
      <c r="O36" s="69"/>
      <c r="P36" s="134"/>
      <c r="Q36" s="279">
        <f t="shared" si="2"/>
        <v>0</v>
      </c>
      <c r="R36" s="70"/>
      <c r="S36" s="71"/>
      <c r="T36" s="569">
        <f t="shared" si="7"/>
        <v>1001.73</v>
      </c>
      <c r="U36" s="60">
        <f t="shared" si="3"/>
        <v>0</v>
      </c>
    </row>
    <row r="37" spans="1:21" x14ac:dyDescent="0.25">
      <c r="B37" s="195">
        <f>B27-C37</f>
        <v>51</v>
      </c>
      <c r="C37" s="15"/>
      <c r="D37" s="69">
        <v>0</v>
      </c>
      <c r="E37" s="134"/>
      <c r="F37" s="279">
        <f t="shared" si="0"/>
        <v>0</v>
      </c>
      <c r="G37" s="70"/>
      <c r="H37" s="71"/>
      <c r="I37" s="569">
        <f t="shared" si="5"/>
        <v>1416.3300000000002</v>
      </c>
      <c r="J37" s="60">
        <f t="shared" si="1"/>
        <v>0</v>
      </c>
      <c r="M37" s="195">
        <f>M27-N37</f>
        <v>36</v>
      </c>
      <c r="N37" s="15"/>
      <c r="O37" s="69">
        <v>0</v>
      </c>
      <c r="P37" s="134"/>
      <c r="Q37" s="279">
        <f t="shared" si="2"/>
        <v>0</v>
      </c>
      <c r="R37" s="70"/>
      <c r="S37" s="71"/>
      <c r="T37" s="569">
        <f t="shared" si="7"/>
        <v>1001.73</v>
      </c>
      <c r="U37" s="60">
        <f t="shared" si="3"/>
        <v>0</v>
      </c>
    </row>
    <row r="38" spans="1:21" ht="15.75" thickBot="1" x14ac:dyDescent="0.3">
      <c r="A38" s="121"/>
      <c r="B38" s="195">
        <f t="shared" si="4"/>
        <v>51</v>
      </c>
      <c r="C38" s="37"/>
      <c r="D38" s="69">
        <v>0</v>
      </c>
      <c r="E38" s="327"/>
      <c r="F38" s="279">
        <f t="shared" si="0"/>
        <v>0</v>
      </c>
      <c r="G38" s="139"/>
      <c r="H38" s="211"/>
      <c r="I38" s="569">
        <f t="shared" si="5"/>
        <v>1416.3300000000002</v>
      </c>
      <c r="J38" s="60">
        <f>SUM(J9:J37)</f>
        <v>174852.99999999994</v>
      </c>
      <c r="L38" s="121"/>
      <c r="M38" s="195">
        <f t="shared" ref="M38" si="8">M37-N38</f>
        <v>36</v>
      </c>
      <c r="N38" s="37"/>
      <c r="O38" s="69">
        <v>0</v>
      </c>
      <c r="P38" s="327"/>
      <c r="Q38" s="279">
        <f t="shared" si="2"/>
        <v>0</v>
      </c>
      <c r="R38" s="139"/>
      <c r="S38" s="211"/>
      <c r="T38" s="569">
        <f t="shared" si="7"/>
        <v>1001.73</v>
      </c>
      <c r="U38" s="60">
        <f>SUM(U9:U37)</f>
        <v>0</v>
      </c>
    </row>
    <row r="39" spans="1:21" ht="15.75" thickTop="1" x14ac:dyDescent="0.25">
      <c r="A39" s="47">
        <f>SUM(A38:A38)</f>
        <v>0</v>
      </c>
      <c r="C39" s="73"/>
      <c r="D39" s="105">
        <f>SUM(D9:D38)</f>
        <v>2497.8999999999996</v>
      </c>
      <c r="E39" s="134"/>
      <c r="F39" s="105">
        <f>SUM(F9:F38)</f>
        <v>2497.8999999999996</v>
      </c>
      <c r="G39" s="157"/>
      <c r="H39" s="157"/>
      <c r="L39" s="47">
        <f>SUM(L38:L38)</f>
        <v>0</v>
      </c>
      <c r="N39" s="73"/>
      <c r="O39" s="105">
        <f>SUM(O9:O38)</f>
        <v>0</v>
      </c>
      <c r="P39" s="134"/>
      <c r="Q39" s="105">
        <f>SUM(Q9:Q38)</f>
        <v>0</v>
      </c>
      <c r="R39" s="157"/>
      <c r="S39" s="157"/>
    </row>
    <row r="40" spans="1:21" ht="15.75" thickBot="1" x14ac:dyDescent="0.3">
      <c r="A40" s="47"/>
      <c r="L40" s="47"/>
    </row>
    <row r="41" spans="1:21" x14ac:dyDescent="0.25">
      <c r="B41" s="197"/>
      <c r="D41" s="1187" t="s">
        <v>21</v>
      </c>
      <c r="E41" s="1188"/>
      <c r="F41" s="141">
        <f>G5-F39</f>
        <v>0</v>
      </c>
      <c r="M41" s="197"/>
      <c r="O41" s="1187" t="s">
        <v>21</v>
      </c>
      <c r="P41" s="1188"/>
      <c r="Q41" s="141">
        <f>R5-Q39</f>
        <v>0</v>
      </c>
    </row>
    <row r="42" spans="1:21" ht="15.75" thickBot="1" x14ac:dyDescent="0.3">
      <c r="A42" s="125"/>
      <c r="D42" s="801" t="s">
        <v>4</v>
      </c>
      <c r="E42" s="802"/>
      <c r="F42" s="49">
        <v>0</v>
      </c>
      <c r="L42" s="125"/>
      <c r="O42" s="1111" t="s">
        <v>4</v>
      </c>
      <c r="P42" s="1112"/>
      <c r="Q42" s="49">
        <v>0</v>
      </c>
    </row>
    <row r="43" spans="1:21" x14ac:dyDescent="0.25">
      <c r="B43" s="197"/>
      <c r="M43" s="197"/>
    </row>
    <row r="44" spans="1:21" ht="16.5" customHeight="1" x14ac:dyDescent="0.25"/>
  </sheetData>
  <mergeCells count="6">
    <mergeCell ref="A1:G1"/>
    <mergeCell ref="D41:E41"/>
    <mergeCell ref="B5:B6"/>
    <mergeCell ref="L1:R1"/>
    <mergeCell ref="M5:M6"/>
    <mergeCell ref="O41:P4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02"/>
      <c r="B1" s="1202"/>
      <c r="C1" s="1202"/>
      <c r="D1" s="1202"/>
      <c r="E1" s="1202"/>
      <c r="F1" s="1202"/>
      <c r="G1" s="120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0"/>
      <c r="B4" s="296"/>
      <c r="C4" s="342"/>
      <c r="D4" s="248"/>
      <c r="E4" s="308"/>
      <c r="F4" s="243"/>
      <c r="G4" s="73"/>
    </row>
    <row r="5" spans="1:10" ht="15" customHeight="1" x14ac:dyDescent="0.25">
      <c r="A5" s="1196"/>
      <c r="B5" s="1193" t="s">
        <v>50</v>
      </c>
      <c r="C5" s="244"/>
      <c r="D5" s="248"/>
      <c r="E5" s="308"/>
      <c r="F5" s="243"/>
      <c r="G5" s="262">
        <f>F55</f>
        <v>0</v>
      </c>
      <c r="H5" s="7">
        <f>E5-G5+E4+E6+E7</f>
        <v>0</v>
      </c>
    </row>
    <row r="6" spans="1:10" ht="15.75" thickBot="1" x14ac:dyDescent="0.3">
      <c r="A6" s="1196"/>
      <c r="B6" s="1193"/>
      <c r="C6" s="244"/>
      <c r="D6" s="274"/>
      <c r="E6" s="275"/>
      <c r="F6" s="243"/>
      <c r="G6" s="240"/>
    </row>
    <row r="7" spans="1:10" ht="15.75" thickBot="1" x14ac:dyDescent="0.3">
      <c r="A7" s="240"/>
      <c r="B7" s="243"/>
      <c r="C7" s="244"/>
      <c r="D7" s="274"/>
      <c r="E7" s="275"/>
      <c r="F7" s="243"/>
      <c r="I7" s="340"/>
      <c r="J7" s="339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41" t="s">
        <v>51</v>
      </c>
      <c r="J8" s="339"/>
    </row>
    <row r="9" spans="1:10" ht="15.75" thickTop="1" x14ac:dyDescent="0.25">
      <c r="A9" s="55" t="s">
        <v>32</v>
      </c>
      <c r="B9" s="195">
        <f>F4+F5+F6+F7-C9</f>
        <v>0</v>
      </c>
      <c r="C9" s="15"/>
      <c r="D9" s="69"/>
      <c r="E9" s="325"/>
      <c r="F9" s="69">
        <f t="shared" ref="F9:F54" si="0">D9</f>
        <v>0</v>
      </c>
      <c r="G9" s="265"/>
      <c r="H9" s="266"/>
      <c r="I9" s="78">
        <f>E6+E5+E4-F9+E7</f>
        <v>0</v>
      </c>
      <c r="J9" s="127"/>
    </row>
    <row r="10" spans="1:10" x14ac:dyDescent="0.25">
      <c r="A10" s="841"/>
      <c r="B10" s="195">
        <f>B9-C10</f>
        <v>0</v>
      </c>
      <c r="C10" s="263"/>
      <c r="D10" s="264"/>
      <c r="E10" s="739"/>
      <c r="F10" s="264">
        <f t="shared" si="0"/>
        <v>0</v>
      </c>
      <c r="G10" s="265"/>
      <c r="H10" s="266"/>
      <c r="I10" s="259">
        <f>I9-F10</f>
        <v>0</v>
      </c>
      <c r="J10" s="127"/>
    </row>
    <row r="11" spans="1:10" x14ac:dyDescent="0.25">
      <c r="A11" s="12"/>
      <c r="B11" s="195">
        <f t="shared" ref="B11:B53" si="1">B10-C11</f>
        <v>0</v>
      </c>
      <c r="C11" s="263"/>
      <c r="D11" s="264"/>
      <c r="E11" s="739"/>
      <c r="F11" s="264">
        <f t="shared" si="0"/>
        <v>0</v>
      </c>
      <c r="G11" s="265"/>
      <c r="H11" s="266"/>
      <c r="I11" s="259">
        <f t="shared" ref="I11:I54" si="2">I10-F11</f>
        <v>0</v>
      </c>
      <c r="J11" s="127"/>
    </row>
    <row r="12" spans="1:10" x14ac:dyDescent="0.25">
      <c r="A12" s="55" t="s">
        <v>33</v>
      </c>
      <c r="B12" s="195">
        <f t="shared" si="1"/>
        <v>0</v>
      </c>
      <c r="C12" s="263"/>
      <c r="D12" s="264"/>
      <c r="E12" s="739"/>
      <c r="F12" s="264">
        <f t="shared" si="0"/>
        <v>0</v>
      </c>
      <c r="G12" s="265"/>
      <c r="H12" s="266"/>
      <c r="I12" s="259">
        <f t="shared" si="2"/>
        <v>0</v>
      </c>
      <c r="J12" s="127"/>
    </row>
    <row r="13" spans="1:10" x14ac:dyDescent="0.25">
      <c r="A13" s="77"/>
      <c r="B13" s="195">
        <f t="shared" si="1"/>
        <v>0</v>
      </c>
      <c r="C13" s="263"/>
      <c r="D13" s="264"/>
      <c r="E13" s="739"/>
      <c r="F13" s="264">
        <f t="shared" si="0"/>
        <v>0</v>
      </c>
      <c r="G13" s="265"/>
      <c r="H13" s="266"/>
      <c r="I13" s="259">
        <f t="shared" si="2"/>
        <v>0</v>
      </c>
      <c r="J13" s="127"/>
    </row>
    <row r="14" spans="1:10" x14ac:dyDescent="0.25">
      <c r="A14" s="12"/>
      <c r="B14" s="195">
        <f t="shared" si="1"/>
        <v>0</v>
      </c>
      <c r="C14" s="263"/>
      <c r="D14" s="264"/>
      <c r="E14" s="739"/>
      <c r="F14" s="264">
        <f t="shared" si="0"/>
        <v>0</v>
      </c>
      <c r="G14" s="265"/>
      <c r="H14" s="266"/>
      <c r="I14" s="259">
        <f t="shared" si="2"/>
        <v>0</v>
      </c>
      <c r="J14" s="127"/>
    </row>
    <row r="15" spans="1:10" x14ac:dyDescent="0.25">
      <c r="B15" s="195">
        <f t="shared" si="1"/>
        <v>0</v>
      </c>
      <c r="C15" s="840"/>
      <c r="D15" s="264"/>
      <c r="E15" s="739"/>
      <c r="F15" s="264">
        <f t="shared" si="0"/>
        <v>0</v>
      </c>
      <c r="G15" s="265"/>
      <c r="H15" s="266"/>
      <c r="I15" s="259">
        <f t="shared" si="2"/>
        <v>0</v>
      </c>
      <c r="J15" s="127"/>
    </row>
    <row r="16" spans="1:10" x14ac:dyDescent="0.25">
      <c r="B16" s="195">
        <f t="shared" si="1"/>
        <v>0</v>
      </c>
      <c r="C16" s="263"/>
      <c r="D16" s="264"/>
      <c r="E16" s="739"/>
      <c r="F16" s="264">
        <f t="shared" si="0"/>
        <v>0</v>
      </c>
      <c r="G16" s="265"/>
      <c r="H16" s="266"/>
      <c r="I16" s="259">
        <f t="shared" si="2"/>
        <v>0</v>
      </c>
      <c r="J16" s="127"/>
    </row>
    <row r="17" spans="2:10" x14ac:dyDescent="0.25">
      <c r="B17" s="195">
        <f t="shared" si="1"/>
        <v>0</v>
      </c>
      <c r="C17" s="263"/>
      <c r="D17" s="264"/>
      <c r="E17" s="739"/>
      <c r="F17" s="264">
        <f t="shared" si="0"/>
        <v>0</v>
      </c>
      <c r="G17" s="265"/>
      <c r="H17" s="266"/>
      <c r="I17" s="259">
        <f t="shared" si="2"/>
        <v>0</v>
      </c>
      <c r="J17" s="127"/>
    </row>
    <row r="18" spans="2:10" x14ac:dyDescent="0.25">
      <c r="B18" s="195">
        <f t="shared" si="1"/>
        <v>0</v>
      </c>
      <c r="C18" s="840"/>
      <c r="D18" s="264"/>
      <c r="E18" s="739"/>
      <c r="F18" s="264">
        <f t="shared" si="0"/>
        <v>0</v>
      </c>
      <c r="G18" s="265"/>
      <c r="H18" s="266"/>
      <c r="I18" s="259">
        <f t="shared" si="2"/>
        <v>0</v>
      </c>
      <c r="J18" s="127"/>
    </row>
    <row r="19" spans="2:10" x14ac:dyDescent="0.25">
      <c r="B19" s="195">
        <f t="shared" si="1"/>
        <v>0</v>
      </c>
      <c r="C19" s="263"/>
      <c r="D19" s="264"/>
      <c r="E19" s="739"/>
      <c r="F19" s="264">
        <f t="shared" si="0"/>
        <v>0</v>
      </c>
      <c r="G19" s="265"/>
      <c r="H19" s="266"/>
      <c r="I19" s="259">
        <f t="shared" si="2"/>
        <v>0</v>
      </c>
      <c r="J19" s="127"/>
    </row>
    <row r="20" spans="2:10" x14ac:dyDescent="0.25">
      <c r="B20" s="195">
        <f t="shared" si="1"/>
        <v>0</v>
      </c>
      <c r="C20" s="263"/>
      <c r="D20" s="264"/>
      <c r="E20" s="739"/>
      <c r="F20" s="264">
        <f t="shared" si="0"/>
        <v>0</v>
      </c>
      <c r="G20" s="265"/>
      <c r="H20" s="266"/>
      <c r="I20" s="259">
        <f t="shared" si="2"/>
        <v>0</v>
      </c>
      <c r="J20" s="127"/>
    </row>
    <row r="21" spans="2:10" x14ac:dyDescent="0.25">
      <c r="B21" s="195">
        <f t="shared" si="1"/>
        <v>0</v>
      </c>
      <c r="C21" s="263"/>
      <c r="D21" s="264"/>
      <c r="E21" s="739"/>
      <c r="F21" s="264">
        <f t="shared" si="0"/>
        <v>0</v>
      </c>
      <c r="G21" s="265"/>
      <c r="H21" s="266"/>
      <c r="I21" s="259">
        <f t="shared" si="2"/>
        <v>0</v>
      </c>
      <c r="J21" s="127"/>
    </row>
    <row r="22" spans="2:10" x14ac:dyDescent="0.25">
      <c r="B22" s="195">
        <f t="shared" si="1"/>
        <v>0</v>
      </c>
      <c r="C22" s="263"/>
      <c r="D22" s="264"/>
      <c r="E22" s="739"/>
      <c r="F22" s="264">
        <f t="shared" si="0"/>
        <v>0</v>
      </c>
      <c r="G22" s="265"/>
      <c r="H22" s="266"/>
      <c r="I22" s="259">
        <f t="shared" si="2"/>
        <v>0</v>
      </c>
      <c r="J22" s="127"/>
    </row>
    <row r="23" spans="2:10" x14ac:dyDescent="0.25">
      <c r="B23" s="195">
        <f t="shared" si="1"/>
        <v>0</v>
      </c>
      <c r="C23" s="263"/>
      <c r="D23" s="264"/>
      <c r="E23" s="739"/>
      <c r="F23" s="264">
        <f t="shared" si="0"/>
        <v>0</v>
      </c>
      <c r="G23" s="265"/>
      <c r="H23" s="266"/>
      <c r="I23" s="259">
        <f t="shared" si="2"/>
        <v>0</v>
      </c>
      <c r="J23" s="127"/>
    </row>
    <row r="24" spans="2:10" x14ac:dyDescent="0.25">
      <c r="B24" s="195">
        <f t="shared" si="1"/>
        <v>0</v>
      </c>
      <c r="C24" s="263"/>
      <c r="D24" s="264"/>
      <c r="E24" s="739"/>
      <c r="F24" s="264">
        <f t="shared" si="0"/>
        <v>0</v>
      </c>
      <c r="G24" s="265"/>
      <c r="H24" s="266"/>
      <c r="I24" s="259">
        <f t="shared" si="2"/>
        <v>0</v>
      </c>
      <c r="J24" s="127"/>
    </row>
    <row r="25" spans="2:10" x14ac:dyDescent="0.25">
      <c r="B25" s="195">
        <f t="shared" si="1"/>
        <v>0</v>
      </c>
      <c r="C25" s="15"/>
      <c r="D25" s="69"/>
      <c r="E25" s="325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5">
        <f t="shared" si="1"/>
        <v>0</v>
      </c>
      <c r="C26" s="15"/>
      <c r="D26" s="69"/>
      <c r="E26" s="325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5">
        <f t="shared" si="1"/>
        <v>0</v>
      </c>
      <c r="C27" s="15"/>
      <c r="D27" s="69"/>
      <c r="E27" s="325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5">
        <f t="shared" si="1"/>
        <v>0</v>
      </c>
      <c r="C28" s="15"/>
      <c r="D28" s="69"/>
      <c r="E28" s="325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5">
        <f t="shared" si="1"/>
        <v>0</v>
      </c>
      <c r="C29" s="15"/>
      <c r="D29" s="69"/>
      <c r="E29" s="325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5">
        <f t="shared" si="1"/>
        <v>0</v>
      </c>
      <c r="C30" s="15"/>
      <c r="D30" s="69"/>
      <c r="E30" s="325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5">
        <f t="shared" si="1"/>
        <v>0</v>
      </c>
      <c r="C31" s="15"/>
      <c r="D31" s="69"/>
      <c r="E31" s="325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5">
        <f t="shared" si="1"/>
        <v>0</v>
      </c>
      <c r="C32" s="15"/>
      <c r="D32" s="69"/>
      <c r="E32" s="325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5">
        <f t="shared" si="1"/>
        <v>0</v>
      </c>
      <c r="C33" s="15"/>
      <c r="D33" s="69"/>
      <c r="E33" s="325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5">
        <f t="shared" si="1"/>
        <v>0</v>
      </c>
      <c r="C34" s="15"/>
      <c r="D34" s="69"/>
      <c r="E34" s="325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5">
        <f t="shared" si="1"/>
        <v>0</v>
      </c>
      <c r="C35" s="15"/>
      <c r="D35" s="69"/>
      <c r="E35" s="325"/>
      <c r="F35" s="264">
        <f t="shared" si="0"/>
        <v>0</v>
      </c>
      <c r="G35" s="265"/>
      <c r="H35" s="266"/>
      <c r="I35" s="259">
        <f t="shared" si="2"/>
        <v>0</v>
      </c>
      <c r="J35" s="127"/>
    </row>
    <row r="36" spans="2:10" x14ac:dyDescent="0.25">
      <c r="B36" s="195">
        <f t="shared" si="1"/>
        <v>0</v>
      </c>
      <c r="C36" s="15"/>
      <c r="D36" s="69"/>
      <c r="E36" s="325"/>
      <c r="F36" s="264">
        <f t="shared" si="0"/>
        <v>0</v>
      </c>
      <c r="G36" s="265"/>
      <c r="H36" s="266"/>
      <c r="I36" s="259">
        <f t="shared" si="2"/>
        <v>0</v>
      </c>
      <c r="J36" s="127"/>
    </row>
    <row r="37" spans="2:10" x14ac:dyDescent="0.25">
      <c r="B37" s="195">
        <f t="shared" si="1"/>
        <v>0</v>
      </c>
      <c r="C37" s="15"/>
      <c r="D37" s="69"/>
      <c r="E37" s="325"/>
      <c r="F37" s="264">
        <f t="shared" si="0"/>
        <v>0</v>
      </c>
      <c r="G37" s="265"/>
      <c r="H37" s="266"/>
      <c r="I37" s="259">
        <f t="shared" si="2"/>
        <v>0</v>
      </c>
      <c r="J37" s="127"/>
    </row>
    <row r="38" spans="2:10" x14ac:dyDescent="0.25">
      <c r="B38" s="195">
        <f t="shared" si="1"/>
        <v>0</v>
      </c>
      <c r="C38" s="15"/>
      <c r="D38" s="69"/>
      <c r="E38" s="325"/>
      <c r="F38" s="264">
        <f t="shared" si="0"/>
        <v>0</v>
      </c>
      <c r="G38" s="265"/>
      <c r="H38" s="266"/>
      <c r="I38" s="259">
        <f t="shared" si="2"/>
        <v>0</v>
      </c>
      <c r="J38" s="127"/>
    </row>
    <row r="39" spans="2:10" x14ac:dyDescent="0.25">
      <c r="B39" s="195">
        <f t="shared" si="1"/>
        <v>0</v>
      </c>
      <c r="C39" s="15"/>
      <c r="D39" s="69"/>
      <c r="E39" s="325"/>
      <c r="F39" s="264">
        <f t="shared" si="0"/>
        <v>0</v>
      </c>
      <c r="G39" s="265"/>
      <c r="H39" s="266"/>
      <c r="I39" s="259">
        <f t="shared" si="2"/>
        <v>0</v>
      </c>
      <c r="J39" s="127"/>
    </row>
    <row r="40" spans="2:10" x14ac:dyDescent="0.25">
      <c r="B40" s="195">
        <f t="shared" si="1"/>
        <v>0</v>
      </c>
      <c r="C40" s="15"/>
      <c r="D40" s="69"/>
      <c r="E40" s="325"/>
      <c r="F40" s="264">
        <f t="shared" si="0"/>
        <v>0</v>
      </c>
      <c r="G40" s="265"/>
      <c r="H40" s="266"/>
      <c r="I40" s="259">
        <f t="shared" si="2"/>
        <v>0</v>
      </c>
      <c r="J40" s="127"/>
    </row>
    <row r="41" spans="2:10" x14ac:dyDescent="0.25">
      <c r="B41" s="195">
        <f t="shared" si="1"/>
        <v>0</v>
      </c>
      <c r="C41" s="15"/>
      <c r="D41" s="69"/>
      <c r="E41" s="325"/>
      <c r="F41" s="264">
        <f t="shared" si="0"/>
        <v>0</v>
      </c>
      <c r="G41" s="265"/>
      <c r="H41" s="266"/>
      <c r="I41" s="259">
        <f t="shared" si="2"/>
        <v>0</v>
      </c>
      <c r="J41" s="127"/>
    </row>
    <row r="42" spans="2:10" x14ac:dyDescent="0.25">
      <c r="B42" s="195">
        <f t="shared" si="1"/>
        <v>0</v>
      </c>
      <c r="C42" s="15"/>
      <c r="D42" s="69"/>
      <c r="E42" s="325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5">
        <f t="shared" si="1"/>
        <v>0</v>
      </c>
      <c r="C43" s="15"/>
      <c r="D43" s="69"/>
      <c r="E43" s="325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5">
        <f t="shared" si="1"/>
        <v>0</v>
      </c>
      <c r="C44" s="15"/>
      <c r="D44" s="69"/>
      <c r="E44" s="325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5">
        <f t="shared" si="1"/>
        <v>0</v>
      </c>
      <c r="C45" s="15"/>
      <c r="D45" s="69"/>
      <c r="E45" s="325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5">
        <f t="shared" si="1"/>
        <v>0</v>
      </c>
      <c r="C46" s="15"/>
      <c r="D46" s="69"/>
      <c r="E46" s="325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5">
        <f t="shared" si="1"/>
        <v>0</v>
      </c>
      <c r="C47" s="15"/>
      <c r="D47" s="69"/>
      <c r="E47" s="325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5">
        <f t="shared" si="1"/>
        <v>0</v>
      </c>
      <c r="C48" s="15"/>
      <c r="D48" s="69"/>
      <c r="E48" s="325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5">
        <f t="shared" si="1"/>
        <v>0</v>
      </c>
      <c r="C49" s="15"/>
      <c r="D49" s="69"/>
      <c r="E49" s="325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5">
        <f t="shared" si="1"/>
        <v>0</v>
      </c>
      <c r="C50" s="15"/>
      <c r="D50" s="69"/>
      <c r="E50" s="325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5">
        <f t="shared" si="1"/>
        <v>0</v>
      </c>
      <c r="C51" s="15"/>
      <c r="D51" s="69"/>
      <c r="E51" s="325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5">
        <f t="shared" si="1"/>
        <v>0</v>
      </c>
      <c r="C52" s="15"/>
      <c r="D52" s="69"/>
      <c r="E52" s="325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5">
        <f t="shared" si="1"/>
        <v>0</v>
      </c>
      <c r="C53" s="15"/>
      <c r="D53" s="69"/>
      <c r="E53" s="325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5"/>
      <c r="E54" s="162"/>
      <c r="F54" s="155">
        <f t="shared" si="0"/>
        <v>0</v>
      </c>
      <c r="G54" s="220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200" t="s">
        <v>11</v>
      </c>
      <c r="D60" s="1201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59"/>
  <sheetViews>
    <sheetView topLeftCell="J1" workbookViewId="0">
      <pane ySplit="9" topLeftCell="A10" activePane="bottomLeft" state="frozen"/>
      <selection pane="bottomLeft" activeCell="M7" sqref="M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1198" t="s">
        <v>231</v>
      </c>
      <c r="B1" s="1198"/>
      <c r="C1" s="1198"/>
      <c r="D1" s="1198"/>
      <c r="E1" s="1198"/>
      <c r="F1" s="1198"/>
      <c r="G1" s="1198"/>
      <c r="H1" s="11">
        <v>1</v>
      </c>
      <c r="K1" s="1202" t="s">
        <v>240</v>
      </c>
      <c r="L1" s="1202"/>
      <c r="M1" s="1202"/>
      <c r="N1" s="1202"/>
      <c r="O1" s="1202"/>
      <c r="P1" s="1202"/>
      <c r="Q1" s="1202"/>
      <c r="R1" s="11">
        <v>1</v>
      </c>
    </row>
    <row r="2" spans="1:19" ht="15.75" thickBot="1" x14ac:dyDescent="0.3"/>
    <row r="3" spans="1:19" ht="16.5" thickTop="1" thickBot="1" x14ac:dyDescent="0.3">
      <c r="A3" s="503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503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154" t="s">
        <v>52</v>
      </c>
      <c r="B4" s="744"/>
      <c r="C4" s="128">
        <v>26</v>
      </c>
      <c r="D4" s="135">
        <v>44650</v>
      </c>
      <c r="E4" s="86">
        <v>188.81</v>
      </c>
      <c r="F4" s="73">
        <v>7</v>
      </c>
      <c r="G4" s="932"/>
      <c r="K4" s="1154" t="s">
        <v>52</v>
      </c>
      <c r="L4" s="744"/>
      <c r="M4" s="128"/>
      <c r="N4" s="135"/>
      <c r="O4" s="86">
        <v>18.02</v>
      </c>
      <c r="P4" s="73">
        <v>0</v>
      </c>
      <c r="Q4" s="1007"/>
    </row>
    <row r="5" spans="1:19" x14ac:dyDescent="0.25">
      <c r="A5" s="1155"/>
      <c r="B5" s="1270" t="s">
        <v>75</v>
      </c>
      <c r="C5" s="249">
        <v>32</v>
      </c>
      <c r="D5" s="245">
        <v>44664</v>
      </c>
      <c r="E5" s="246">
        <v>595.26</v>
      </c>
      <c r="F5" s="243">
        <v>20</v>
      </c>
      <c r="G5" s="48">
        <f>F52</f>
        <v>2620.9700000000003</v>
      </c>
      <c r="H5" s="138">
        <f>E5-G5+E4+E6+E7+E8</f>
        <v>-3.4106051316484809E-13</v>
      </c>
      <c r="K5" s="1155"/>
      <c r="L5" s="1270" t="s">
        <v>75</v>
      </c>
      <c r="M5" s="249">
        <v>30</v>
      </c>
      <c r="N5" s="245">
        <v>44690</v>
      </c>
      <c r="O5" s="246">
        <v>1286.32</v>
      </c>
      <c r="P5" s="243">
        <v>45</v>
      </c>
      <c r="Q5" s="48">
        <f>P52</f>
        <v>810.26</v>
      </c>
      <c r="R5" s="138">
        <f>O5-Q5+O4+O6+O7+O8</f>
        <v>4043.62</v>
      </c>
    </row>
    <row r="6" spans="1:19" ht="16.5" thickBot="1" x14ac:dyDescent="0.3">
      <c r="A6" s="1272"/>
      <c r="B6" s="1271"/>
      <c r="C6" s="923">
        <v>28</v>
      </c>
      <c r="D6" s="245">
        <v>44669</v>
      </c>
      <c r="E6" s="246">
        <v>996.93</v>
      </c>
      <c r="F6" s="243">
        <v>33</v>
      </c>
      <c r="G6" s="73"/>
      <c r="K6" s="1272"/>
      <c r="L6" s="1271"/>
      <c r="M6" s="923">
        <v>32</v>
      </c>
      <c r="N6" s="245">
        <v>44707</v>
      </c>
      <c r="O6" s="246">
        <v>3030.44</v>
      </c>
      <c r="P6" s="243">
        <v>102</v>
      </c>
      <c r="Q6" s="73"/>
    </row>
    <row r="7" spans="1:19" ht="21.75" customHeight="1" x14ac:dyDescent="0.25">
      <c r="A7" s="240"/>
      <c r="C7" s="102">
        <v>30</v>
      </c>
      <c r="D7" s="135">
        <v>44673</v>
      </c>
      <c r="E7" s="105">
        <v>839.97</v>
      </c>
      <c r="F7" s="73">
        <v>29</v>
      </c>
      <c r="G7" s="73"/>
      <c r="K7" s="849" t="s">
        <v>67</v>
      </c>
      <c r="M7" s="1116">
        <v>27.5</v>
      </c>
      <c r="N7" s="135">
        <v>44709</v>
      </c>
      <c r="O7" s="105">
        <v>519.1</v>
      </c>
      <c r="P7" s="73">
        <v>21</v>
      </c>
      <c r="Q7" s="73"/>
    </row>
    <row r="8" spans="1:19" ht="15.75" thickBot="1" x14ac:dyDescent="0.3">
      <c r="A8" s="240"/>
      <c r="C8" s="102"/>
      <c r="D8" s="135"/>
      <c r="E8" s="105"/>
      <c r="F8" s="73"/>
      <c r="G8" s="73"/>
      <c r="K8" s="240"/>
      <c r="M8" s="102"/>
      <c r="N8" s="135"/>
      <c r="O8" s="105"/>
      <c r="P8" s="73"/>
      <c r="Q8" s="73"/>
    </row>
    <row r="9" spans="1:19" ht="16.5" thickTop="1" thickBot="1" x14ac:dyDescent="0.3">
      <c r="A9" s="240"/>
      <c r="B9" s="24" t="s">
        <v>7</v>
      </c>
      <c r="C9" s="20" t="s">
        <v>8</v>
      </c>
      <c r="D9" s="906" t="s">
        <v>3</v>
      </c>
      <c r="E9" s="23" t="s">
        <v>2</v>
      </c>
      <c r="F9" s="26" t="s">
        <v>18</v>
      </c>
      <c r="G9" s="10" t="s">
        <v>15</v>
      </c>
      <c r="H9" s="24"/>
      <c r="I9" s="459" t="s">
        <v>53</v>
      </c>
      <c r="K9" s="240"/>
      <c r="L9" s="24" t="s">
        <v>7</v>
      </c>
      <c r="M9" s="20" t="s">
        <v>8</v>
      </c>
      <c r="N9" s="906" t="s">
        <v>3</v>
      </c>
      <c r="O9" s="23" t="s">
        <v>2</v>
      </c>
      <c r="P9" s="26" t="s">
        <v>18</v>
      </c>
      <c r="Q9" s="10" t="s">
        <v>15</v>
      </c>
      <c r="R9" s="24"/>
      <c r="S9" s="459" t="s">
        <v>53</v>
      </c>
    </row>
    <row r="10" spans="1:19" ht="15.75" thickTop="1" x14ac:dyDescent="0.25">
      <c r="A10" s="953"/>
      <c r="B10" s="284">
        <f>F4+F5+F6+F7+F8-C10</f>
        <v>82</v>
      </c>
      <c r="C10" s="15">
        <v>7</v>
      </c>
      <c r="D10" s="92">
        <v>188.81</v>
      </c>
      <c r="E10" s="888">
        <v>44650</v>
      </c>
      <c r="F10" s="842">
        <f>D10</f>
        <v>188.81</v>
      </c>
      <c r="G10" s="843" t="s">
        <v>118</v>
      </c>
      <c r="H10" s="238">
        <v>28</v>
      </c>
      <c r="I10" s="270">
        <f>E6+E5+E4-F10+E7+E8</f>
        <v>2432.16</v>
      </c>
      <c r="K10" s="953"/>
      <c r="L10" s="284">
        <f>P4+P5+P6+P7+P8-M10</f>
        <v>161</v>
      </c>
      <c r="M10" s="15">
        <f>6+1</f>
        <v>7</v>
      </c>
      <c r="N10" s="92">
        <f>173.53+31.51</f>
        <v>205.04</v>
      </c>
      <c r="O10" s="888">
        <v>44695</v>
      </c>
      <c r="P10" s="842">
        <f>N10</f>
        <v>205.04</v>
      </c>
      <c r="Q10" s="843" t="s">
        <v>498</v>
      </c>
      <c r="R10" s="238">
        <v>34</v>
      </c>
      <c r="S10" s="270">
        <f>O6+O5+O4-P10+O7+O8</f>
        <v>4648.8400000000011</v>
      </c>
    </row>
    <row r="11" spans="1:19" x14ac:dyDescent="0.25">
      <c r="A11" s="242"/>
      <c r="B11" s="458">
        <f>B10-C11</f>
        <v>80</v>
      </c>
      <c r="C11" s="780">
        <v>2</v>
      </c>
      <c r="D11" s="432">
        <v>59.54</v>
      </c>
      <c r="E11" s="890">
        <v>44665</v>
      </c>
      <c r="F11" s="889">
        <f t="shared" ref="F11:F41" si="0">D11</f>
        <v>59.54</v>
      </c>
      <c r="G11" s="891" t="s">
        <v>160</v>
      </c>
      <c r="H11" s="892">
        <v>34</v>
      </c>
      <c r="I11" s="270">
        <f>I10-F11</f>
        <v>2372.62</v>
      </c>
      <c r="K11" s="242"/>
      <c r="L11" s="458">
        <f>L10-M11</f>
        <v>160</v>
      </c>
      <c r="M11" s="780">
        <v>1</v>
      </c>
      <c r="N11" s="432">
        <v>30.58</v>
      </c>
      <c r="O11" s="890">
        <v>44698</v>
      </c>
      <c r="P11" s="889">
        <f t="shared" ref="P11:P41" si="1">N11</f>
        <v>30.58</v>
      </c>
      <c r="Q11" s="891" t="s">
        <v>492</v>
      </c>
      <c r="R11" s="892">
        <v>34</v>
      </c>
      <c r="S11" s="270">
        <f>S10-P11</f>
        <v>4618.2600000000011</v>
      </c>
    </row>
    <row r="12" spans="1:19" x14ac:dyDescent="0.25">
      <c r="A12" s="242"/>
      <c r="B12" s="458">
        <f t="shared" ref="B12:B41" si="2">B11-C12</f>
        <v>69</v>
      </c>
      <c r="C12" s="780">
        <v>11</v>
      </c>
      <c r="D12" s="432">
        <v>324.41000000000003</v>
      </c>
      <c r="E12" s="890">
        <v>44665</v>
      </c>
      <c r="F12" s="889">
        <f t="shared" si="0"/>
        <v>324.41000000000003</v>
      </c>
      <c r="G12" s="891" t="s">
        <v>164</v>
      </c>
      <c r="H12" s="892">
        <v>34</v>
      </c>
      <c r="I12" s="270">
        <f t="shared" ref="I12:I13" si="3">I11-F12</f>
        <v>2048.21</v>
      </c>
      <c r="K12" s="242"/>
      <c r="L12" s="458">
        <f t="shared" ref="L12:L41" si="4">L11-M12</f>
        <v>153</v>
      </c>
      <c r="M12" s="780">
        <v>7</v>
      </c>
      <c r="N12" s="432">
        <v>203.1</v>
      </c>
      <c r="O12" s="890">
        <v>44698</v>
      </c>
      <c r="P12" s="889">
        <f t="shared" si="1"/>
        <v>203.1</v>
      </c>
      <c r="Q12" s="891" t="s">
        <v>515</v>
      </c>
      <c r="R12" s="892">
        <v>34</v>
      </c>
      <c r="S12" s="270">
        <f t="shared" ref="S12:S13" si="5">S11-P12</f>
        <v>4415.1600000000008</v>
      </c>
    </row>
    <row r="13" spans="1:19" x14ac:dyDescent="0.25">
      <c r="A13" s="953"/>
      <c r="B13" s="458">
        <f t="shared" si="2"/>
        <v>65</v>
      </c>
      <c r="C13" s="431">
        <v>4</v>
      </c>
      <c r="D13" s="570">
        <v>117.4</v>
      </c>
      <c r="E13" s="890">
        <v>44676</v>
      </c>
      <c r="F13" s="889">
        <f t="shared" si="0"/>
        <v>117.4</v>
      </c>
      <c r="G13" s="891" t="s">
        <v>185</v>
      </c>
      <c r="H13" s="892">
        <v>34</v>
      </c>
      <c r="I13" s="270">
        <f t="shared" si="3"/>
        <v>1930.81</v>
      </c>
      <c r="K13" s="953"/>
      <c r="L13" s="458">
        <f t="shared" si="4"/>
        <v>150</v>
      </c>
      <c r="M13" s="431">
        <v>3</v>
      </c>
      <c r="N13" s="570">
        <v>86.09</v>
      </c>
      <c r="O13" s="890">
        <v>44699</v>
      </c>
      <c r="P13" s="889">
        <f t="shared" si="1"/>
        <v>86.09</v>
      </c>
      <c r="Q13" s="891" t="s">
        <v>481</v>
      </c>
      <c r="R13" s="892">
        <v>34</v>
      </c>
      <c r="S13" s="270">
        <f t="shared" si="5"/>
        <v>4329.0700000000006</v>
      </c>
    </row>
    <row r="14" spans="1:19" x14ac:dyDescent="0.25">
      <c r="A14" s="242"/>
      <c r="B14" s="458">
        <f t="shared" si="2"/>
        <v>64</v>
      </c>
      <c r="C14" s="431">
        <v>1</v>
      </c>
      <c r="D14" s="570">
        <v>30.33</v>
      </c>
      <c r="E14" s="890">
        <v>44676</v>
      </c>
      <c r="F14" s="889">
        <f t="shared" si="0"/>
        <v>30.33</v>
      </c>
      <c r="G14" s="891" t="s">
        <v>192</v>
      </c>
      <c r="H14" s="892">
        <v>34</v>
      </c>
      <c r="I14" s="270">
        <f>I13-F14</f>
        <v>1900.48</v>
      </c>
      <c r="K14" s="242"/>
      <c r="L14" s="458">
        <f t="shared" si="4"/>
        <v>146</v>
      </c>
      <c r="M14" s="431">
        <v>4</v>
      </c>
      <c r="N14" s="570">
        <v>119.65</v>
      </c>
      <c r="O14" s="890">
        <v>44701</v>
      </c>
      <c r="P14" s="889">
        <f t="shared" si="1"/>
        <v>119.65</v>
      </c>
      <c r="Q14" s="891" t="s">
        <v>542</v>
      </c>
      <c r="R14" s="892">
        <v>34</v>
      </c>
      <c r="S14" s="270">
        <f>S13-P14</f>
        <v>4209.420000000001</v>
      </c>
    </row>
    <row r="15" spans="1:19" x14ac:dyDescent="0.25">
      <c r="A15" s="242"/>
      <c r="B15" s="458">
        <f t="shared" si="2"/>
        <v>63</v>
      </c>
      <c r="C15" s="431">
        <v>1</v>
      </c>
      <c r="D15" s="570">
        <v>29.46</v>
      </c>
      <c r="E15" s="890">
        <v>44676</v>
      </c>
      <c r="F15" s="889">
        <f t="shared" si="0"/>
        <v>29.46</v>
      </c>
      <c r="G15" s="891" t="s">
        <v>193</v>
      </c>
      <c r="H15" s="892">
        <v>34</v>
      </c>
      <c r="I15" s="270">
        <f t="shared" ref="I15:I41" si="6">I14-F15</f>
        <v>1871.02</v>
      </c>
      <c r="K15" s="242"/>
      <c r="L15" s="458">
        <f t="shared" si="4"/>
        <v>145</v>
      </c>
      <c r="M15" s="431">
        <v>1</v>
      </c>
      <c r="N15" s="570">
        <v>23.43</v>
      </c>
      <c r="O15" s="890">
        <v>44702</v>
      </c>
      <c r="P15" s="889">
        <f t="shared" si="1"/>
        <v>23.43</v>
      </c>
      <c r="Q15" s="891" t="s">
        <v>544</v>
      </c>
      <c r="R15" s="892">
        <v>34</v>
      </c>
      <c r="S15" s="270">
        <f t="shared" ref="S15:S41" si="7">S14-P15</f>
        <v>4185.9900000000007</v>
      </c>
    </row>
    <row r="16" spans="1:19" x14ac:dyDescent="0.25">
      <c r="A16" s="240"/>
      <c r="B16" s="458">
        <f t="shared" si="2"/>
        <v>59</v>
      </c>
      <c r="C16" s="431">
        <v>4</v>
      </c>
      <c r="D16" s="570">
        <v>121.88</v>
      </c>
      <c r="E16" s="890">
        <v>44677</v>
      </c>
      <c r="F16" s="889">
        <f t="shared" si="0"/>
        <v>121.88</v>
      </c>
      <c r="G16" s="891" t="s">
        <v>195</v>
      </c>
      <c r="H16" s="892">
        <v>35</v>
      </c>
      <c r="I16" s="270">
        <f t="shared" si="6"/>
        <v>1749.1399999999999</v>
      </c>
      <c r="K16" s="240"/>
      <c r="L16" s="458">
        <f t="shared" si="4"/>
        <v>140</v>
      </c>
      <c r="M16" s="431">
        <v>5</v>
      </c>
      <c r="N16" s="570">
        <v>142.37</v>
      </c>
      <c r="O16" s="890">
        <v>44702</v>
      </c>
      <c r="P16" s="889">
        <f t="shared" si="1"/>
        <v>142.37</v>
      </c>
      <c r="Q16" s="891" t="s">
        <v>547</v>
      </c>
      <c r="R16" s="892">
        <v>34</v>
      </c>
      <c r="S16" s="270">
        <f t="shared" si="7"/>
        <v>4043.6200000000008</v>
      </c>
    </row>
    <row r="17" spans="1:19" x14ac:dyDescent="0.25">
      <c r="A17" s="240"/>
      <c r="B17" s="458">
        <f t="shared" si="2"/>
        <v>57</v>
      </c>
      <c r="C17" s="431">
        <v>2</v>
      </c>
      <c r="D17" s="570">
        <v>53.93</v>
      </c>
      <c r="E17" s="890">
        <v>44678</v>
      </c>
      <c r="F17" s="889">
        <f t="shared" si="0"/>
        <v>53.93</v>
      </c>
      <c r="G17" s="891" t="s">
        <v>186</v>
      </c>
      <c r="H17" s="892">
        <v>34</v>
      </c>
      <c r="I17" s="270">
        <f t="shared" si="6"/>
        <v>1695.2099999999998</v>
      </c>
      <c r="K17" s="240"/>
      <c r="L17" s="458">
        <f t="shared" si="4"/>
        <v>140</v>
      </c>
      <c r="M17" s="431"/>
      <c r="N17" s="570"/>
      <c r="O17" s="890"/>
      <c r="P17" s="889">
        <f t="shared" si="1"/>
        <v>0</v>
      </c>
      <c r="Q17" s="891"/>
      <c r="R17" s="892"/>
      <c r="S17" s="270">
        <f t="shared" si="7"/>
        <v>4043.6200000000008</v>
      </c>
    </row>
    <row r="18" spans="1:19" x14ac:dyDescent="0.25">
      <c r="A18" s="240"/>
      <c r="B18" s="458">
        <f t="shared" si="2"/>
        <v>53</v>
      </c>
      <c r="C18" s="431">
        <v>4</v>
      </c>
      <c r="D18" s="570">
        <v>118.23</v>
      </c>
      <c r="E18" s="890">
        <v>44679</v>
      </c>
      <c r="F18" s="889">
        <f t="shared" si="0"/>
        <v>118.23</v>
      </c>
      <c r="G18" s="891" t="s">
        <v>202</v>
      </c>
      <c r="H18" s="892">
        <v>34</v>
      </c>
      <c r="I18" s="270">
        <f t="shared" si="6"/>
        <v>1576.9799999999998</v>
      </c>
      <c r="K18" s="240"/>
      <c r="L18" s="458">
        <f t="shared" si="4"/>
        <v>140</v>
      </c>
      <c r="M18" s="431"/>
      <c r="N18" s="570"/>
      <c r="O18" s="890"/>
      <c r="P18" s="889">
        <f t="shared" si="1"/>
        <v>0</v>
      </c>
      <c r="Q18" s="891"/>
      <c r="R18" s="892"/>
      <c r="S18" s="270">
        <f t="shared" si="7"/>
        <v>4043.6200000000008</v>
      </c>
    </row>
    <row r="19" spans="1:19" x14ac:dyDescent="0.25">
      <c r="A19" s="240"/>
      <c r="B19" s="458">
        <f t="shared" si="2"/>
        <v>46</v>
      </c>
      <c r="C19" s="431">
        <v>7</v>
      </c>
      <c r="D19" s="570">
        <v>205.81</v>
      </c>
      <c r="E19" s="890">
        <v>44681</v>
      </c>
      <c r="F19" s="889">
        <f t="shared" si="0"/>
        <v>205.81</v>
      </c>
      <c r="G19" s="891" t="s">
        <v>210</v>
      </c>
      <c r="H19" s="892">
        <v>34</v>
      </c>
      <c r="I19" s="270">
        <f t="shared" si="6"/>
        <v>1371.1699999999998</v>
      </c>
      <c r="K19" s="240"/>
      <c r="L19" s="458">
        <f t="shared" si="4"/>
        <v>140</v>
      </c>
      <c r="M19" s="431"/>
      <c r="N19" s="570"/>
      <c r="O19" s="890"/>
      <c r="P19" s="889">
        <f t="shared" si="1"/>
        <v>0</v>
      </c>
      <c r="Q19" s="891"/>
      <c r="R19" s="892"/>
      <c r="S19" s="270">
        <f t="shared" si="7"/>
        <v>4043.6200000000008</v>
      </c>
    </row>
    <row r="20" spans="1:19" x14ac:dyDescent="0.25">
      <c r="A20" s="240"/>
      <c r="B20" s="458">
        <f t="shared" si="2"/>
        <v>39</v>
      </c>
      <c r="C20" s="431">
        <v>7</v>
      </c>
      <c r="D20" s="1046">
        <v>207.2</v>
      </c>
      <c r="E20" s="1047">
        <v>44683</v>
      </c>
      <c r="F20" s="1048">
        <f t="shared" si="0"/>
        <v>207.2</v>
      </c>
      <c r="G20" s="1049" t="s">
        <v>359</v>
      </c>
      <c r="H20" s="1050">
        <v>34</v>
      </c>
      <c r="I20" s="270">
        <f t="shared" si="6"/>
        <v>1163.9699999999998</v>
      </c>
      <c r="K20" s="240"/>
      <c r="L20" s="458">
        <f t="shared" si="4"/>
        <v>140</v>
      </c>
      <c r="M20" s="431"/>
      <c r="N20" s="570"/>
      <c r="O20" s="890"/>
      <c r="P20" s="889">
        <f t="shared" si="1"/>
        <v>0</v>
      </c>
      <c r="Q20" s="891"/>
      <c r="R20" s="892"/>
      <c r="S20" s="270">
        <f t="shared" si="7"/>
        <v>4043.6200000000008</v>
      </c>
    </row>
    <row r="21" spans="1:19" x14ac:dyDescent="0.25">
      <c r="A21" s="240"/>
      <c r="B21" s="458">
        <f t="shared" si="2"/>
        <v>38</v>
      </c>
      <c r="C21" s="431">
        <v>1</v>
      </c>
      <c r="D21" s="1046">
        <v>28.49</v>
      </c>
      <c r="E21" s="1047">
        <v>44685</v>
      </c>
      <c r="F21" s="1048">
        <f t="shared" si="0"/>
        <v>28.49</v>
      </c>
      <c r="G21" s="1051" t="s">
        <v>378</v>
      </c>
      <c r="H21" s="1052">
        <v>34</v>
      </c>
      <c r="I21" s="132">
        <f t="shared" si="6"/>
        <v>1135.4799999999998</v>
      </c>
      <c r="K21" s="240"/>
      <c r="L21" s="458">
        <f t="shared" si="4"/>
        <v>140</v>
      </c>
      <c r="M21" s="431"/>
      <c r="N21" s="570"/>
      <c r="O21" s="890"/>
      <c r="P21" s="889">
        <f t="shared" si="1"/>
        <v>0</v>
      </c>
      <c r="Q21" s="893"/>
      <c r="R21" s="894"/>
      <c r="S21" s="132">
        <f t="shared" si="7"/>
        <v>4043.6200000000008</v>
      </c>
    </row>
    <row r="22" spans="1:19" x14ac:dyDescent="0.25">
      <c r="A22" s="240"/>
      <c r="B22" s="458">
        <f t="shared" si="2"/>
        <v>37</v>
      </c>
      <c r="C22" s="431">
        <v>1</v>
      </c>
      <c r="D22" s="1046">
        <v>29.34</v>
      </c>
      <c r="E22" s="1047">
        <v>44685</v>
      </c>
      <c r="F22" s="1048">
        <f t="shared" si="0"/>
        <v>29.34</v>
      </c>
      <c r="G22" s="1051" t="s">
        <v>382</v>
      </c>
      <c r="H22" s="1052">
        <v>34</v>
      </c>
      <c r="I22" s="132">
        <f t="shared" si="6"/>
        <v>1106.1399999999999</v>
      </c>
      <c r="K22" s="240"/>
      <c r="L22" s="458">
        <f t="shared" si="4"/>
        <v>140</v>
      </c>
      <c r="M22" s="431"/>
      <c r="N22" s="570"/>
      <c r="O22" s="890"/>
      <c r="P22" s="889">
        <f t="shared" si="1"/>
        <v>0</v>
      </c>
      <c r="Q22" s="893"/>
      <c r="R22" s="894"/>
      <c r="S22" s="132">
        <f t="shared" si="7"/>
        <v>4043.6200000000008</v>
      </c>
    </row>
    <row r="23" spans="1:19" x14ac:dyDescent="0.25">
      <c r="A23" s="240"/>
      <c r="B23" s="458">
        <f t="shared" si="2"/>
        <v>30</v>
      </c>
      <c r="C23" s="431">
        <v>7</v>
      </c>
      <c r="D23" s="1046">
        <v>196.81</v>
      </c>
      <c r="E23" s="1047">
        <v>44685</v>
      </c>
      <c r="F23" s="1048">
        <f t="shared" si="0"/>
        <v>196.81</v>
      </c>
      <c r="G23" s="1051" t="s">
        <v>383</v>
      </c>
      <c r="H23" s="1052">
        <v>34</v>
      </c>
      <c r="I23" s="132">
        <f t="shared" si="6"/>
        <v>909.32999999999993</v>
      </c>
      <c r="K23" s="240"/>
      <c r="L23" s="458">
        <f t="shared" si="4"/>
        <v>140</v>
      </c>
      <c r="M23" s="431"/>
      <c r="N23" s="570"/>
      <c r="O23" s="890"/>
      <c r="P23" s="889">
        <f t="shared" si="1"/>
        <v>0</v>
      </c>
      <c r="Q23" s="893"/>
      <c r="R23" s="894"/>
      <c r="S23" s="132">
        <f t="shared" si="7"/>
        <v>4043.6200000000008</v>
      </c>
    </row>
    <row r="24" spans="1:19" x14ac:dyDescent="0.25">
      <c r="A24" s="240"/>
      <c r="B24" s="458">
        <f t="shared" si="2"/>
        <v>23</v>
      </c>
      <c r="C24" s="431">
        <v>7</v>
      </c>
      <c r="D24" s="1046">
        <v>213.98</v>
      </c>
      <c r="E24" s="1047">
        <v>44686</v>
      </c>
      <c r="F24" s="1048">
        <f t="shared" si="0"/>
        <v>213.98</v>
      </c>
      <c r="G24" s="1051" t="s">
        <v>396</v>
      </c>
      <c r="H24" s="1052">
        <v>34</v>
      </c>
      <c r="I24" s="132">
        <f t="shared" si="6"/>
        <v>695.34999999999991</v>
      </c>
      <c r="K24" s="240"/>
      <c r="L24" s="458">
        <f t="shared" si="4"/>
        <v>140</v>
      </c>
      <c r="M24" s="431"/>
      <c r="N24" s="570"/>
      <c r="O24" s="890"/>
      <c r="P24" s="889">
        <f t="shared" si="1"/>
        <v>0</v>
      </c>
      <c r="Q24" s="893"/>
      <c r="R24" s="894"/>
      <c r="S24" s="132">
        <f t="shared" si="7"/>
        <v>4043.6200000000008</v>
      </c>
    </row>
    <row r="25" spans="1:19" x14ac:dyDescent="0.25">
      <c r="A25" s="240"/>
      <c r="B25" s="458">
        <f t="shared" si="2"/>
        <v>21</v>
      </c>
      <c r="C25" s="431">
        <v>2</v>
      </c>
      <c r="D25" s="1046">
        <v>61.35</v>
      </c>
      <c r="E25" s="1047">
        <v>44686</v>
      </c>
      <c r="F25" s="1048">
        <f t="shared" si="0"/>
        <v>61.35</v>
      </c>
      <c r="G25" s="1051" t="s">
        <v>391</v>
      </c>
      <c r="H25" s="1052">
        <v>34</v>
      </c>
      <c r="I25" s="132">
        <f t="shared" si="6"/>
        <v>633.99999999999989</v>
      </c>
      <c r="K25" s="240"/>
      <c r="L25" s="458">
        <f t="shared" si="4"/>
        <v>140</v>
      </c>
      <c r="M25" s="431"/>
      <c r="N25" s="570"/>
      <c r="O25" s="890"/>
      <c r="P25" s="889">
        <f t="shared" si="1"/>
        <v>0</v>
      </c>
      <c r="Q25" s="893"/>
      <c r="R25" s="894"/>
      <c r="S25" s="132">
        <f t="shared" si="7"/>
        <v>4043.6200000000008</v>
      </c>
    </row>
    <row r="26" spans="1:19" x14ac:dyDescent="0.25">
      <c r="B26" s="458">
        <f t="shared" si="2"/>
        <v>14</v>
      </c>
      <c r="C26" s="431">
        <v>7</v>
      </c>
      <c r="D26" s="1046">
        <v>211.52</v>
      </c>
      <c r="E26" s="1047">
        <v>44687</v>
      </c>
      <c r="F26" s="1048">
        <f t="shared" si="0"/>
        <v>211.52</v>
      </c>
      <c r="G26" s="1051" t="s">
        <v>401</v>
      </c>
      <c r="H26" s="1052">
        <v>34</v>
      </c>
      <c r="I26" s="132">
        <f t="shared" si="6"/>
        <v>422.4799999999999</v>
      </c>
      <c r="L26" s="458">
        <f t="shared" si="4"/>
        <v>140</v>
      </c>
      <c r="M26" s="431"/>
      <c r="N26" s="570"/>
      <c r="O26" s="890"/>
      <c r="P26" s="889">
        <f t="shared" si="1"/>
        <v>0</v>
      </c>
      <c r="Q26" s="893"/>
      <c r="R26" s="894"/>
      <c r="S26" s="132">
        <f t="shared" si="7"/>
        <v>4043.6200000000008</v>
      </c>
    </row>
    <row r="27" spans="1:19" x14ac:dyDescent="0.25">
      <c r="B27" s="458">
        <f t="shared" si="2"/>
        <v>13</v>
      </c>
      <c r="C27" s="431">
        <v>1</v>
      </c>
      <c r="D27" s="1046">
        <v>32.119999999999997</v>
      </c>
      <c r="E27" s="1047">
        <v>44688</v>
      </c>
      <c r="F27" s="1048">
        <f t="shared" si="0"/>
        <v>32.119999999999997</v>
      </c>
      <c r="G27" s="1051" t="s">
        <v>414</v>
      </c>
      <c r="H27" s="1052">
        <v>34</v>
      </c>
      <c r="I27" s="132">
        <f t="shared" si="6"/>
        <v>390.3599999999999</v>
      </c>
      <c r="L27" s="458">
        <f t="shared" si="4"/>
        <v>140</v>
      </c>
      <c r="M27" s="431"/>
      <c r="N27" s="570"/>
      <c r="O27" s="890"/>
      <c r="P27" s="889">
        <f t="shared" si="1"/>
        <v>0</v>
      </c>
      <c r="Q27" s="893"/>
      <c r="R27" s="895"/>
      <c r="S27" s="132">
        <f t="shared" si="7"/>
        <v>4043.6200000000008</v>
      </c>
    </row>
    <row r="28" spans="1:19" x14ac:dyDescent="0.25">
      <c r="B28" s="458">
        <f t="shared" si="2"/>
        <v>12</v>
      </c>
      <c r="C28" s="431">
        <v>1</v>
      </c>
      <c r="D28" s="1046">
        <v>30.73</v>
      </c>
      <c r="E28" s="1047">
        <v>44688</v>
      </c>
      <c r="F28" s="1048">
        <f t="shared" si="0"/>
        <v>30.73</v>
      </c>
      <c r="G28" s="1051" t="s">
        <v>418</v>
      </c>
      <c r="H28" s="1052">
        <v>34</v>
      </c>
      <c r="I28" s="132">
        <f t="shared" si="6"/>
        <v>359.62999999999988</v>
      </c>
      <c r="L28" s="458">
        <f t="shared" si="4"/>
        <v>140</v>
      </c>
      <c r="M28" s="431"/>
      <c r="N28" s="570"/>
      <c r="O28" s="890"/>
      <c r="P28" s="889">
        <f t="shared" si="1"/>
        <v>0</v>
      </c>
      <c r="Q28" s="893"/>
      <c r="R28" s="895"/>
      <c r="S28" s="132">
        <f t="shared" si="7"/>
        <v>4043.6200000000008</v>
      </c>
    </row>
    <row r="29" spans="1:19" x14ac:dyDescent="0.25">
      <c r="B29" s="458">
        <f t="shared" si="2"/>
        <v>11</v>
      </c>
      <c r="C29" s="431">
        <v>1</v>
      </c>
      <c r="D29" s="1046">
        <v>29.9</v>
      </c>
      <c r="E29" s="1081">
        <v>44690</v>
      </c>
      <c r="F29" s="1048">
        <f t="shared" si="0"/>
        <v>29.9</v>
      </c>
      <c r="G29" s="1051" t="s">
        <v>423</v>
      </c>
      <c r="H29" s="1052">
        <v>34</v>
      </c>
      <c r="I29" s="132">
        <f t="shared" si="6"/>
        <v>329.7299999999999</v>
      </c>
      <c r="L29" s="458">
        <f t="shared" si="4"/>
        <v>140</v>
      </c>
      <c r="M29" s="431"/>
      <c r="N29" s="570"/>
      <c r="O29" s="890"/>
      <c r="P29" s="889">
        <f t="shared" si="1"/>
        <v>0</v>
      </c>
      <c r="Q29" s="893"/>
      <c r="R29" s="895"/>
      <c r="S29" s="132">
        <f t="shared" si="7"/>
        <v>4043.6200000000008</v>
      </c>
    </row>
    <row r="30" spans="1:19" x14ac:dyDescent="0.25">
      <c r="B30" s="458">
        <f t="shared" si="2"/>
        <v>10</v>
      </c>
      <c r="C30" s="431">
        <v>1</v>
      </c>
      <c r="D30" s="1046">
        <v>29.59</v>
      </c>
      <c r="E30" s="1081">
        <v>44691</v>
      </c>
      <c r="F30" s="1048">
        <f t="shared" si="0"/>
        <v>29.59</v>
      </c>
      <c r="G30" s="1051" t="s">
        <v>435</v>
      </c>
      <c r="H30" s="1052">
        <v>34</v>
      </c>
      <c r="I30" s="132">
        <f t="shared" si="6"/>
        <v>300.13999999999993</v>
      </c>
      <c r="L30" s="458">
        <f t="shared" si="4"/>
        <v>140</v>
      </c>
      <c r="M30" s="431"/>
      <c r="N30" s="570"/>
      <c r="O30" s="890"/>
      <c r="P30" s="889">
        <f t="shared" si="1"/>
        <v>0</v>
      </c>
      <c r="Q30" s="893"/>
      <c r="R30" s="895"/>
      <c r="S30" s="132">
        <f t="shared" si="7"/>
        <v>4043.6200000000008</v>
      </c>
    </row>
    <row r="31" spans="1:19" x14ac:dyDescent="0.25">
      <c r="B31" s="458">
        <f t="shared" si="2"/>
        <v>8</v>
      </c>
      <c r="C31" s="431">
        <v>2</v>
      </c>
      <c r="D31" s="1046">
        <v>50.94</v>
      </c>
      <c r="E31" s="1081">
        <v>44695</v>
      </c>
      <c r="F31" s="1048">
        <f t="shared" si="0"/>
        <v>50.94</v>
      </c>
      <c r="G31" s="1051" t="s">
        <v>478</v>
      </c>
      <c r="H31" s="1052">
        <v>34</v>
      </c>
      <c r="I31" s="132">
        <f t="shared" si="6"/>
        <v>249.19999999999993</v>
      </c>
      <c r="L31" s="458">
        <f t="shared" si="4"/>
        <v>140</v>
      </c>
      <c r="M31" s="431"/>
      <c r="N31" s="570"/>
      <c r="O31" s="896"/>
      <c r="P31" s="889">
        <f t="shared" si="1"/>
        <v>0</v>
      </c>
      <c r="Q31" s="897"/>
      <c r="R31" s="895"/>
      <c r="S31" s="132">
        <f t="shared" si="7"/>
        <v>4043.6200000000008</v>
      </c>
    </row>
    <row r="32" spans="1:19" x14ac:dyDescent="0.25">
      <c r="B32" s="458">
        <f t="shared" si="2"/>
        <v>2</v>
      </c>
      <c r="C32" s="431">
        <v>6</v>
      </c>
      <c r="D32" s="1046">
        <v>173.53</v>
      </c>
      <c r="E32" s="1081">
        <v>44695</v>
      </c>
      <c r="F32" s="1048">
        <f t="shared" si="0"/>
        <v>173.53</v>
      </c>
      <c r="G32" s="1051" t="s">
        <v>457</v>
      </c>
      <c r="H32" s="1052">
        <v>34</v>
      </c>
      <c r="I32" s="132">
        <f t="shared" si="6"/>
        <v>75.669999999999931</v>
      </c>
      <c r="L32" s="458">
        <f t="shared" si="4"/>
        <v>140</v>
      </c>
      <c r="M32" s="431"/>
      <c r="N32" s="570"/>
      <c r="O32" s="896"/>
      <c r="P32" s="889">
        <f t="shared" si="1"/>
        <v>0</v>
      </c>
      <c r="Q32" s="897"/>
      <c r="R32" s="895"/>
      <c r="S32" s="132">
        <f t="shared" si="7"/>
        <v>4043.6200000000008</v>
      </c>
    </row>
    <row r="33" spans="2:19" x14ac:dyDescent="0.25">
      <c r="B33" s="458">
        <f t="shared" si="2"/>
        <v>0</v>
      </c>
      <c r="C33" s="431">
        <v>2</v>
      </c>
      <c r="D33" s="1046">
        <v>57.65</v>
      </c>
      <c r="E33" s="1081">
        <v>44695</v>
      </c>
      <c r="F33" s="1048">
        <f t="shared" si="0"/>
        <v>57.65</v>
      </c>
      <c r="G33" s="1051" t="s">
        <v>491</v>
      </c>
      <c r="H33" s="1052">
        <v>34</v>
      </c>
      <c r="I33" s="132">
        <f t="shared" si="6"/>
        <v>18.019999999999932</v>
      </c>
      <c r="L33" s="458">
        <f t="shared" si="4"/>
        <v>140</v>
      </c>
      <c r="M33" s="431"/>
      <c r="N33" s="570"/>
      <c r="O33" s="896"/>
      <c r="P33" s="889">
        <f t="shared" si="1"/>
        <v>0</v>
      </c>
      <c r="Q33" s="897"/>
      <c r="R33" s="895"/>
      <c r="S33" s="132">
        <f t="shared" si="7"/>
        <v>4043.6200000000008</v>
      </c>
    </row>
    <row r="34" spans="2:19" x14ac:dyDescent="0.25">
      <c r="B34" s="458">
        <f t="shared" si="2"/>
        <v>0</v>
      </c>
      <c r="C34" s="431"/>
      <c r="D34" s="1046"/>
      <c r="E34" s="1081"/>
      <c r="F34" s="1086">
        <f t="shared" si="0"/>
        <v>0</v>
      </c>
      <c r="G34" s="1087"/>
      <c r="H34" s="1088"/>
      <c r="I34" s="1089">
        <f t="shared" si="6"/>
        <v>18.019999999999932</v>
      </c>
      <c r="J34" s="1090"/>
      <c r="L34" s="458">
        <f t="shared" si="4"/>
        <v>140</v>
      </c>
      <c r="M34" s="431"/>
      <c r="N34" s="570"/>
      <c r="O34" s="896"/>
      <c r="P34" s="889">
        <f t="shared" si="1"/>
        <v>0</v>
      </c>
      <c r="Q34" s="897"/>
      <c r="R34" s="895"/>
      <c r="S34" s="132">
        <f t="shared" si="7"/>
        <v>4043.6200000000008</v>
      </c>
    </row>
    <row r="35" spans="2:19" x14ac:dyDescent="0.25">
      <c r="B35" s="458">
        <f t="shared" si="2"/>
        <v>0</v>
      </c>
      <c r="C35" s="431"/>
      <c r="D35" s="1046"/>
      <c r="E35" s="1081"/>
      <c r="F35" s="1086">
        <f t="shared" si="0"/>
        <v>0</v>
      </c>
      <c r="G35" s="1087"/>
      <c r="H35" s="1088"/>
      <c r="I35" s="1089">
        <f t="shared" si="6"/>
        <v>18.019999999999932</v>
      </c>
      <c r="J35" s="1090"/>
      <c r="L35" s="458">
        <f t="shared" si="4"/>
        <v>140</v>
      </c>
      <c r="M35" s="431"/>
      <c r="N35" s="570"/>
      <c r="O35" s="896"/>
      <c r="P35" s="889">
        <f t="shared" si="1"/>
        <v>0</v>
      </c>
      <c r="Q35" s="897"/>
      <c r="R35" s="895"/>
      <c r="S35" s="132">
        <f t="shared" si="7"/>
        <v>4043.6200000000008</v>
      </c>
    </row>
    <row r="36" spans="2:19" x14ac:dyDescent="0.25">
      <c r="B36" s="458">
        <f t="shared" si="2"/>
        <v>0</v>
      </c>
      <c r="C36" s="431"/>
      <c r="D36" s="1046"/>
      <c r="E36" s="1081"/>
      <c r="F36" s="1086">
        <v>18.02</v>
      </c>
      <c r="G36" s="1087"/>
      <c r="H36" s="1088"/>
      <c r="I36" s="1089">
        <f t="shared" si="6"/>
        <v>-6.7501559897209518E-14</v>
      </c>
      <c r="J36" s="1090"/>
      <c r="L36" s="458">
        <f t="shared" si="4"/>
        <v>140</v>
      </c>
      <c r="M36" s="431"/>
      <c r="N36" s="570"/>
      <c r="O36" s="896"/>
      <c r="P36" s="889">
        <f t="shared" si="1"/>
        <v>0</v>
      </c>
      <c r="Q36" s="897"/>
      <c r="R36" s="895"/>
      <c r="S36" s="132">
        <f t="shared" si="7"/>
        <v>4043.6200000000008</v>
      </c>
    </row>
    <row r="37" spans="2:19" x14ac:dyDescent="0.25">
      <c r="B37" s="458">
        <f t="shared" si="2"/>
        <v>0</v>
      </c>
      <c r="C37" s="431"/>
      <c r="D37" s="1046"/>
      <c r="E37" s="1081"/>
      <c r="F37" s="1086">
        <f t="shared" si="0"/>
        <v>0</v>
      </c>
      <c r="G37" s="1087"/>
      <c r="H37" s="1088"/>
      <c r="I37" s="1089">
        <f t="shared" si="6"/>
        <v>-6.7501559897209518E-14</v>
      </c>
      <c r="J37" s="1090"/>
      <c r="L37" s="458">
        <f t="shared" si="4"/>
        <v>140</v>
      </c>
      <c r="M37" s="431"/>
      <c r="N37" s="570"/>
      <c r="O37" s="896"/>
      <c r="P37" s="889">
        <f t="shared" si="1"/>
        <v>0</v>
      </c>
      <c r="Q37" s="897"/>
      <c r="R37" s="895"/>
      <c r="S37" s="132">
        <f t="shared" si="7"/>
        <v>4043.6200000000008</v>
      </c>
    </row>
    <row r="38" spans="2:19" x14ac:dyDescent="0.25">
      <c r="B38" s="458">
        <f t="shared" si="2"/>
        <v>0</v>
      </c>
      <c r="C38" s="431"/>
      <c r="D38" s="1046"/>
      <c r="E38" s="1081"/>
      <c r="F38" s="1086">
        <f t="shared" si="0"/>
        <v>0</v>
      </c>
      <c r="G38" s="1087"/>
      <c r="H38" s="1088"/>
      <c r="I38" s="1089">
        <f t="shared" si="6"/>
        <v>-6.7501559897209518E-14</v>
      </c>
      <c r="J38" s="1090"/>
      <c r="L38" s="458">
        <f t="shared" si="4"/>
        <v>140</v>
      </c>
      <c r="M38" s="431"/>
      <c r="N38" s="570"/>
      <c r="O38" s="896"/>
      <c r="P38" s="889">
        <f t="shared" si="1"/>
        <v>0</v>
      </c>
      <c r="Q38" s="897"/>
      <c r="R38" s="895"/>
      <c r="S38" s="132">
        <f t="shared" si="7"/>
        <v>4043.6200000000008</v>
      </c>
    </row>
    <row r="39" spans="2:19" x14ac:dyDescent="0.25">
      <c r="B39" s="458">
        <f t="shared" si="2"/>
        <v>0</v>
      </c>
      <c r="C39" s="431"/>
      <c r="D39" s="1046"/>
      <c r="E39" s="1081"/>
      <c r="F39" s="1086">
        <f t="shared" si="0"/>
        <v>0</v>
      </c>
      <c r="G39" s="1087"/>
      <c r="H39" s="1088"/>
      <c r="I39" s="1089">
        <f t="shared" si="6"/>
        <v>-6.7501559897209518E-14</v>
      </c>
      <c r="J39" s="1090"/>
      <c r="L39" s="458">
        <f t="shared" si="4"/>
        <v>140</v>
      </c>
      <c r="M39" s="431"/>
      <c r="N39" s="570"/>
      <c r="O39" s="896"/>
      <c r="P39" s="889">
        <f t="shared" si="1"/>
        <v>0</v>
      </c>
      <c r="Q39" s="897"/>
      <c r="R39" s="895"/>
      <c r="S39" s="132">
        <f t="shared" si="7"/>
        <v>4043.6200000000008</v>
      </c>
    </row>
    <row r="40" spans="2:19" x14ac:dyDescent="0.25">
      <c r="B40" s="458">
        <f t="shared" si="2"/>
        <v>0</v>
      </c>
      <c r="C40" s="431"/>
      <c r="D40" s="570"/>
      <c r="E40" s="1082"/>
      <c r="F40" s="1091">
        <f t="shared" si="0"/>
        <v>0</v>
      </c>
      <c r="G40" s="1092"/>
      <c r="H40" s="1093"/>
      <c r="I40" s="1089">
        <f t="shared" si="6"/>
        <v>-6.7501559897209518E-14</v>
      </c>
      <c r="J40" s="1090"/>
      <c r="L40" s="458">
        <f t="shared" si="4"/>
        <v>140</v>
      </c>
      <c r="M40" s="431"/>
      <c r="N40" s="570"/>
      <c r="O40" s="896"/>
      <c r="P40" s="889">
        <f t="shared" si="1"/>
        <v>0</v>
      </c>
      <c r="Q40" s="897"/>
      <c r="R40" s="895"/>
      <c r="S40" s="132">
        <f t="shared" si="7"/>
        <v>4043.6200000000008</v>
      </c>
    </row>
    <row r="41" spans="2:19" x14ac:dyDescent="0.25">
      <c r="B41" s="458">
        <f t="shared" si="2"/>
        <v>0</v>
      </c>
      <c r="C41" s="431"/>
      <c r="D41" s="570"/>
      <c r="E41" s="1082"/>
      <c r="F41" s="889">
        <f t="shared" si="0"/>
        <v>0</v>
      </c>
      <c r="G41" s="899"/>
      <c r="H41" s="1076"/>
      <c r="I41" s="132">
        <f t="shared" si="6"/>
        <v>-6.7501559897209518E-14</v>
      </c>
      <c r="L41" s="458">
        <f t="shared" si="4"/>
        <v>140</v>
      </c>
      <c r="M41" s="431"/>
      <c r="N41" s="570"/>
      <c r="O41" s="898"/>
      <c r="P41" s="889">
        <f t="shared" si="1"/>
        <v>0</v>
      </c>
      <c r="Q41" s="899"/>
      <c r="R41" s="899"/>
      <c r="S41" s="132">
        <f t="shared" si="7"/>
        <v>4043.6200000000008</v>
      </c>
    </row>
    <row r="42" spans="2:19" x14ac:dyDescent="0.25">
      <c r="B42" s="458"/>
      <c r="C42" s="431"/>
      <c r="D42" s="570"/>
      <c r="E42" s="1082"/>
      <c r="F42" s="889"/>
      <c r="G42" s="899"/>
      <c r="H42" s="899"/>
      <c r="I42" s="132"/>
      <c r="L42" s="458"/>
      <c r="M42" s="431"/>
      <c r="N42" s="570"/>
      <c r="O42" s="898"/>
      <c r="P42" s="889"/>
      <c r="Q42" s="899"/>
      <c r="R42" s="899"/>
      <c r="S42" s="132"/>
    </row>
    <row r="43" spans="2:19" x14ac:dyDescent="0.25">
      <c r="B43" s="458"/>
      <c r="C43" s="431"/>
      <c r="D43" s="570"/>
      <c r="E43" s="1082"/>
      <c r="F43" s="889"/>
      <c r="G43" s="899"/>
      <c r="H43" s="899"/>
      <c r="I43" s="132"/>
      <c r="L43" s="458"/>
      <c r="M43" s="431"/>
      <c r="N43" s="570"/>
      <c r="O43" s="898"/>
      <c r="P43" s="889"/>
      <c r="Q43" s="899"/>
      <c r="R43" s="899"/>
      <c r="S43" s="132"/>
    </row>
    <row r="44" spans="2:19" x14ac:dyDescent="0.25">
      <c r="B44" s="458"/>
      <c r="C44" s="431"/>
      <c r="D44" s="570"/>
      <c r="E44" s="1082"/>
      <c r="F44" s="889"/>
      <c r="G44" s="899"/>
      <c r="H44" s="899"/>
      <c r="I44" s="132"/>
      <c r="L44" s="458"/>
      <c r="M44" s="431"/>
      <c r="N44" s="570"/>
      <c r="O44" s="898"/>
      <c r="P44" s="889"/>
      <c r="Q44" s="899"/>
      <c r="R44" s="899"/>
      <c r="S44" s="132"/>
    </row>
    <row r="45" spans="2:19" x14ac:dyDescent="0.25">
      <c r="B45" s="458"/>
      <c r="C45" s="431"/>
      <c r="D45" s="570"/>
      <c r="E45" s="898"/>
      <c r="F45" s="889"/>
      <c r="G45" s="899"/>
      <c r="H45" s="899"/>
      <c r="I45" s="132"/>
      <c r="L45" s="458"/>
      <c r="M45" s="431"/>
      <c r="N45" s="570"/>
      <c r="O45" s="898"/>
      <c r="P45" s="889"/>
      <c r="Q45" s="899"/>
      <c r="R45" s="899"/>
      <c r="S45" s="132"/>
    </row>
    <row r="46" spans="2:19" x14ac:dyDescent="0.25">
      <c r="B46" s="458"/>
      <c r="C46" s="431"/>
      <c r="D46" s="570"/>
      <c r="E46" s="898"/>
      <c r="F46" s="889"/>
      <c r="G46" s="899"/>
      <c r="H46" s="899"/>
      <c r="I46" s="132"/>
      <c r="L46" s="458"/>
      <c r="M46" s="431"/>
      <c r="N46" s="570"/>
      <c r="O46" s="898"/>
      <c r="P46" s="889"/>
      <c r="Q46" s="899"/>
      <c r="R46" s="899"/>
      <c r="S46" s="132"/>
    </row>
    <row r="47" spans="2:19" x14ac:dyDescent="0.25">
      <c r="B47" s="458"/>
      <c r="C47" s="431"/>
      <c r="D47" s="570"/>
      <c r="E47" s="898"/>
      <c r="F47" s="889"/>
      <c r="G47" s="899"/>
      <c r="H47" s="899"/>
      <c r="I47" s="132"/>
      <c r="L47" s="458"/>
      <c r="M47" s="431"/>
      <c r="N47" s="570"/>
      <c r="O47" s="898"/>
      <c r="P47" s="889"/>
      <c r="Q47" s="899"/>
      <c r="R47" s="899"/>
      <c r="S47" s="132"/>
    </row>
    <row r="48" spans="2:19" x14ac:dyDescent="0.25">
      <c r="B48" s="458"/>
      <c r="C48" s="431"/>
      <c r="D48" s="570"/>
      <c r="E48" s="898"/>
      <c r="F48" s="889"/>
      <c r="G48" s="899"/>
      <c r="H48" s="899"/>
      <c r="I48" s="132"/>
      <c r="L48" s="458"/>
      <c r="M48" s="431"/>
      <c r="N48" s="570"/>
      <c r="O48" s="898"/>
      <c r="P48" s="889"/>
      <c r="Q48" s="899"/>
      <c r="R48" s="899"/>
      <c r="S48" s="132"/>
    </row>
    <row r="49" spans="1:19" x14ac:dyDescent="0.25">
      <c r="B49" s="458"/>
      <c r="C49" s="431"/>
      <c r="D49" s="570"/>
      <c r="E49" s="898"/>
      <c r="F49" s="889"/>
      <c r="G49" s="899"/>
      <c r="H49" s="899"/>
      <c r="I49" s="132"/>
      <c r="L49" s="458"/>
      <c r="M49" s="431"/>
      <c r="N49" s="570"/>
      <c r="O49" s="898"/>
      <c r="P49" s="889"/>
      <c r="Q49" s="899"/>
      <c r="R49" s="899"/>
      <c r="S49" s="132"/>
    </row>
    <row r="50" spans="1:19" x14ac:dyDescent="0.25">
      <c r="B50" s="458"/>
      <c r="C50" s="431"/>
      <c r="D50" s="570"/>
      <c r="E50" s="898"/>
      <c r="F50" s="889"/>
      <c r="G50" s="899"/>
      <c r="H50" s="899"/>
      <c r="I50" s="132"/>
      <c r="L50" s="458"/>
      <c r="M50" s="431"/>
      <c r="N50" s="570"/>
      <c r="O50" s="898"/>
      <c r="P50" s="889"/>
      <c r="Q50" s="899"/>
      <c r="R50" s="899"/>
      <c r="S50" s="132"/>
    </row>
    <row r="51" spans="1:19" ht="15.75" thickBot="1" x14ac:dyDescent="0.3">
      <c r="B51" s="74"/>
      <c r="C51" s="433"/>
      <c r="D51" s="907"/>
      <c r="E51" s="455"/>
      <c r="F51" s="454"/>
      <c r="G51" s="456"/>
      <c r="H51" s="456"/>
      <c r="I51" s="373"/>
      <c r="L51" s="74"/>
      <c r="M51" s="433"/>
      <c r="N51" s="907"/>
      <c r="O51" s="455"/>
      <c r="P51" s="454"/>
      <c r="Q51" s="456"/>
      <c r="R51" s="456"/>
      <c r="S51" s="373"/>
    </row>
    <row r="52" spans="1:19" ht="16.5" thickTop="1" thickBot="1" x14ac:dyDescent="0.3">
      <c r="A52" s="75"/>
      <c r="B52" s="75"/>
      <c r="C52" s="75"/>
      <c r="D52" s="105">
        <f>SUM(D10:D51)</f>
        <v>2602.9500000000003</v>
      </c>
      <c r="E52" s="75"/>
      <c r="F52" s="105">
        <f>SUM(F10:F51)</f>
        <v>2620.9700000000003</v>
      </c>
      <c r="G52" s="75"/>
      <c r="H52" s="75"/>
      <c r="K52" s="75"/>
      <c r="L52" s="75"/>
      <c r="M52" s="75"/>
      <c r="N52" s="105">
        <f>SUM(N10:N51)</f>
        <v>810.26</v>
      </c>
      <c r="O52" s="75"/>
      <c r="P52" s="105">
        <f>SUM(P10:P51)</f>
        <v>810.26</v>
      </c>
      <c r="Q52" s="75"/>
      <c r="R52" s="75"/>
    </row>
    <row r="53" spans="1:19" x14ac:dyDescent="0.25">
      <c r="A53" s="75"/>
      <c r="B53" s="75"/>
      <c r="C53" s="75"/>
      <c r="D53" s="928" t="s">
        <v>21</v>
      </c>
      <c r="E53" s="929"/>
      <c r="F53" s="141">
        <f>E6+E5+E4-F52</f>
        <v>-839.97000000000025</v>
      </c>
      <c r="G53" s="75"/>
      <c r="H53" s="75"/>
      <c r="K53" s="75"/>
      <c r="L53" s="75"/>
      <c r="M53" s="75"/>
      <c r="N53" s="1003" t="s">
        <v>21</v>
      </c>
      <c r="O53" s="1004"/>
      <c r="P53" s="141">
        <f>O6+O5+O4-P52</f>
        <v>3524.5200000000004</v>
      </c>
      <c r="Q53" s="75"/>
      <c r="R53" s="75"/>
    </row>
    <row r="54" spans="1:19" ht="15.75" thickBot="1" x14ac:dyDescent="0.3">
      <c r="A54" s="75"/>
      <c r="B54" s="75"/>
      <c r="C54" s="75"/>
      <c r="D54" s="930" t="s">
        <v>4</v>
      </c>
      <c r="E54" s="931"/>
      <c r="F54" s="49">
        <f>F5+F4-C10+F6+F7</f>
        <v>82</v>
      </c>
      <c r="G54" s="75"/>
      <c r="H54" s="75"/>
      <c r="K54" s="75"/>
      <c r="L54" s="75"/>
      <c r="M54" s="75"/>
      <c r="N54" s="1005" t="s">
        <v>4</v>
      </c>
      <c r="O54" s="1006"/>
      <c r="P54" s="49">
        <f>P5+P4-M10+P6+P7</f>
        <v>161</v>
      </c>
      <c r="Q54" s="75"/>
      <c r="R54" s="75"/>
    </row>
    <row r="55" spans="1:19" x14ac:dyDescent="0.25">
      <c r="A55" s="75"/>
      <c r="B55" s="75"/>
      <c r="C55" s="75"/>
      <c r="E55" s="75"/>
      <c r="F55" s="75"/>
      <c r="G55" s="75"/>
      <c r="H55" s="75"/>
      <c r="K55" s="75"/>
      <c r="L55" s="75"/>
      <c r="M55" s="75"/>
      <c r="O55" s="75"/>
      <c r="P55" s="75"/>
      <c r="Q55" s="75"/>
      <c r="R55" s="75"/>
    </row>
    <row r="56" spans="1:19" x14ac:dyDescent="0.25">
      <c r="A56" s="75"/>
      <c r="B56" s="75"/>
      <c r="C56" s="75"/>
      <c r="E56" s="75"/>
      <c r="F56" s="75"/>
      <c r="G56" s="75"/>
      <c r="H56" s="75"/>
      <c r="K56" s="75"/>
      <c r="L56" s="75"/>
      <c r="M56" s="75"/>
      <c r="O56" s="75"/>
      <c r="P56" s="75"/>
      <c r="Q56" s="75"/>
      <c r="R56" s="75"/>
    </row>
    <row r="57" spans="1:19" x14ac:dyDescent="0.25">
      <c r="A57" s="75"/>
      <c r="B57" s="75"/>
      <c r="C57" s="75"/>
      <c r="E57" s="75"/>
      <c r="F57" s="75"/>
      <c r="G57" s="75"/>
      <c r="H57" s="75"/>
      <c r="K57" s="75"/>
      <c r="L57" s="75"/>
      <c r="M57" s="75"/>
      <c r="O57" s="75"/>
      <c r="P57" s="75"/>
      <c r="Q57" s="75"/>
      <c r="R57" s="75"/>
    </row>
    <row r="58" spans="1:19" x14ac:dyDescent="0.25">
      <c r="A58" s="75"/>
      <c r="B58" s="75"/>
      <c r="C58" s="75"/>
      <c r="E58" s="75"/>
      <c r="F58" s="75"/>
      <c r="G58" s="75"/>
      <c r="H58" s="75"/>
      <c r="K58" s="75"/>
      <c r="L58" s="75"/>
      <c r="M58" s="75"/>
      <c r="O58" s="75"/>
      <c r="P58" s="75"/>
      <c r="Q58" s="75"/>
      <c r="R58" s="75"/>
    </row>
    <row r="59" spans="1:19" x14ac:dyDescent="0.25">
      <c r="A59" s="75"/>
      <c r="B59" s="75"/>
      <c r="C59" s="75"/>
      <c r="E59" s="75"/>
      <c r="F59" s="75"/>
      <c r="G59" s="75"/>
      <c r="H59" s="75"/>
      <c r="K59" s="75"/>
      <c r="L59" s="75"/>
      <c r="M59" s="75"/>
      <c r="O59" s="75"/>
      <c r="P59" s="75"/>
      <c r="Q59" s="75"/>
      <c r="R59" s="75"/>
    </row>
  </sheetData>
  <mergeCells count="6">
    <mergeCell ref="A1:G1"/>
    <mergeCell ref="B5:B6"/>
    <mergeCell ref="A4:A6"/>
    <mergeCell ref="K1:Q1"/>
    <mergeCell ref="K4:K6"/>
    <mergeCell ref="L5:L6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5" sqref="F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02" t="s">
        <v>240</v>
      </c>
      <c r="B1" s="1202"/>
      <c r="C1" s="1202"/>
      <c r="D1" s="1202"/>
      <c r="E1" s="1202"/>
      <c r="F1" s="1202"/>
      <c r="G1" s="120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73" t="s">
        <v>74</v>
      </c>
      <c r="C4" s="102"/>
      <c r="D4" s="135"/>
      <c r="E4" s="86"/>
      <c r="F4" s="73"/>
      <c r="G4" s="699"/>
    </row>
    <row r="5" spans="1:9" x14ac:dyDescent="0.25">
      <c r="A5" s="1214" t="s">
        <v>575</v>
      </c>
      <c r="B5" s="1274"/>
      <c r="C5" s="249">
        <v>270</v>
      </c>
      <c r="D5" s="245">
        <v>44707</v>
      </c>
      <c r="E5" s="246">
        <v>510</v>
      </c>
      <c r="F5" s="243">
        <v>5</v>
      </c>
      <c r="G5" s="48">
        <f>F32</f>
        <v>0</v>
      </c>
      <c r="H5" s="138">
        <f>E5-G5</f>
        <v>510</v>
      </c>
    </row>
    <row r="6" spans="1:9" ht="15.75" thickBot="1" x14ac:dyDescent="0.3">
      <c r="A6" s="1214"/>
      <c r="C6" s="569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55"/>
      <c r="E8" s="324"/>
      <c r="F8" s="279">
        <f t="shared" ref="F8:F28" si="0">D8</f>
        <v>0</v>
      </c>
      <c r="G8" s="319"/>
      <c r="H8" s="266"/>
      <c r="I8" s="270">
        <f>E4+E5+E6-D8</f>
        <v>510</v>
      </c>
    </row>
    <row r="9" spans="1:9" x14ac:dyDescent="0.25">
      <c r="A9" s="75"/>
      <c r="B9" s="2"/>
      <c r="C9" s="15"/>
      <c r="D9" s="655"/>
      <c r="E9" s="328"/>
      <c r="F9" s="279">
        <f t="shared" si="0"/>
        <v>0</v>
      </c>
      <c r="G9" s="319"/>
      <c r="H9" s="266"/>
      <c r="I9" s="270">
        <f>I8-D9</f>
        <v>510</v>
      </c>
    </row>
    <row r="10" spans="1:9" x14ac:dyDescent="0.25">
      <c r="A10" s="75"/>
      <c r="B10" s="2"/>
      <c r="C10" s="15"/>
      <c r="D10" s="655"/>
      <c r="E10" s="328"/>
      <c r="F10" s="279">
        <f t="shared" si="0"/>
        <v>0</v>
      </c>
      <c r="G10" s="319"/>
      <c r="H10" s="266"/>
      <c r="I10" s="270">
        <f t="shared" ref="I10:I27" si="1">I9-D10</f>
        <v>510</v>
      </c>
    </row>
    <row r="11" spans="1:9" x14ac:dyDescent="0.25">
      <c r="A11" s="55"/>
      <c r="B11" s="2"/>
      <c r="C11" s="15"/>
      <c r="D11" s="655"/>
      <c r="E11" s="328"/>
      <c r="F11" s="279">
        <f t="shared" si="0"/>
        <v>0</v>
      </c>
      <c r="G11" s="319"/>
      <c r="H11" s="266"/>
      <c r="I11" s="270">
        <f t="shared" si="1"/>
        <v>510</v>
      </c>
    </row>
    <row r="12" spans="1:9" x14ac:dyDescent="0.25">
      <c r="A12" s="75"/>
      <c r="B12" s="2"/>
      <c r="C12" s="15"/>
      <c r="D12" s="655"/>
      <c r="E12" s="328"/>
      <c r="F12" s="279">
        <f t="shared" si="0"/>
        <v>0</v>
      </c>
      <c r="G12" s="319"/>
      <c r="H12" s="266"/>
      <c r="I12" s="270">
        <f t="shared" si="1"/>
        <v>510</v>
      </c>
    </row>
    <row r="13" spans="1:9" x14ac:dyDescent="0.25">
      <c r="A13" s="75"/>
      <c r="B13" s="2"/>
      <c r="C13" s="15"/>
      <c r="D13" s="655"/>
      <c r="E13" s="328"/>
      <c r="F13" s="279">
        <f t="shared" si="0"/>
        <v>0</v>
      </c>
      <c r="G13" s="319"/>
      <c r="H13" s="266"/>
      <c r="I13" s="270">
        <f t="shared" si="1"/>
        <v>510</v>
      </c>
    </row>
    <row r="14" spans="1:9" x14ac:dyDescent="0.25">
      <c r="B14" s="2"/>
      <c r="C14" s="15"/>
      <c r="D14" s="655"/>
      <c r="E14" s="324"/>
      <c r="F14" s="279">
        <f t="shared" si="0"/>
        <v>0</v>
      </c>
      <c r="G14" s="319"/>
      <c r="H14" s="266"/>
      <c r="I14" s="132">
        <f t="shared" si="1"/>
        <v>510</v>
      </c>
    </row>
    <row r="15" spans="1:9" x14ac:dyDescent="0.25">
      <c r="B15" s="2"/>
      <c r="C15" s="15"/>
      <c r="D15" s="655"/>
      <c r="E15" s="324"/>
      <c r="F15" s="279">
        <f t="shared" si="0"/>
        <v>0</v>
      </c>
      <c r="G15" s="95"/>
      <c r="H15" s="71"/>
      <c r="I15" s="132">
        <f t="shared" si="1"/>
        <v>510</v>
      </c>
    </row>
    <row r="16" spans="1:9" x14ac:dyDescent="0.25">
      <c r="B16" s="2"/>
      <c r="C16" s="15"/>
      <c r="D16" s="655"/>
      <c r="E16" s="656"/>
      <c r="F16" s="279">
        <f t="shared" si="0"/>
        <v>0</v>
      </c>
      <c r="G16" s="95"/>
      <c r="H16" s="71"/>
      <c r="I16" s="132">
        <f t="shared" si="1"/>
        <v>510</v>
      </c>
    </row>
    <row r="17" spans="1:9" x14ac:dyDescent="0.25">
      <c r="B17" s="2"/>
      <c r="C17" s="15"/>
      <c r="D17" s="657"/>
      <c r="E17" s="656"/>
      <c r="F17" s="279">
        <f t="shared" si="0"/>
        <v>0</v>
      </c>
      <c r="G17" s="95"/>
      <c r="H17" s="71"/>
      <c r="I17" s="132">
        <f t="shared" si="1"/>
        <v>510</v>
      </c>
    </row>
    <row r="18" spans="1:9" x14ac:dyDescent="0.25">
      <c r="B18" s="2"/>
      <c r="C18" s="15"/>
      <c r="D18" s="655"/>
      <c r="E18" s="656"/>
      <c r="F18" s="279">
        <f t="shared" si="0"/>
        <v>0</v>
      </c>
      <c r="G18" s="95"/>
      <c r="H18" s="71"/>
      <c r="I18" s="132">
        <f t="shared" si="1"/>
        <v>510</v>
      </c>
    </row>
    <row r="19" spans="1:9" x14ac:dyDescent="0.25">
      <c r="B19" s="2"/>
      <c r="C19" s="15"/>
      <c r="D19" s="655"/>
      <c r="E19" s="656"/>
      <c r="F19" s="279">
        <f t="shared" si="0"/>
        <v>0</v>
      </c>
      <c r="G19" s="95"/>
      <c r="H19" s="71"/>
      <c r="I19" s="132">
        <f t="shared" si="1"/>
        <v>510</v>
      </c>
    </row>
    <row r="20" spans="1:9" x14ac:dyDescent="0.25">
      <c r="B20" s="2"/>
      <c r="C20" s="15"/>
      <c r="D20" s="655"/>
      <c r="E20" s="656"/>
      <c r="F20" s="279">
        <f t="shared" si="0"/>
        <v>0</v>
      </c>
      <c r="G20" s="95"/>
      <c r="H20" s="71"/>
      <c r="I20" s="132">
        <f t="shared" si="1"/>
        <v>510</v>
      </c>
    </row>
    <row r="21" spans="1:9" x14ac:dyDescent="0.25">
      <c r="B21" s="2"/>
      <c r="C21" s="15"/>
      <c r="D21" s="655"/>
      <c r="E21" s="656"/>
      <c r="F21" s="279">
        <f t="shared" si="0"/>
        <v>0</v>
      </c>
      <c r="G21" s="95"/>
      <c r="H21" s="71"/>
      <c r="I21" s="132">
        <f t="shared" si="1"/>
        <v>510</v>
      </c>
    </row>
    <row r="22" spans="1:9" x14ac:dyDescent="0.25">
      <c r="B22" s="2"/>
      <c r="C22" s="15"/>
      <c r="D22" s="655"/>
      <c r="E22" s="656"/>
      <c r="F22" s="279">
        <f t="shared" si="0"/>
        <v>0</v>
      </c>
      <c r="G22" s="95"/>
      <c r="H22" s="71"/>
      <c r="I22" s="132">
        <f t="shared" si="1"/>
        <v>510</v>
      </c>
    </row>
    <row r="23" spans="1:9" x14ac:dyDescent="0.25">
      <c r="B23" s="2"/>
      <c r="C23" s="15"/>
      <c r="D23" s="655"/>
      <c r="E23" s="656"/>
      <c r="F23" s="279">
        <f t="shared" si="0"/>
        <v>0</v>
      </c>
      <c r="G23" s="95"/>
      <c r="H23" s="71"/>
      <c r="I23" s="132">
        <f t="shared" si="1"/>
        <v>510</v>
      </c>
    </row>
    <row r="24" spans="1:9" x14ac:dyDescent="0.25">
      <c r="B24" s="2"/>
      <c r="C24" s="15"/>
      <c r="D24" s="655"/>
      <c r="E24" s="656"/>
      <c r="F24" s="279">
        <f t="shared" si="0"/>
        <v>0</v>
      </c>
      <c r="G24" s="95"/>
      <c r="H24" s="71"/>
      <c r="I24" s="132">
        <f t="shared" si="1"/>
        <v>510</v>
      </c>
    </row>
    <row r="25" spans="1:9" x14ac:dyDescent="0.25">
      <c r="B25" s="2"/>
      <c r="C25" s="15"/>
      <c r="D25" s="655"/>
      <c r="E25" s="656"/>
      <c r="F25" s="279">
        <f t="shared" si="0"/>
        <v>0</v>
      </c>
      <c r="G25" s="95"/>
      <c r="H25" s="71"/>
      <c r="I25" s="132">
        <f t="shared" si="1"/>
        <v>510</v>
      </c>
    </row>
    <row r="26" spans="1:9" x14ac:dyDescent="0.25">
      <c r="B26" s="109"/>
      <c r="C26" s="15"/>
      <c r="D26" s="655"/>
      <c r="E26" s="656"/>
      <c r="F26" s="279">
        <f t="shared" si="0"/>
        <v>0</v>
      </c>
      <c r="G26" s="95"/>
      <c r="H26" s="71"/>
      <c r="I26" s="132">
        <f t="shared" si="1"/>
        <v>510</v>
      </c>
    </row>
    <row r="27" spans="1:9" x14ac:dyDescent="0.25">
      <c r="B27" s="106"/>
      <c r="C27" s="15"/>
      <c r="D27" s="14"/>
      <c r="E27" s="85"/>
      <c r="F27" s="279">
        <f t="shared" si="0"/>
        <v>0</v>
      </c>
      <c r="G27" s="95"/>
      <c r="H27" s="71"/>
      <c r="I27" s="132">
        <f t="shared" si="1"/>
        <v>510</v>
      </c>
    </row>
    <row r="28" spans="1:9" x14ac:dyDescent="0.25">
      <c r="B28" s="2"/>
      <c r="C28" s="15"/>
      <c r="D28" s="14"/>
      <c r="E28" s="85"/>
      <c r="F28" s="279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30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695" t="s">
        <v>21</v>
      </c>
      <c r="E33" s="696"/>
      <c r="F33" s="141">
        <f>E5-F32</f>
        <v>510</v>
      </c>
      <c r="G33" s="75"/>
      <c r="H33" s="75"/>
    </row>
    <row r="34" spans="1:8" ht="15.75" thickBot="1" x14ac:dyDescent="0.3">
      <c r="A34" s="75"/>
      <c r="B34" s="75"/>
      <c r="C34" s="75"/>
      <c r="D34" s="697" t="s">
        <v>4</v>
      </c>
      <c r="E34" s="698"/>
      <c r="F34" s="49">
        <f>F4+F5-C32</f>
        <v>5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C89"/>
  <sheetViews>
    <sheetView topLeftCell="U1" workbookViewId="0">
      <selection activeCell="Z7" sqref="Z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198" t="s">
        <v>217</v>
      </c>
      <c r="B1" s="1198"/>
      <c r="C1" s="1198"/>
      <c r="D1" s="1198"/>
      <c r="E1" s="1198"/>
      <c r="F1" s="1198"/>
      <c r="G1" s="1198"/>
      <c r="H1" s="11">
        <v>1</v>
      </c>
      <c r="K1" s="1198" t="str">
        <f>A1</f>
        <v>INVENTARIO DEL MES DE ABRIL 2022</v>
      </c>
      <c r="L1" s="1198"/>
      <c r="M1" s="1198"/>
      <c r="N1" s="1198"/>
      <c r="O1" s="1198"/>
      <c r="P1" s="1198"/>
      <c r="Q1" s="1198"/>
      <c r="R1" s="11">
        <v>2</v>
      </c>
      <c r="U1" s="1202" t="s">
        <v>240</v>
      </c>
      <c r="V1" s="1202"/>
      <c r="W1" s="1202"/>
      <c r="X1" s="1202"/>
      <c r="Y1" s="1202"/>
      <c r="Z1" s="1202"/>
      <c r="AA1" s="1202"/>
      <c r="AB1" s="11">
        <v>2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761"/>
      <c r="D4" s="248"/>
      <c r="E4" s="259"/>
      <c r="F4" s="253"/>
      <c r="G4" s="160"/>
      <c r="H4" s="160"/>
      <c r="K4" s="12"/>
      <c r="L4" s="12"/>
      <c r="M4" s="761"/>
      <c r="N4" s="248"/>
      <c r="O4" s="259"/>
      <c r="P4" s="253"/>
      <c r="Q4" s="160"/>
      <c r="R4" s="160"/>
      <c r="U4" s="12"/>
      <c r="V4" s="12"/>
      <c r="W4" s="761"/>
      <c r="X4" s="248"/>
      <c r="Y4" s="259"/>
      <c r="Z4" s="253"/>
      <c r="AA4" s="160"/>
      <c r="AB4" s="160"/>
    </row>
    <row r="5" spans="1:29" ht="15.75" x14ac:dyDescent="0.25">
      <c r="A5" s="250" t="s">
        <v>64</v>
      </c>
      <c r="B5" s="1203" t="s">
        <v>76</v>
      </c>
      <c r="C5" s="742">
        <v>120</v>
      </c>
      <c r="D5" s="274">
        <v>44594</v>
      </c>
      <c r="E5" s="259">
        <v>349.59</v>
      </c>
      <c r="F5" s="253">
        <v>28</v>
      </c>
      <c r="G5" s="260"/>
      <c r="K5" s="250" t="s">
        <v>64</v>
      </c>
      <c r="L5" s="1203" t="s">
        <v>76</v>
      </c>
      <c r="M5" s="996">
        <v>100</v>
      </c>
      <c r="N5" s="274">
        <v>44673</v>
      </c>
      <c r="O5" s="259">
        <v>204.59</v>
      </c>
      <c r="P5" s="253">
        <v>17</v>
      </c>
      <c r="Q5" s="260"/>
      <c r="U5" s="250" t="s">
        <v>64</v>
      </c>
      <c r="V5" s="1203" t="s">
        <v>76</v>
      </c>
      <c r="W5" s="996">
        <v>100</v>
      </c>
      <c r="X5" s="274">
        <v>44688</v>
      </c>
      <c r="Y5" s="259">
        <v>190.14</v>
      </c>
      <c r="Z5" s="253">
        <v>16</v>
      </c>
      <c r="AA5" s="260"/>
    </row>
    <row r="6" spans="1:29" x14ac:dyDescent="0.25">
      <c r="A6" s="250"/>
      <c r="B6" s="1203"/>
      <c r="C6" s="566">
        <v>120</v>
      </c>
      <c r="D6" s="248">
        <v>44608</v>
      </c>
      <c r="E6" s="267">
        <v>209.68</v>
      </c>
      <c r="F6" s="253">
        <v>17</v>
      </c>
      <c r="G6" s="262">
        <f>F78</f>
        <v>802.82</v>
      </c>
      <c r="H6" s="7">
        <f>E6-G6+E7+E5-G5+E4</f>
        <v>61.3599999999999</v>
      </c>
      <c r="K6" s="250"/>
      <c r="L6" s="1203"/>
      <c r="M6" s="566"/>
      <c r="N6" s="248"/>
      <c r="O6" s="267"/>
      <c r="P6" s="253"/>
      <c r="Q6" s="262">
        <f>P78</f>
        <v>181.41</v>
      </c>
      <c r="R6" s="7">
        <f>O6-Q6+O7+O5-Q5+O4</f>
        <v>23.180000000000007</v>
      </c>
      <c r="U6" s="250"/>
      <c r="V6" s="1203"/>
      <c r="W6" s="566">
        <v>95</v>
      </c>
      <c r="X6" s="248">
        <v>44702</v>
      </c>
      <c r="Y6" s="267">
        <v>226.25</v>
      </c>
      <c r="Z6" s="253">
        <v>20</v>
      </c>
      <c r="AA6" s="262">
        <f>Z78</f>
        <v>179.49</v>
      </c>
      <c r="AB6" s="7">
        <f>Y6-AA6+Y7+Y5-AA5+Y4</f>
        <v>236.89999999999998</v>
      </c>
    </row>
    <row r="7" spans="1:29" ht="15.75" thickBot="1" x14ac:dyDescent="0.3">
      <c r="A7" s="240"/>
      <c r="B7" s="272"/>
      <c r="C7" s="566">
        <v>120</v>
      </c>
      <c r="D7" s="248">
        <v>44643</v>
      </c>
      <c r="E7" s="758">
        <v>304.91000000000003</v>
      </c>
      <c r="F7" s="253">
        <v>25</v>
      </c>
      <c r="G7" s="240"/>
      <c r="K7" s="240"/>
      <c r="L7" s="272"/>
      <c r="M7" s="566"/>
      <c r="N7" s="248"/>
      <c r="O7" s="758"/>
      <c r="P7" s="253"/>
      <c r="Q7" s="240"/>
      <c r="U7" s="240"/>
      <c r="V7" s="272"/>
      <c r="W7" s="566"/>
      <c r="X7" s="248"/>
      <c r="Y7" s="758"/>
      <c r="Z7" s="253"/>
      <c r="AA7" s="240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80" t="s">
        <v>32</v>
      </c>
      <c r="B9" s="83">
        <f>F6-C9+F5+F7+F4</f>
        <v>55</v>
      </c>
      <c r="C9" s="263">
        <v>15</v>
      </c>
      <c r="D9" s="264">
        <v>187.33</v>
      </c>
      <c r="E9" s="293">
        <v>44596</v>
      </c>
      <c r="F9" s="264">
        <f t="shared" ref="F9:F72" si="0">D9</f>
        <v>187.33</v>
      </c>
      <c r="G9" s="265" t="s">
        <v>98</v>
      </c>
      <c r="H9" s="266">
        <v>125</v>
      </c>
      <c r="I9" s="275">
        <f>E6-F9+E5+E7+E4</f>
        <v>676.84999999999991</v>
      </c>
      <c r="K9" s="80" t="s">
        <v>32</v>
      </c>
      <c r="L9" s="83">
        <f>P6-M9+P5+P7+P4</f>
        <v>2</v>
      </c>
      <c r="M9" s="263">
        <v>15</v>
      </c>
      <c r="N9" s="264">
        <v>181.41</v>
      </c>
      <c r="O9" s="293">
        <v>44675</v>
      </c>
      <c r="P9" s="264">
        <f t="shared" ref="P9:P72" si="1">N9</f>
        <v>181.41</v>
      </c>
      <c r="Q9" s="265" t="s">
        <v>188</v>
      </c>
      <c r="R9" s="266">
        <v>105</v>
      </c>
      <c r="S9" s="275">
        <f>O6-P9+O5+O7+O4</f>
        <v>23.180000000000007</v>
      </c>
      <c r="U9" s="80" t="s">
        <v>32</v>
      </c>
      <c r="V9" s="83">
        <f>Z6-W9+Z5+Z7+Z4</f>
        <v>21</v>
      </c>
      <c r="W9" s="263">
        <v>15</v>
      </c>
      <c r="X9" s="264">
        <v>179.49</v>
      </c>
      <c r="Y9" s="293">
        <v>44701</v>
      </c>
      <c r="Z9" s="264">
        <f t="shared" ref="Z9:Z72" si="2">X9</f>
        <v>179.49</v>
      </c>
      <c r="AA9" s="265" t="s">
        <v>542</v>
      </c>
      <c r="AB9" s="266">
        <v>105</v>
      </c>
      <c r="AC9" s="275">
        <f>Y6-Z9+Y5+Y7+Y4</f>
        <v>236.89999999999998</v>
      </c>
    </row>
    <row r="10" spans="1:29" x14ac:dyDescent="0.25">
      <c r="A10" s="876"/>
      <c r="B10" s="83">
        <f>B9-C10</f>
        <v>40</v>
      </c>
      <c r="C10" s="243">
        <v>15</v>
      </c>
      <c r="D10" s="871">
        <v>186.49</v>
      </c>
      <c r="E10" s="872">
        <v>44624</v>
      </c>
      <c r="F10" s="871">
        <f t="shared" si="0"/>
        <v>186.49</v>
      </c>
      <c r="G10" s="422" t="s">
        <v>103</v>
      </c>
      <c r="H10" s="423">
        <v>125</v>
      </c>
      <c r="I10" s="275">
        <f>I9-F10</f>
        <v>490.3599999999999</v>
      </c>
      <c r="K10" s="876"/>
      <c r="L10" s="83">
        <f>L9-M10</f>
        <v>2</v>
      </c>
      <c r="M10" s="243"/>
      <c r="N10" s="264"/>
      <c r="O10" s="293"/>
      <c r="P10" s="264">
        <f t="shared" si="1"/>
        <v>0</v>
      </c>
      <c r="Q10" s="265"/>
      <c r="R10" s="266"/>
      <c r="S10" s="275">
        <f>S9-P10</f>
        <v>23.180000000000007</v>
      </c>
      <c r="U10" s="876"/>
      <c r="V10" s="83">
        <f>V9-W10</f>
        <v>21</v>
      </c>
      <c r="W10" s="243"/>
      <c r="X10" s="264"/>
      <c r="Y10" s="293"/>
      <c r="Z10" s="264">
        <f t="shared" si="2"/>
        <v>0</v>
      </c>
      <c r="AA10" s="265"/>
      <c r="AB10" s="266"/>
      <c r="AC10" s="275">
        <f>AC9-Z10</f>
        <v>236.89999999999998</v>
      </c>
    </row>
    <row r="11" spans="1:29" x14ac:dyDescent="0.25">
      <c r="A11" s="195"/>
      <c r="B11" s="296">
        <f t="shared" ref="B11:B54" si="3">B10-C11</f>
        <v>30</v>
      </c>
      <c r="C11" s="243">
        <v>10</v>
      </c>
      <c r="D11" s="871">
        <v>122.76</v>
      </c>
      <c r="E11" s="872">
        <v>44638</v>
      </c>
      <c r="F11" s="871">
        <f t="shared" si="0"/>
        <v>122.76</v>
      </c>
      <c r="G11" s="422" t="s">
        <v>109</v>
      </c>
      <c r="H11" s="423">
        <v>125</v>
      </c>
      <c r="I11" s="275">
        <f t="shared" ref="I11:I74" si="4">I10-F11</f>
        <v>367.59999999999991</v>
      </c>
      <c r="K11" s="195"/>
      <c r="L11" s="296">
        <f t="shared" ref="L11:L54" si="5">L10-M11</f>
        <v>2</v>
      </c>
      <c r="M11" s="243"/>
      <c r="N11" s="264"/>
      <c r="O11" s="293"/>
      <c r="P11" s="264">
        <f t="shared" si="1"/>
        <v>0</v>
      </c>
      <c r="Q11" s="265"/>
      <c r="R11" s="266"/>
      <c r="S11" s="275">
        <f t="shared" ref="S11:S74" si="6">S10-P11</f>
        <v>23.180000000000007</v>
      </c>
      <c r="U11" s="195"/>
      <c r="V11" s="296">
        <f t="shared" ref="V11:V54" si="7">V10-W11</f>
        <v>21</v>
      </c>
      <c r="W11" s="243"/>
      <c r="X11" s="264"/>
      <c r="Y11" s="293"/>
      <c r="Z11" s="264">
        <f t="shared" si="2"/>
        <v>0</v>
      </c>
      <c r="AA11" s="265"/>
      <c r="AB11" s="266"/>
      <c r="AC11" s="275">
        <f t="shared" ref="AC11:AC74" si="8">AC10-Z11</f>
        <v>236.89999999999998</v>
      </c>
    </row>
    <row r="12" spans="1:29" x14ac:dyDescent="0.25">
      <c r="A12" s="195"/>
      <c r="B12" s="296">
        <f t="shared" si="3"/>
        <v>15</v>
      </c>
      <c r="C12" s="243">
        <v>15</v>
      </c>
      <c r="D12" s="979">
        <v>184.1</v>
      </c>
      <c r="E12" s="980">
        <v>44664</v>
      </c>
      <c r="F12" s="979">
        <f t="shared" si="0"/>
        <v>184.1</v>
      </c>
      <c r="G12" s="981" t="s">
        <v>154</v>
      </c>
      <c r="H12" s="982">
        <v>125</v>
      </c>
      <c r="I12" s="275">
        <f t="shared" si="4"/>
        <v>183.49999999999991</v>
      </c>
      <c r="K12" s="195"/>
      <c r="L12" s="296">
        <f t="shared" si="5"/>
        <v>2</v>
      </c>
      <c r="M12" s="243"/>
      <c r="N12" s="264"/>
      <c r="O12" s="293"/>
      <c r="P12" s="264">
        <f t="shared" si="1"/>
        <v>0</v>
      </c>
      <c r="Q12" s="265"/>
      <c r="R12" s="266"/>
      <c r="S12" s="275">
        <f t="shared" si="6"/>
        <v>23.180000000000007</v>
      </c>
      <c r="U12" s="195"/>
      <c r="V12" s="296">
        <f t="shared" si="7"/>
        <v>21</v>
      </c>
      <c r="W12" s="243"/>
      <c r="X12" s="264"/>
      <c r="Y12" s="293"/>
      <c r="Z12" s="264">
        <f t="shared" si="2"/>
        <v>0</v>
      </c>
      <c r="AA12" s="265"/>
      <c r="AB12" s="266"/>
      <c r="AC12" s="275">
        <f t="shared" si="8"/>
        <v>236.89999999999998</v>
      </c>
    </row>
    <row r="13" spans="1:29" x14ac:dyDescent="0.25">
      <c r="A13" s="82" t="s">
        <v>33</v>
      </c>
      <c r="B13" s="296">
        <f t="shared" si="3"/>
        <v>5</v>
      </c>
      <c r="C13" s="243">
        <v>10</v>
      </c>
      <c r="D13" s="979">
        <v>122.14</v>
      </c>
      <c r="E13" s="980">
        <v>44667</v>
      </c>
      <c r="F13" s="979">
        <f t="shared" si="0"/>
        <v>122.14</v>
      </c>
      <c r="G13" s="981" t="s">
        <v>168</v>
      </c>
      <c r="H13" s="982">
        <v>125</v>
      </c>
      <c r="I13" s="275">
        <f t="shared" si="4"/>
        <v>61.359999999999914</v>
      </c>
      <c r="K13" s="82" t="s">
        <v>33</v>
      </c>
      <c r="L13" s="296">
        <f t="shared" si="5"/>
        <v>2</v>
      </c>
      <c r="M13" s="243"/>
      <c r="N13" s="264"/>
      <c r="O13" s="293"/>
      <c r="P13" s="264">
        <f t="shared" si="1"/>
        <v>0</v>
      </c>
      <c r="Q13" s="265"/>
      <c r="R13" s="266"/>
      <c r="S13" s="275">
        <f t="shared" si="6"/>
        <v>23.180000000000007</v>
      </c>
      <c r="U13" s="82" t="s">
        <v>33</v>
      </c>
      <c r="V13" s="296">
        <f t="shared" si="7"/>
        <v>21</v>
      </c>
      <c r="W13" s="243"/>
      <c r="X13" s="264"/>
      <c r="Y13" s="293"/>
      <c r="Z13" s="264">
        <f t="shared" si="2"/>
        <v>0</v>
      </c>
      <c r="AA13" s="265"/>
      <c r="AB13" s="266"/>
      <c r="AC13" s="275">
        <f t="shared" si="8"/>
        <v>236.89999999999998</v>
      </c>
    </row>
    <row r="14" spans="1:29" x14ac:dyDescent="0.25">
      <c r="A14" s="73"/>
      <c r="B14" s="296">
        <f t="shared" si="3"/>
        <v>5</v>
      </c>
      <c r="C14" s="243"/>
      <c r="D14" s="979"/>
      <c r="E14" s="980"/>
      <c r="F14" s="979">
        <f t="shared" si="0"/>
        <v>0</v>
      </c>
      <c r="G14" s="981"/>
      <c r="H14" s="982"/>
      <c r="I14" s="275">
        <f t="shared" si="4"/>
        <v>61.359999999999914</v>
      </c>
      <c r="K14" s="73"/>
      <c r="L14" s="296">
        <f t="shared" si="5"/>
        <v>2</v>
      </c>
      <c r="M14" s="243"/>
      <c r="N14" s="264"/>
      <c r="O14" s="293"/>
      <c r="P14" s="264">
        <f t="shared" si="1"/>
        <v>0</v>
      </c>
      <c r="Q14" s="265"/>
      <c r="R14" s="266"/>
      <c r="S14" s="275">
        <f t="shared" si="6"/>
        <v>23.180000000000007</v>
      </c>
      <c r="U14" s="73"/>
      <c r="V14" s="296">
        <f t="shared" si="7"/>
        <v>21</v>
      </c>
      <c r="W14" s="243"/>
      <c r="X14" s="264"/>
      <c r="Y14" s="293"/>
      <c r="Z14" s="264">
        <f t="shared" si="2"/>
        <v>0</v>
      </c>
      <c r="AA14" s="265"/>
      <c r="AB14" s="266"/>
      <c r="AC14" s="275">
        <f t="shared" si="8"/>
        <v>236.89999999999998</v>
      </c>
    </row>
    <row r="15" spans="1:29" x14ac:dyDescent="0.25">
      <c r="A15" s="73"/>
      <c r="B15" s="296">
        <f t="shared" si="3"/>
        <v>5</v>
      </c>
      <c r="C15" s="243"/>
      <c r="D15" s="979"/>
      <c r="E15" s="980"/>
      <c r="F15" s="979">
        <f t="shared" si="0"/>
        <v>0</v>
      </c>
      <c r="G15" s="981"/>
      <c r="H15" s="982"/>
      <c r="I15" s="275">
        <f t="shared" si="4"/>
        <v>61.359999999999914</v>
      </c>
      <c r="K15" s="73"/>
      <c r="L15" s="296">
        <f t="shared" si="5"/>
        <v>2</v>
      </c>
      <c r="M15" s="243"/>
      <c r="N15" s="264"/>
      <c r="O15" s="293"/>
      <c r="P15" s="264">
        <f t="shared" si="1"/>
        <v>0</v>
      </c>
      <c r="Q15" s="265"/>
      <c r="R15" s="266"/>
      <c r="S15" s="275">
        <f t="shared" si="6"/>
        <v>23.180000000000007</v>
      </c>
      <c r="U15" s="73"/>
      <c r="V15" s="296">
        <f t="shared" si="7"/>
        <v>21</v>
      </c>
      <c r="W15" s="243"/>
      <c r="X15" s="264"/>
      <c r="Y15" s="293"/>
      <c r="Z15" s="264">
        <f t="shared" si="2"/>
        <v>0</v>
      </c>
      <c r="AA15" s="265"/>
      <c r="AB15" s="266"/>
      <c r="AC15" s="275">
        <f t="shared" si="8"/>
        <v>236.89999999999998</v>
      </c>
    </row>
    <row r="16" spans="1:29" x14ac:dyDescent="0.25">
      <c r="B16" s="296">
        <f t="shared" si="3"/>
        <v>5</v>
      </c>
      <c r="C16" s="73"/>
      <c r="D16" s="979"/>
      <c r="E16" s="980"/>
      <c r="F16" s="979">
        <f t="shared" si="0"/>
        <v>0</v>
      </c>
      <c r="G16" s="981"/>
      <c r="H16" s="982"/>
      <c r="I16" s="275">
        <f t="shared" si="4"/>
        <v>61.359999999999914</v>
      </c>
      <c r="L16" s="296">
        <f t="shared" si="5"/>
        <v>2</v>
      </c>
      <c r="M16" s="73"/>
      <c r="N16" s="264"/>
      <c r="O16" s="293"/>
      <c r="P16" s="264">
        <f t="shared" si="1"/>
        <v>0</v>
      </c>
      <c r="Q16" s="265"/>
      <c r="R16" s="266"/>
      <c r="S16" s="275">
        <f t="shared" si="6"/>
        <v>23.180000000000007</v>
      </c>
      <c r="V16" s="296">
        <f t="shared" si="7"/>
        <v>21</v>
      </c>
      <c r="W16" s="73"/>
      <c r="X16" s="264"/>
      <c r="Y16" s="293"/>
      <c r="Z16" s="264">
        <f t="shared" si="2"/>
        <v>0</v>
      </c>
      <c r="AA16" s="265"/>
      <c r="AB16" s="266"/>
      <c r="AC16" s="275">
        <f t="shared" si="8"/>
        <v>236.89999999999998</v>
      </c>
    </row>
    <row r="17" spans="1:29" x14ac:dyDescent="0.25">
      <c r="B17" s="296">
        <f t="shared" si="3"/>
        <v>5</v>
      </c>
      <c r="C17" s="73"/>
      <c r="D17" s="979"/>
      <c r="E17" s="980"/>
      <c r="F17" s="979">
        <f t="shared" si="0"/>
        <v>0</v>
      </c>
      <c r="G17" s="981"/>
      <c r="H17" s="982"/>
      <c r="I17" s="275">
        <f t="shared" si="4"/>
        <v>61.359999999999914</v>
      </c>
      <c r="L17" s="296">
        <f t="shared" si="5"/>
        <v>2</v>
      </c>
      <c r="M17" s="73"/>
      <c r="N17" s="264"/>
      <c r="O17" s="293"/>
      <c r="P17" s="264">
        <f t="shared" si="1"/>
        <v>0</v>
      </c>
      <c r="Q17" s="265"/>
      <c r="R17" s="266"/>
      <c r="S17" s="275">
        <f t="shared" si="6"/>
        <v>23.180000000000007</v>
      </c>
      <c r="V17" s="296">
        <f t="shared" si="7"/>
        <v>21</v>
      </c>
      <c r="W17" s="73"/>
      <c r="X17" s="264"/>
      <c r="Y17" s="293"/>
      <c r="Z17" s="264">
        <f t="shared" si="2"/>
        <v>0</v>
      </c>
      <c r="AA17" s="265"/>
      <c r="AB17" s="266"/>
      <c r="AC17" s="275">
        <f t="shared" si="8"/>
        <v>236.89999999999998</v>
      </c>
    </row>
    <row r="18" spans="1:29" x14ac:dyDescent="0.25">
      <c r="A18" s="122"/>
      <c r="B18" s="296">
        <f t="shared" si="3"/>
        <v>5</v>
      </c>
      <c r="C18" s="73"/>
      <c r="D18" s="979"/>
      <c r="E18" s="980"/>
      <c r="F18" s="979">
        <f t="shared" si="0"/>
        <v>0</v>
      </c>
      <c r="G18" s="981"/>
      <c r="H18" s="982"/>
      <c r="I18" s="275">
        <f t="shared" si="4"/>
        <v>61.359999999999914</v>
      </c>
      <c r="K18" s="122"/>
      <c r="L18" s="296">
        <f t="shared" si="5"/>
        <v>2</v>
      </c>
      <c r="M18" s="73"/>
      <c r="N18" s="264"/>
      <c r="O18" s="293"/>
      <c r="P18" s="264">
        <f t="shared" si="1"/>
        <v>0</v>
      </c>
      <c r="Q18" s="265"/>
      <c r="R18" s="266"/>
      <c r="S18" s="275">
        <f t="shared" si="6"/>
        <v>23.180000000000007</v>
      </c>
      <c r="U18" s="122"/>
      <c r="V18" s="296">
        <f t="shared" si="7"/>
        <v>21</v>
      </c>
      <c r="W18" s="73"/>
      <c r="X18" s="264"/>
      <c r="Y18" s="293"/>
      <c r="Z18" s="264">
        <f t="shared" si="2"/>
        <v>0</v>
      </c>
      <c r="AA18" s="265"/>
      <c r="AB18" s="266"/>
      <c r="AC18" s="275">
        <f t="shared" si="8"/>
        <v>236.89999999999998</v>
      </c>
    </row>
    <row r="19" spans="1:29" x14ac:dyDescent="0.25">
      <c r="A19" s="122"/>
      <c r="B19" s="296">
        <f t="shared" si="3"/>
        <v>5</v>
      </c>
      <c r="C19" s="15"/>
      <c r="D19" s="979"/>
      <c r="E19" s="980"/>
      <c r="F19" s="979">
        <f t="shared" si="0"/>
        <v>0</v>
      </c>
      <c r="G19" s="981"/>
      <c r="H19" s="982"/>
      <c r="I19" s="275">
        <f t="shared" si="4"/>
        <v>61.359999999999914</v>
      </c>
      <c r="K19" s="122"/>
      <c r="L19" s="296">
        <f t="shared" si="5"/>
        <v>2</v>
      </c>
      <c r="M19" s="15"/>
      <c r="N19" s="264"/>
      <c r="O19" s="293"/>
      <c r="P19" s="264">
        <f t="shared" si="1"/>
        <v>0</v>
      </c>
      <c r="Q19" s="265"/>
      <c r="R19" s="266"/>
      <c r="S19" s="275">
        <f t="shared" si="6"/>
        <v>23.180000000000007</v>
      </c>
      <c r="U19" s="122"/>
      <c r="V19" s="296">
        <f t="shared" si="7"/>
        <v>21</v>
      </c>
      <c r="W19" s="15"/>
      <c r="X19" s="264"/>
      <c r="Y19" s="293"/>
      <c r="Z19" s="264">
        <f t="shared" si="2"/>
        <v>0</v>
      </c>
      <c r="AA19" s="265"/>
      <c r="AB19" s="266"/>
      <c r="AC19" s="275">
        <f t="shared" si="8"/>
        <v>236.89999999999998</v>
      </c>
    </row>
    <row r="20" spans="1:29" x14ac:dyDescent="0.25">
      <c r="A20" s="122"/>
      <c r="B20" s="83">
        <f t="shared" si="3"/>
        <v>5</v>
      </c>
      <c r="C20" s="15"/>
      <c r="D20" s="979"/>
      <c r="E20" s="980"/>
      <c r="F20" s="979">
        <f t="shared" si="0"/>
        <v>0</v>
      </c>
      <c r="G20" s="981"/>
      <c r="H20" s="982"/>
      <c r="I20" s="275">
        <f t="shared" si="4"/>
        <v>61.359999999999914</v>
      </c>
      <c r="K20" s="122"/>
      <c r="L20" s="83">
        <f t="shared" si="5"/>
        <v>2</v>
      </c>
      <c r="M20" s="15"/>
      <c r="N20" s="264"/>
      <c r="O20" s="293"/>
      <c r="P20" s="264">
        <f t="shared" si="1"/>
        <v>0</v>
      </c>
      <c r="Q20" s="265"/>
      <c r="R20" s="266"/>
      <c r="S20" s="275">
        <f t="shared" si="6"/>
        <v>23.180000000000007</v>
      </c>
      <c r="U20" s="122"/>
      <c r="V20" s="83">
        <f t="shared" si="7"/>
        <v>21</v>
      </c>
      <c r="W20" s="15"/>
      <c r="X20" s="264"/>
      <c r="Y20" s="293"/>
      <c r="Z20" s="264">
        <f t="shared" si="2"/>
        <v>0</v>
      </c>
      <c r="AA20" s="265"/>
      <c r="AB20" s="266"/>
      <c r="AC20" s="275">
        <f t="shared" si="8"/>
        <v>236.89999999999998</v>
      </c>
    </row>
    <row r="21" spans="1:29" x14ac:dyDescent="0.25">
      <c r="A21" s="122"/>
      <c r="B21" s="83">
        <f t="shared" si="3"/>
        <v>5</v>
      </c>
      <c r="C21" s="15"/>
      <c r="D21" s="979"/>
      <c r="E21" s="980"/>
      <c r="F21" s="979">
        <f t="shared" si="0"/>
        <v>0</v>
      </c>
      <c r="G21" s="981"/>
      <c r="H21" s="982"/>
      <c r="I21" s="275">
        <f t="shared" si="4"/>
        <v>61.359999999999914</v>
      </c>
      <c r="K21" s="122"/>
      <c r="L21" s="83">
        <f t="shared" si="5"/>
        <v>2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6"/>
        <v>23.180000000000007</v>
      </c>
      <c r="U21" s="122"/>
      <c r="V21" s="83">
        <f t="shared" si="7"/>
        <v>21</v>
      </c>
      <c r="W21" s="15"/>
      <c r="X21" s="264"/>
      <c r="Y21" s="293"/>
      <c r="Z21" s="264">
        <f t="shared" si="2"/>
        <v>0</v>
      </c>
      <c r="AA21" s="265"/>
      <c r="AB21" s="266"/>
      <c r="AC21" s="275">
        <f t="shared" si="8"/>
        <v>236.89999999999998</v>
      </c>
    </row>
    <row r="22" spans="1:29" x14ac:dyDescent="0.25">
      <c r="A22" s="122"/>
      <c r="B22" s="281">
        <f t="shared" si="3"/>
        <v>5</v>
      </c>
      <c r="C22" s="15"/>
      <c r="D22" s="979"/>
      <c r="E22" s="980"/>
      <c r="F22" s="979">
        <f t="shared" si="0"/>
        <v>0</v>
      </c>
      <c r="G22" s="981"/>
      <c r="H22" s="982"/>
      <c r="I22" s="275">
        <f t="shared" si="4"/>
        <v>61.359999999999914</v>
      </c>
      <c r="K22" s="122"/>
      <c r="L22" s="281">
        <f t="shared" si="5"/>
        <v>2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6"/>
        <v>23.180000000000007</v>
      </c>
      <c r="U22" s="122"/>
      <c r="V22" s="281">
        <f t="shared" si="7"/>
        <v>21</v>
      </c>
      <c r="W22" s="15"/>
      <c r="X22" s="264"/>
      <c r="Y22" s="293"/>
      <c r="Z22" s="264">
        <f t="shared" si="2"/>
        <v>0</v>
      </c>
      <c r="AA22" s="265"/>
      <c r="AB22" s="266"/>
      <c r="AC22" s="275">
        <f t="shared" si="8"/>
        <v>236.89999999999998</v>
      </c>
    </row>
    <row r="23" spans="1:29" x14ac:dyDescent="0.25">
      <c r="A23" s="123"/>
      <c r="B23" s="281">
        <f t="shared" si="3"/>
        <v>5</v>
      </c>
      <c r="C23" s="15"/>
      <c r="D23" s="264"/>
      <c r="E23" s="293"/>
      <c r="F23" s="264">
        <f t="shared" si="0"/>
        <v>0</v>
      </c>
      <c r="G23" s="265"/>
      <c r="H23" s="266"/>
      <c r="I23" s="275">
        <f t="shared" si="4"/>
        <v>61.359999999999914</v>
      </c>
      <c r="K23" s="123"/>
      <c r="L23" s="281">
        <f t="shared" si="5"/>
        <v>2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6"/>
        <v>23.180000000000007</v>
      </c>
      <c r="U23" s="123"/>
      <c r="V23" s="281">
        <f t="shared" si="7"/>
        <v>21</v>
      </c>
      <c r="W23" s="15"/>
      <c r="X23" s="264"/>
      <c r="Y23" s="293"/>
      <c r="Z23" s="264">
        <f t="shared" si="2"/>
        <v>0</v>
      </c>
      <c r="AA23" s="265"/>
      <c r="AB23" s="266"/>
      <c r="AC23" s="275">
        <f t="shared" si="8"/>
        <v>236.89999999999998</v>
      </c>
    </row>
    <row r="24" spans="1:29" x14ac:dyDescent="0.25">
      <c r="A24" s="122"/>
      <c r="B24" s="281">
        <f t="shared" si="3"/>
        <v>5</v>
      </c>
      <c r="C24" s="15"/>
      <c r="D24" s="264"/>
      <c r="E24" s="293"/>
      <c r="F24" s="264">
        <f t="shared" si="0"/>
        <v>0</v>
      </c>
      <c r="G24" s="265"/>
      <c r="H24" s="266"/>
      <c r="I24" s="275">
        <f t="shared" si="4"/>
        <v>61.359999999999914</v>
      </c>
      <c r="K24" s="122"/>
      <c r="L24" s="281">
        <f t="shared" si="5"/>
        <v>2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6"/>
        <v>23.180000000000007</v>
      </c>
      <c r="U24" s="122"/>
      <c r="V24" s="281">
        <f t="shared" si="7"/>
        <v>21</v>
      </c>
      <c r="W24" s="15"/>
      <c r="X24" s="264"/>
      <c r="Y24" s="293"/>
      <c r="Z24" s="264">
        <f t="shared" si="2"/>
        <v>0</v>
      </c>
      <c r="AA24" s="265"/>
      <c r="AB24" s="266"/>
      <c r="AC24" s="275">
        <f t="shared" si="8"/>
        <v>236.89999999999998</v>
      </c>
    </row>
    <row r="25" spans="1:29" x14ac:dyDescent="0.25">
      <c r="A25" s="122"/>
      <c r="B25" s="281">
        <f t="shared" si="3"/>
        <v>5</v>
      </c>
      <c r="C25" s="15"/>
      <c r="D25" s="264"/>
      <c r="E25" s="293"/>
      <c r="F25" s="264">
        <f t="shared" si="0"/>
        <v>0</v>
      </c>
      <c r="G25" s="265"/>
      <c r="H25" s="266"/>
      <c r="I25" s="275">
        <f t="shared" si="4"/>
        <v>61.359999999999914</v>
      </c>
      <c r="K25" s="122"/>
      <c r="L25" s="281">
        <f t="shared" si="5"/>
        <v>2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6"/>
        <v>23.180000000000007</v>
      </c>
      <c r="U25" s="122"/>
      <c r="V25" s="281">
        <f t="shared" si="7"/>
        <v>21</v>
      </c>
      <c r="W25" s="15"/>
      <c r="X25" s="264"/>
      <c r="Y25" s="293"/>
      <c r="Z25" s="264">
        <f t="shared" si="2"/>
        <v>0</v>
      </c>
      <c r="AA25" s="265"/>
      <c r="AB25" s="266"/>
      <c r="AC25" s="275">
        <f t="shared" si="8"/>
        <v>236.89999999999998</v>
      </c>
    </row>
    <row r="26" spans="1:29" x14ac:dyDescent="0.25">
      <c r="A26" s="122"/>
      <c r="B26" s="195">
        <f t="shared" si="3"/>
        <v>5</v>
      </c>
      <c r="C26" s="15"/>
      <c r="D26" s="264"/>
      <c r="E26" s="293"/>
      <c r="F26" s="264">
        <f t="shared" si="0"/>
        <v>0</v>
      </c>
      <c r="G26" s="265"/>
      <c r="H26" s="266"/>
      <c r="I26" s="275">
        <f t="shared" si="4"/>
        <v>61.359999999999914</v>
      </c>
      <c r="K26" s="122"/>
      <c r="L26" s="195">
        <f t="shared" si="5"/>
        <v>2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6"/>
        <v>23.180000000000007</v>
      </c>
      <c r="U26" s="122"/>
      <c r="V26" s="195">
        <f t="shared" si="7"/>
        <v>21</v>
      </c>
      <c r="W26" s="15"/>
      <c r="X26" s="264"/>
      <c r="Y26" s="293"/>
      <c r="Z26" s="264">
        <f t="shared" si="2"/>
        <v>0</v>
      </c>
      <c r="AA26" s="265"/>
      <c r="AB26" s="266"/>
      <c r="AC26" s="275">
        <f t="shared" si="8"/>
        <v>236.89999999999998</v>
      </c>
    </row>
    <row r="27" spans="1:29" x14ac:dyDescent="0.25">
      <c r="A27" s="122"/>
      <c r="B27" s="281">
        <f t="shared" si="3"/>
        <v>5</v>
      </c>
      <c r="C27" s="15"/>
      <c r="D27" s="264"/>
      <c r="E27" s="293"/>
      <c r="F27" s="264">
        <f t="shared" si="0"/>
        <v>0</v>
      </c>
      <c r="G27" s="265"/>
      <c r="H27" s="266"/>
      <c r="I27" s="275">
        <f t="shared" si="4"/>
        <v>61.359999999999914</v>
      </c>
      <c r="K27" s="122"/>
      <c r="L27" s="281">
        <f t="shared" si="5"/>
        <v>2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6"/>
        <v>23.180000000000007</v>
      </c>
      <c r="U27" s="122"/>
      <c r="V27" s="281">
        <f t="shared" si="7"/>
        <v>21</v>
      </c>
      <c r="W27" s="15"/>
      <c r="X27" s="264"/>
      <c r="Y27" s="293"/>
      <c r="Z27" s="264">
        <f t="shared" si="2"/>
        <v>0</v>
      </c>
      <c r="AA27" s="265"/>
      <c r="AB27" s="266"/>
      <c r="AC27" s="275">
        <f t="shared" si="8"/>
        <v>236.89999999999998</v>
      </c>
    </row>
    <row r="28" spans="1:29" x14ac:dyDescent="0.25">
      <c r="A28" s="122"/>
      <c r="B28" s="195">
        <f t="shared" si="3"/>
        <v>5</v>
      </c>
      <c r="C28" s="15"/>
      <c r="D28" s="264"/>
      <c r="E28" s="293"/>
      <c r="F28" s="264">
        <f t="shared" si="0"/>
        <v>0</v>
      </c>
      <c r="G28" s="265"/>
      <c r="H28" s="266"/>
      <c r="I28" s="275">
        <f t="shared" si="4"/>
        <v>61.359999999999914</v>
      </c>
      <c r="K28" s="122"/>
      <c r="L28" s="195">
        <f t="shared" si="5"/>
        <v>2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6"/>
        <v>23.180000000000007</v>
      </c>
      <c r="U28" s="122"/>
      <c r="V28" s="195">
        <f t="shared" si="7"/>
        <v>21</v>
      </c>
      <c r="W28" s="15"/>
      <c r="X28" s="264"/>
      <c r="Y28" s="293"/>
      <c r="Z28" s="264">
        <f t="shared" si="2"/>
        <v>0</v>
      </c>
      <c r="AA28" s="265"/>
      <c r="AB28" s="266"/>
      <c r="AC28" s="275">
        <f t="shared" si="8"/>
        <v>236.89999999999998</v>
      </c>
    </row>
    <row r="29" spans="1:29" x14ac:dyDescent="0.25">
      <c r="A29" s="122"/>
      <c r="B29" s="281">
        <f t="shared" si="3"/>
        <v>5</v>
      </c>
      <c r="C29" s="15"/>
      <c r="D29" s="264"/>
      <c r="E29" s="293"/>
      <c r="F29" s="264">
        <f t="shared" si="0"/>
        <v>0</v>
      </c>
      <c r="G29" s="265"/>
      <c r="H29" s="266"/>
      <c r="I29" s="275">
        <f t="shared" si="4"/>
        <v>61.359999999999914</v>
      </c>
      <c r="K29" s="122"/>
      <c r="L29" s="281">
        <f t="shared" si="5"/>
        <v>2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6"/>
        <v>23.180000000000007</v>
      </c>
      <c r="U29" s="122"/>
      <c r="V29" s="281">
        <f t="shared" si="7"/>
        <v>21</v>
      </c>
      <c r="W29" s="15"/>
      <c r="X29" s="264"/>
      <c r="Y29" s="293"/>
      <c r="Z29" s="264">
        <f t="shared" si="2"/>
        <v>0</v>
      </c>
      <c r="AA29" s="265"/>
      <c r="AB29" s="266"/>
      <c r="AC29" s="275">
        <f t="shared" si="8"/>
        <v>236.89999999999998</v>
      </c>
    </row>
    <row r="30" spans="1:29" x14ac:dyDescent="0.25">
      <c r="A30" s="122"/>
      <c r="B30" s="281">
        <f t="shared" si="3"/>
        <v>5</v>
      </c>
      <c r="C30" s="15"/>
      <c r="D30" s="264"/>
      <c r="E30" s="293"/>
      <c r="F30" s="264">
        <f t="shared" si="0"/>
        <v>0</v>
      </c>
      <c r="G30" s="265"/>
      <c r="H30" s="266"/>
      <c r="I30" s="275">
        <f t="shared" si="4"/>
        <v>61.359999999999914</v>
      </c>
      <c r="K30" s="122"/>
      <c r="L30" s="281">
        <f t="shared" si="5"/>
        <v>2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6"/>
        <v>23.180000000000007</v>
      </c>
      <c r="U30" s="122"/>
      <c r="V30" s="281">
        <f t="shared" si="7"/>
        <v>21</v>
      </c>
      <c r="W30" s="15"/>
      <c r="X30" s="264"/>
      <c r="Y30" s="293"/>
      <c r="Z30" s="264">
        <f t="shared" si="2"/>
        <v>0</v>
      </c>
      <c r="AA30" s="265"/>
      <c r="AB30" s="266"/>
      <c r="AC30" s="275">
        <f t="shared" si="8"/>
        <v>236.89999999999998</v>
      </c>
    </row>
    <row r="31" spans="1:29" x14ac:dyDescent="0.25">
      <c r="A31" s="122"/>
      <c r="B31" s="281">
        <f t="shared" si="3"/>
        <v>5</v>
      </c>
      <c r="C31" s="15"/>
      <c r="D31" s="264"/>
      <c r="E31" s="293"/>
      <c r="F31" s="264">
        <f t="shared" si="0"/>
        <v>0</v>
      </c>
      <c r="G31" s="265"/>
      <c r="H31" s="266"/>
      <c r="I31" s="275">
        <f t="shared" si="4"/>
        <v>61.359999999999914</v>
      </c>
      <c r="K31" s="122"/>
      <c r="L31" s="281">
        <f t="shared" si="5"/>
        <v>2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6"/>
        <v>23.180000000000007</v>
      </c>
      <c r="U31" s="122"/>
      <c r="V31" s="281">
        <f t="shared" si="7"/>
        <v>21</v>
      </c>
      <c r="W31" s="15"/>
      <c r="X31" s="264"/>
      <c r="Y31" s="293"/>
      <c r="Z31" s="264">
        <f t="shared" si="2"/>
        <v>0</v>
      </c>
      <c r="AA31" s="265"/>
      <c r="AB31" s="266"/>
      <c r="AC31" s="275">
        <f t="shared" si="8"/>
        <v>236.89999999999998</v>
      </c>
    </row>
    <row r="32" spans="1:29" x14ac:dyDescent="0.25">
      <c r="A32" s="122"/>
      <c r="B32" s="281">
        <f t="shared" si="3"/>
        <v>5</v>
      </c>
      <c r="C32" s="15"/>
      <c r="D32" s="264"/>
      <c r="E32" s="293"/>
      <c r="F32" s="264">
        <f t="shared" si="0"/>
        <v>0</v>
      </c>
      <c r="G32" s="265"/>
      <c r="H32" s="266"/>
      <c r="I32" s="275">
        <f t="shared" si="4"/>
        <v>61.359999999999914</v>
      </c>
      <c r="K32" s="122"/>
      <c r="L32" s="281">
        <f t="shared" si="5"/>
        <v>2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6"/>
        <v>23.180000000000007</v>
      </c>
      <c r="U32" s="122"/>
      <c r="V32" s="281">
        <f t="shared" si="7"/>
        <v>21</v>
      </c>
      <c r="W32" s="15"/>
      <c r="X32" s="264"/>
      <c r="Y32" s="293"/>
      <c r="Z32" s="264">
        <f t="shared" si="2"/>
        <v>0</v>
      </c>
      <c r="AA32" s="265"/>
      <c r="AB32" s="266"/>
      <c r="AC32" s="275">
        <f t="shared" si="8"/>
        <v>236.89999999999998</v>
      </c>
    </row>
    <row r="33" spans="1:29" x14ac:dyDescent="0.25">
      <c r="A33" s="122"/>
      <c r="B33" s="281">
        <f t="shared" si="3"/>
        <v>5</v>
      </c>
      <c r="C33" s="15"/>
      <c r="D33" s="264"/>
      <c r="E33" s="293"/>
      <c r="F33" s="264">
        <f t="shared" si="0"/>
        <v>0</v>
      </c>
      <c r="G33" s="265"/>
      <c r="H33" s="266"/>
      <c r="I33" s="275">
        <f t="shared" si="4"/>
        <v>61.359999999999914</v>
      </c>
      <c r="K33" s="122"/>
      <c r="L33" s="281">
        <f t="shared" si="5"/>
        <v>2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6"/>
        <v>23.180000000000007</v>
      </c>
      <c r="U33" s="122"/>
      <c r="V33" s="281">
        <f t="shared" si="7"/>
        <v>21</v>
      </c>
      <c r="W33" s="15"/>
      <c r="X33" s="264"/>
      <c r="Y33" s="293"/>
      <c r="Z33" s="264">
        <f t="shared" si="2"/>
        <v>0</v>
      </c>
      <c r="AA33" s="265"/>
      <c r="AB33" s="266"/>
      <c r="AC33" s="275">
        <f t="shared" si="8"/>
        <v>236.89999999999998</v>
      </c>
    </row>
    <row r="34" spans="1:29" x14ac:dyDescent="0.25">
      <c r="A34" s="122"/>
      <c r="B34" s="281">
        <f t="shared" si="3"/>
        <v>5</v>
      </c>
      <c r="C34" s="15"/>
      <c r="D34" s="264"/>
      <c r="E34" s="293"/>
      <c r="F34" s="264">
        <f t="shared" si="0"/>
        <v>0</v>
      </c>
      <c r="G34" s="265"/>
      <c r="H34" s="266"/>
      <c r="I34" s="275">
        <f t="shared" si="4"/>
        <v>61.359999999999914</v>
      </c>
      <c r="K34" s="122"/>
      <c r="L34" s="281">
        <f t="shared" si="5"/>
        <v>2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6"/>
        <v>23.180000000000007</v>
      </c>
      <c r="U34" s="122"/>
      <c r="V34" s="281">
        <f t="shared" si="7"/>
        <v>21</v>
      </c>
      <c r="W34" s="15"/>
      <c r="X34" s="264"/>
      <c r="Y34" s="293"/>
      <c r="Z34" s="264">
        <f t="shared" si="2"/>
        <v>0</v>
      </c>
      <c r="AA34" s="265"/>
      <c r="AB34" s="266"/>
      <c r="AC34" s="275">
        <f t="shared" si="8"/>
        <v>236.89999999999998</v>
      </c>
    </row>
    <row r="35" spans="1:29" x14ac:dyDescent="0.25">
      <c r="A35" s="122"/>
      <c r="B35" s="281">
        <f t="shared" si="3"/>
        <v>5</v>
      </c>
      <c r="C35" s="15"/>
      <c r="D35" s="264"/>
      <c r="E35" s="293"/>
      <c r="F35" s="264">
        <f t="shared" si="0"/>
        <v>0</v>
      </c>
      <c r="G35" s="265"/>
      <c r="H35" s="266"/>
      <c r="I35" s="275">
        <f t="shared" si="4"/>
        <v>61.359999999999914</v>
      </c>
      <c r="K35" s="122"/>
      <c r="L35" s="281">
        <f t="shared" si="5"/>
        <v>2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6"/>
        <v>23.180000000000007</v>
      </c>
      <c r="U35" s="122"/>
      <c r="V35" s="281">
        <f t="shared" si="7"/>
        <v>21</v>
      </c>
      <c r="W35" s="15"/>
      <c r="X35" s="264"/>
      <c r="Y35" s="293"/>
      <c r="Z35" s="264">
        <f t="shared" si="2"/>
        <v>0</v>
      </c>
      <c r="AA35" s="265"/>
      <c r="AB35" s="266"/>
      <c r="AC35" s="275">
        <f t="shared" si="8"/>
        <v>236.89999999999998</v>
      </c>
    </row>
    <row r="36" spans="1:29" x14ac:dyDescent="0.25">
      <c r="A36" s="122" t="s">
        <v>22</v>
      </c>
      <c r="B36" s="281">
        <f t="shared" si="3"/>
        <v>5</v>
      </c>
      <c r="C36" s="15"/>
      <c r="D36" s="264"/>
      <c r="E36" s="293"/>
      <c r="F36" s="264">
        <f t="shared" si="0"/>
        <v>0</v>
      </c>
      <c r="G36" s="265"/>
      <c r="H36" s="266"/>
      <c r="I36" s="275">
        <f t="shared" si="4"/>
        <v>61.359999999999914</v>
      </c>
      <c r="K36" s="122" t="s">
        <v>22</v>
      </c>
      <c r="L36" s="281">
        <f t="shared" si="5"/>
        <v>2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6"/>
        <v>23.180000000000007</v>
      </c>
      <c r="U36" s="122" t="s">
        <v>22</v>
      </c>
      <c r="V36" s="281">
        <f t="shared" si="7"/>
        <v>21</v>
      </c>
      <c r="W36" s="15"/>
      <c r="X36" s="264"/>
      <c r="Y36" s="293"/>
      <c r="Z36" s="264">
        <f t="shared" si="2"/>
        <v>0</v>
      </c>
      <c r="AA36" s="265"/>
      <c r="AB36" s="266"/>
      <c r="AC36" s="275">
        <f t="shared" si="8"/>
        <v>236.89999999999998</v>
      </c>
    </row>
    <row r="37" spans="1:29" x14ac:dyDescent="0.25">
      <c r="A37" s="123"/>
      <c r="B37" s="281">
        <f t="shared" si="3"/>
        <v>5</v>
      </c>
      <c r="C37" s="15"/>
      <c r="D37" s="264"/>
      <c r="E37" s="293"/>
      <c r="F37" s="264">
        <f t="shared" si="0"/>
        <v>0</v>
      </c>
      <c r="G37" s="265"/>
      <c r="H37" s="266"/>
      <c r="I37" s="275">
        <f t="shared" si="4"/>
        <v>61.359999999999914</v>
      </c>
      <c r="K37" s="123"/>
      <c r="L37" s="281">
        <f t="shared" si="5"/>
        <v>2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6"/>
        <v>23.180000000000007</v>
      </c>
      <c r="U37" s="123"/>
      <c r="V37" s="281">
        <f t="shared" si="7"/>
        <v>21</v>
      </c>
      <c r="W37" s="15"/>
      <c r="X37" s="264"/>
      <c r="Y37" s="293"/>
      <c r="Z37" s="264">
        <f t="shared" si="2"/>
        <v>0</v>
      </c>
      <c r="AA37" s="265"/>
      <c r="AB37" s="266"/>
      <c r="AC37" s="275">
        <f t="shared" si="8"/>
        <v>236.89999999999998</v>
      </c>
    </row>
    <row r="38" spans="1:29" x14ac:dyDescent="0.25">
      <c r="A38" s="122"/>
      <c r="B38" s="281">
        <f t="shared" si="3"/>
        <v>5</v>
      </c>
      <c r="C38" s="15"/>
      <c r="D38" s="264"/>
      <c r="E38" s="293"/>
      <c r="F38" s="264">
        <f t="shared" si="0"/>
        <v>0</v>
      </c>
      <c r="G38" s="265"/>
      <c r="H38" s="266"/>
      <c r="I38" s="275">
        <f t="shared" si="4"/>
        <v>61.359999999999914</v>
      </c>
      <c r="K38" s="122"/>
      <c r="L38" s="281">
        <f t="shared" si="5"/>
        <v>2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6"/>
        <v>23.180000000000007</v>
      </c>
      <c r="U38" s="122"/>
      <c r="V38" s="281">
        <f t="shared" si="7"/>
        <v>21</v>
      </c>
      <c r="W38" s="15"/>
      <c r="X38" s="264"/>
      <c r="Y38" s="293"/>
      <c r="Z38" s="264">
        <f t="shared" si="2"/>
        <v>0</v>
      </c>
      <c r="AA38" s="265"/>
      <c r="AB38" s="266"/>
      <c r="AC38" s="275">
        <f t="shared" si="8"/>
        <v>236.89999999999998</v>
      </c>
    </row>
    <row r="39" spans="1:29" x14ac:dyDescent="0.25">
      <c r="A39" s="122"/>
      <c r="B39" s="83">
        <f t="shared" si="3"/>
        <v>5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4"/>
        <v>61.359999999999914</v>
      </c>
      <c r="K39" s="122"/>
      <c r="L39" s="83">
        <f t="shared" si="5"/>
        <v>2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6"/>
        <v>23.180000000000007</v>
      </c>
      <c r="U39" s="122"/>
      <c r="V39" s="83">
        <f t="shared" si="7"/>
        <v>21</v>
      </c>
      <c r="W39" s="15"/>
      <c r="X39" s="264"/>
      <c r="Y39" s="293"/>
      <c r="Z39" s="264">
        <f t="shared" si="2"/>
        <v>0</v>
      </c>
      <c r="AA39" s="265"/>
      <c r="AB39" s="266"/>
      <c r="AC39" s="275">
        <f t="shared" si="8"/>
        <v>236.89999999999998</v>
      </c>
    </row>
    <row r="40" spans="1:29" x14ac:dyDescent="0.25">
      <c r="A40" s="122"/>
      <c r="B40" s="83">
        <f t="shared" si="3"/>
        <v>5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4"/>
        <v>61.359999999999914</v>
      </c>
      <c r="K40" s="122"/>
      <c r="L40" s="83">
        <f t="shared" si="5"/>
        <v>2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6"/>
        <v>23.180000000000007</v>
      </c>
      <c r="U40" s="122"/>
      <c r="V40" s="83">
        <f t="shared" si="7"/>
        <v>21</v>
      </c>
      <c r="W40" s="15"/>
      <c r="X40" s="264"/>
      <c r="Y40" s="293"/>
      <c r="Z40" s="264">
        <f t="shared" si="2"/>
        <v>0</v>
      </c>
      <c r="AA40" s="265"/>
      <c r="AB40" s="266"/>
      <c r="AC40" s="275">
        <f t="shared" si="8"/>
        <v>236.89999999999998</v>
      </c>
    </row>
    <row r="41" spans="1:29" x14ac:dyDescent="0.25">
      <c r="A41" s="122"/>
      <c r="B41" s="83">
        <f t="shared" si="3"/>
        <v>5</v>
      </c>
      <c r="C41" s="15"/>
      <c r="D41" s="264"/>
      <c r="E41" s="293"/>
      <c r="F41" s="264">
        <f t="shared" si="0"/>
        <v>0</v>
      </c>
      <c r="G41" s="265"/>
      <c r="H41" s="266"/>
      <c r="I41" s="275">
        <f t="shared" si="4"/>
        <v>61.359999999999914</v>
      </c>
      <c r="K41" s="122"/>
      <c r="L41" s="83">
        <f t="shared" si="5"/>
        <v>2</v>
      </c>
      <c r="M41" s="15"/>
      <c r="N41" s="264"/>
      <c r="O41" s="293"/>
      <c r="P41" s="264">
        <f t="shared" si="1"/>
        <v>0</v>
      </c>
      <c r="Q41" s="265"/>
      <c r="R41" s="266"/>
      <c r="S41" s="275">
        <f t="shared" si="6"/>
        <v>23.180000000000007</v>
      </c>
      <c r="U41" s="122"/>
      <c r="V41" s="83">
        <f t="shared" si="7"/>
        <v>21</v>
      </c>
      <c r="W41" s="15"/>
      <c r="X41" s="264"/>
      <c r="Y41" s="293"/>
      <c r="Z41" s="264">
        <f t="shared" si="2"/>
        <v>0</v>
      </c>
      <c r="AA41" s="265"/>
      <c r="AB41" s="266"/>
      <c r="AC41" s="275">
        <f t="shared" si="8"/>
        <v>236.89999999999998</v>
      </c>
    </row>
    <row r="42" spans="1:29" x14ac:dyDescent="0.25">
      <c r="A42" s="122"/>
      <c r="B42" s="83">
        <f t="shared" si="3"/>
        <v>5</v>
      </c>
      <c r="C42" s="15"/>
      <c r="D42" s="264"/>
      <c r="E42" s="293"/>
      <c r="F42" s="264">
        <f t="shared" si="0"/>
        <v>0</v>
      </c>
      <c r="G42" s="265"/>
      <c r="H42" s="266"/>
      <c r="I42" s="275">
        <f t="shared" si="4"/>
        <v>61.359999999999914</v>
      </c>
      <c r="K42" s="122"/>
      <c r="L42" s="83">
        <f t="shared" si="5"/>
        <v>2</v>
      </c>
      <c r="M42" s="15"/>
      <c r="N42" s="264"/>
      <c r="O42" s="293"/>
      <c r="P42" s="264">
        <f t="shared" si="1"/>
        <v>0</v>
      </c>
      <c r="Q42" s="265"/>
      <c r="R42" s="266"/>
      <c r="S42" s="275">
        <f t="shared" si="6"/>
        <v>23.180000000000007</v>
      </c>
      <c r="U42" s="122"/>
      <c r="V42" s="83">
        <f t="shared" si="7"/>
        <v>21</v>
      </c>
      <c r="W42" s="15"/>
      <c r="X42" s="264"/>
      <c r="Y42" s="293"/>
      <c r="Z42" s="264">
        <f t="shared" si="2"/>
        <v>0</v>
      </c>
      <c r="AA42" s="265"/>
      <c r="AB42" s="266"/>
      <c r="AC42" s="275">
        <f t="shared" si="8"/>
        <v>236.89999999999998</v>
      </c>
    </row>
    <row r="43" spans="1:29" x14ac:dyDescent="0.25">
      <c r="A43" s="122"/>
      <c r="B43" s="83">
        <f t="shared" si="3"/>
        <v>5</v>
      </c>
      <c r="C43" s="15"/>
      <c r="D43" s="264"/>
      <c r="E43" s="293"/>
      <c r="F43" s="264">
        <f t="shared" si="0"/>
        <v>0</v>
      </c>
      <c r="G43" s="265"/>
      <c r="H43" s="266"/>
      <c r="I43" s="275">
        <f t="shared" si="4"/>
        <v>61.359999999999914</v>
      </c>
      <c r="K43" s="122"/>
      <c r="L43" s="83">
        <f t="shared" si="5"/>
        <v>2</v>
      </c>
      <c r="M43" s="15"/>
      <c r="N43" s="264"/>
      <c r="O43" s="293"/>
      <c r="P43" s="264">
        <f t="shared" si="1"/>
        <v>0</v>
      </c>
      <c r="Q43" s="265"/>
      <c r="R43" s="266"/>
      <c r="S43" s="275">
        <f t="shared" si="6"/>
        <v>23.180000000000007</v>
      </c>
      <c r="U43" s="122"/>
      <c r="V43" s="83">
        <f t="shared" si="7"/>
        <v>21</v>
      </c>
      <c r="W43" s="15"/>
      <c r="X43" s="264"/>
      <c r="Y43" s="293"/>
      <c r="Z43" s="264">
        <f t="shared" si="2"/>
        <v>0</v>
      </c>
      <c r="AA43" s="265"/>
      <c r="AB43" s="266"/>
      <c r="AC43" s="275">
        <f t="shared" si="8"/>
        <v>236.89999999999998</v>
      </c>
    </row>
    <row r="44" spans="1:29" x14ac:dyDescent="0.25">
      <c r="A44" s="122"/>
      <c r="B44" s="83">
        <f t="shared" si="3"/>
        <v>5</v>
      </c>
      <c r="C44" s="15"/>
      <c r="D44" s="264"/>
      <c r="E44" s="293"/>
      <c r="F44" s="264">
        <f t="shared" si="0"/>
        <v>0</v>
      </c>
      <c r="G44" s="265"/>
      <c r="H44" s="266"/>
      <c r="I44" s="275">
        <f t="shared" si="4"/>
        <v>61.359999999999914</v>
      </c>
      <c r="K44" s="122"/>
      <c r="L44" s="83">
        <f t="shared" si="5"/>
        <v>2</v>
      </c>
      <c r="M44" s="15"/>
      <c r="N44" s="264"/>
      <c r="O44" s="293"/>
      <c r="P44" s="264">
        <f t="shared" si="1"/>
        <v>0</v>
      </c>
      <c r="Q44" s="265"/>
      <c r="R44" s="266"/>
      <c r="S44" s="275">
        <f t="shared" si="6"/>
        <v>23.180000000000007</v>
      </c>
      <c r="U44" s="122"/>
      <c r="V44" s="83">
        <f t="shared" si="7"/>
        <v>21</v>
      </c>
      <c r="W44" s="15"/>
      <c r="X44" s="264"/>
      <c r="Y44" s="293"/>
      <c r="Z44" s="264">
        <f t="shared" si="2"/>
        <v>0</v>
      </c>
      <c r="AA44" s="265"/>
      <c r="AB44" s="266"/>
      <c r="AC44" s="275">
        <f t="shared" si="8"/>
        <v>236.89999999999998</v>
      </c>
    </row>
    <row r="45" spans="1:29" x14ac:dyDescent="0.25">
      <c r="A45" s="122"/>
      <c r="B45" s="83">
        <f t="shared" si="3"/>
        <v>5</v>
      </c>
      <c r="C45" s="15"/>
      <c r="D45" s="264"/>
      <c r="E45" s="293"/>
      <c r="F45" s="264">
        <f t="shared" si="0"/>
        <v>0</v>
      </c>
      <c r="G45" s="265"/>
      <c r="H45" s="266"/>
      <c r="I45" s="275">
        <f t="shared" si="4"/>
        <v>61.359999999999914</v>
      </c>
      <c r="K45" s="122"/>
      <c r="L45" s="83">
        <f t="shared" si="5"/>
        <v>2</v>
      </c>
      <c r="M45" s="15"/>
      <c r="N45" s="264"/>
      <c r="O45" s="293"/>
      <c r="P45" s="264">
        <f t="shared" si="1"/>
        <v>0</v>
      </c>
      <c r="Q45" s="265"/>
      <c r="R45" s="266"/>
      <c r="S45" s="275">
        <f t="shared" si="6"/>
        <v>23.180000000000007</v>
      </c>
      <c r="U45" s="122"/>
      <c r="V45" s="83">
        <f t="shared" si="7"/>
        <v>21</v>
      </c>
      <c r="W45" s="15"/>
      <c r="X45" s="264"/>
      <c r="Y45" s="293"/>
      <c r="Z45" s="264">
        <f t="shared" si="2"/>
        <v>0</v>
      </c>
      <c r="AA45" s="265"/>
      <c r="AB45" s="266"/>
      <c r="AC45" s="275">
        <f t="shared" si="8"/>
        <v>236.89999999999998</v>
      </c>
    </row>
    <row r="46" spans="1:29" x14ac:dyDescent="0.25">
      <c r="A46" s="122"/>
      <c r="B46" s="83">
        <f t="shared" si="3"/>
        <v>5</v>
      </c>
      <c r="C46" s="15"/>
      <c r="D46" s="264"/>
      <c r="E46" s="293"/>
      <c r="F46" s="264">
        <f t="shared" si="0"/>
        <v>0</v>
      </c>
      <c r="G46" s="265"/>
      <c r="H46" s="266"/>
      <c r="I46" s="275">
        <f t="shared" si="4"/>
        <v>61.359999999999914</v>
      </c>
      <c r="K46" s="122"/>
      <c r="L46" s="83">
        <f t="shared" si="5"/>
        <v>2</v>
      </c>
      <c r="M46" s="15"/>
      <c r="N46" s="264"/>
      <c r="O46" s="293"/>
      <c r="P46" s="264">
        <f t="shared" si="1"/>
        <v>0</v>
      </c>
      <c r="Q46" s="265"/>
      <c r="R46" s="266"/>
      <c r="S46" s="275">
        <f t="shared" si="6"/>
        <v>23.180000000000007</v>
      </c>
      <c r="U46" s="122"/>
      <c r="V46" s="83">
        <f t="shared" si="7"/>
        <v>21</v>
      </c>
      <c r="W46" s="15"/>
      <c r="X46" s="264"/>
      <c r="Y46" s="293"/>
      <c r="Z46" s="264">
        <f t="shared" si="2"/>
        <v>0</v>
      </c>
      <c r="AA46" s="265"/>
      <c r="AB46" s="266"/>
      <c r="AC46" s="275">
        <f t="shared" si="8"/>
        <v>236.89999999999998</v>
      </c>
    </row>
    <row r="47" spans="1:29" x14ac:dyDescent="0.25">
      <c r="A47" s="122"/>
      <c r="B47" s="83">
        <f t="shared" si="3"/>
        <v>5</v>
      </c>
      <c r="C47" s="15"/>
      <c r="D47" s="264"/>
      <c r="E47" s="293"/>
      <c r="F47" s="264">
        <f t="shared" si="0"/>
        <v>0</v>
      </c>
      <c r="G47" s="265"/>
      <c r="H47" s="266"/>
      <c r="I47" s="275">
        <f t="shared" si="4"/>
        <v>61.359999999999914</v>
      </c>
      <c r="K47" s="122"/>
      <c r="L47" s="83">
        <f t="shared" si="5"/>
        <v>2</v>
      </c>
      <c r="M47" s="15"/>
      <c r="N47" s="264"/>
      <c r="O47" s="293"/>
      <c r="P47" s="264">
        <f t="shared" si="1"/>
        <v>0</v>
      </c>
      <c r="Q47" s="265"/>
      <c r="R47" s="266"/>
      <c r="S47" s="275">
        <f t="shared" si="6"/>
        <v>23.180000000000007</v>
      </c>
      <c r="U47" s="122"/>
      <c r="V47" s="83">
        <f t="shared" si="7"/>
        <v>21</v>
      </c>
      <c r="W47" s="15"/>
      <c r="X47" s="264"/>
      <c r="Y47" s="293"/>
      <c r="Z47" s="264">
        <f t="shared" si="2"/>
        <v>0</v>
      </c>
      <c r="AA47" s="265"/>
      <c r="AB47" s="266"/>
      <c r="AC47" s="275">
        <f t="shared" si="8"/>
        <v>236.89999999999998</v>
      </c>
    </row>
    <row r="48" spans="1:29" x14ac:dyDescent="0.25">
      <c r="A48" s="122"/>
      <c r="B48" s="83">
        <f t="shared" si="3"/>
        <v>5</v>
      </c>
      <c r="C48" s="15"/>
      <c r="D48" s="264"/>
      <c r="E48" s="293"/>
      <c r="F48" s="264">
        <f t="shared" si="0"/>
        <v>0</v>
      </c>
      <c r="G48" s="265"/>
      <c r="H48" s="266"/>
      <c r="I48" s="275">
        <f t="shared" si="4"/>
        <v>61.359999999999914</v>
      </c>
      <c r="K48" s="122"/>
      <c r="L48" s="83">
        <f t="shared" si="5"/>
        <v>2</v>
      </c>
      <c r="M48" s="15"/>
      <c r="N48" s="264"/>
      <c r="O48" s="293"/>
      <c r="P48" s="264">
        <f t="shared" si="1"/>
        <v>0</v>
      </c>
      <c r="Q48" s="265"/>
      <c r="R48" s="266"/>
      <c r="S48" s="275">
        <f t="shared" si="6"/>
        <v>23.180000000000007</v>
      </c>
      <c r="U48" s="122"/>
      <c r="V48" s="83">
        <f t="shared" si="7"/>
        <v>21</v>
      </c>
      <c r="W48" s="15"/>
      <c r="X48" s="264"/>
      <c r="Y48" s="293"/>
      <c r="Z48" s="264">
        <f t="shared" si="2"/>
        <v>0</v>
      </c>
      <c r="AA48" s="265"/>
      <c r="AB48" s="266"/>
      <c r="AC48" s="275">
        <f t="shared" si="8"/>
        <v>236.89999999999998</v>
      </c>
    </row>
    <row r="49" spans="1:29" x14ac:dyDescent="0.25">
      <c r="A49" s="122"/>
      <c r="B49" s="83">
        <f t="shared" si="3"/>
        <v>5</v>
      </c>
      <c r="C49" s="15"/>
      <c r="D49" s="264"/>
      <c r="E49" s="293"/>
      <c r="F49" s="264">
        <f t="shared" si="0"/>
        <v>0</v>
      </c>
      <c r="G49" s="265"/>
      <c r="H49" s="266"/>
      <c r="I49" s="275">
        <f t="shared" si="4"/>
        <v>61.359999999999914</v>
      </c>
      <c r="K49" s="122"/>
      <c r="L49" s="83">
        <f t="shared" si="5"/>
        <v>2</v>
      </c>
      <c r="M49" s="15"/>
      <c r="N49" s="264"/>
      <c r="O49" s="293"/>
      <c r="P49" s="264">
        <f t="shared" si="1"/>
        <v>0</v>
      </c>
      <c r="Q49" s="265"/>
      <c r="R49" s="266"/>
      <c r="S49" s="275">
        <f t="shared" si="6"/>
        <v>23.180000000000007</v>
      </c>
      <c r="U49" s="122"/>
      <c r="V49" s="83">
        <f t="shared" si="7"/>
        <v>21</v>
      </c>
      <c r="W49" s="15"/>
      <c r="X49" s="264"/>
      <c r="Y49" s="293"/>
      <c r="Z49" s="264">
        <f t="shared" si="2"/>
        <v>0</v>
      </c>
      <c r="AA49" s="265"/>
      <c r="AB49" s="266"/>
      <c r="AC49" s="275">
        <f t="shared" si="8"/>
        <v>236.89999999999998</v>
      </c>
    </row>
    <row r="50" spans="1:29" x14ac:dyDescent="0.25">
      <c r="A50" s="122"/>
      <c r="B50" s="83">
        <f t="shared" si="3"/>
        <v>5</v>
      </c>
      <c r="C50" s="15"/>
      <c r="D50" s="264"/>
      <c r="E50" s="293"/>
      <c r="F50" s="264">
        <f t="shared" si="0"/>
        <v>0</v>
      </c>
      <c r="G50" s="265"/>
      <c r="H50" s="266"/>
      <c r="I50" s="275">
        <f t="shared" si="4"/>
        <v>61.359999999999914</v>
      </c>
      <c r="K50" s="122"/>
      <c r="L50" s="83">
        <f t="shared" si="5"/>
        <v>2</v>
      </c>
      <c r="M50" s="15"/>
      <c r="N50" s="264"/>
      <c r="O50" s="293"/>
      <c r="P50" s="264">
        <f t="shared" si="1"/>
        <v>0</v>
      </c>
      <c r="Q50" s="265"/>
      <c r="R50" s="266"/>
      <c r="S50" s="275">
        <f t="shared" si="6"/>
        <v>23.180000000000007</v>
      </c>
      <c r="U50" s="122"/>
      <c r="V50" s="83">
        <f t="shared" si="7"/>
        <v>21</v>
      </c>
      <c r="W50" s="15"/>
      <c r="X50" s="264"/>
      <c r="Y50" s="293"/>
      <c r="Z50" s="264">
        <f t="shared" si="2"/>
        <v>0</v>
      </c>
      <c r="AA50" s="265"/>
      <c r="AB50" s="266"/>
      <c r="AC50" s="275">
        <f t="shared" si="8"/>
        <v>236.89999999999998</v>
      </c>
    </row>
    <row r="51" spans="1:29" x14ac:dyDescent="0.25">
      <c r="A51" s="122"/>
      <c r="B51" s="83">
        <f t="shared" si="3"/>
        <v>5</v>
      </c>
      <c r="C51" s="15"/>
      <c r="D51" s="264"/>
      <c r="E51" s="293"/>
      <c r="F51" s="264">
        <f t="shared" si="0"/>
        <v>0</v>
      </c>
      <c r="G51" s="265"/>
      <c r="H51" s="266"/>
      <c r="I51" s="275">
        <f t="shared" si="4"/>
        <v>61.359999999999914</v>
      </c>
      <c r="K51" s="122"/>
      <c r="L51" s="83">
        <f t="shared" si="5"/>
        <v>2</v>
      </c>
      <c r="M51" s="15"/>
      <c r="N51" s="264"/>
      <c r="O51" s="293"/>
      <c r="P51" s="264">
        <f t="shared" si="1"/>
        <v>0</v>
      </c>
      <c r="Q51" s="265"/>
      <c r="R51" s="266"/>
      <c r="S51" s="275">
        <f t="shared" si="6"/>
        <v>23.180000000000007</v>
      </c>
      <c r="U51" s="122"/>
      <c r="V51" s="83">
        <f t="shared" si="7"/>
        <v>21</v>
      </c>
      <c r="W51" s="15"/>
      <c r="X51" s="264"/>
      <c r="Y51" s="293"/>
      <c r="Z51" s="264">
        <f t="shared" si="2"/>
        <v>0</v>
      </c>
      <c r="AA51" s="265"/>
      <c r="AB51" s="266"/>
      <c r="AC51" s="275">
        <f t="shared" si="8"/>
        <v>236.89999999999998</v>
      </c>
    </row>
    <row r="52" spans="1:29" x14ac:dyDescent="0.25">
      <c r="A52" s="122"/>
      <c r="B52" s="83">
        <f t="shared" si="3"/>
        <v>5</v>
      </c>
      <c r="C52" s="15"/>
      <c r="D52" s="264"/>
      <c r="E52" s="293"/>
      <c r="F52" s="264">
        <f t="shared" si="0"/>
        <v>0</v>
      </c>
      <c r="G52" s="265"/>
      <c r="H52" s="266"/>
      <c r="I52" s="275">
        <f t="shared" si="4"/>
        <v>61.359999999999914</v>
      </c>
      <c r="K52" s="122"/>
      <c r="L52" s="83">
        <f t="shared" si="5"/>
        <v>2</v>
      </c>
      <c r="M52" s="15"/>
      <c r="N52" s="264"/>
      <c r="O52" s="293"/>
      <c r="P52" s="264">
        <f t="shared" si="1"/>
        <v>0</v>
      </c>
      <c r="Q52" s="265"/>
      <c r="R52" s="266"/>
      <c r="S52" s="275">
        <f t="shared" si="6"/>
        <v>23.180000000000007</v>
      </c>
      <c r="U52" s="122"/>
      <c r="V52" s="83">
        <f t="shared" si="7"/>
        <v>21</v>
      </c>
      <c r="W52" s="15"/>
      <c r="X52" s="264"/>
      <c r="Y52" s="293"/>
      <c r="Z52" s="264">
        <f t="shared" si="2"/>
        <v>0</v>
      </c>
      <c r="AA52" s="265"/>
      <c r="AB52" s="266"/>
      <c r="AC52" s="275">
        <f t="shared" si="8"/>
        <v>236.89999999999998</v>
      </c>
    </row>
    <row r="53" spans="1:29" x14ac:dyDescent="0.25">
      <c r="A53" s="122"/>
      <c r="B53" s="83">
        <f t="shared" si="3"/>
        <v>5</v>
      </c>
      <c r="C53" s="15"/>
      <c r="D53" s="264"/>
      <c r="E53" s="293"/>
      <c r="F53" s="264">
        <f t="shared" si="0"/>
        <v>0</v>
      </c>
      <c r="G53" s="265"/>
      <c r="H53" s="266"/>
      <c r="I53" s="275">
        <f t="shared" si="4"/>
        <v>61.359999999999914</v>
      </c>
      <c r="K53" s="122"/>
      <c r="L53" s="83">
        <f t="shared" si="5"/>
        <v>2</v>
      </c>
      <c r="M53" s="15"/>
      <c r="N53" s="264"/>
      <c r="O53" s="293"/>
      <c r="P53" s="264">
        <f t="shared" si="1"/>
        <v>0</v>
      </c>
      <c r="Q53" s="265"/>
      <c r="R53" s="266"/>
      <c r="S53" s="275">
        <f t="shared" si="6"/>
        <v>23.180000000000007</v>
      </c>
      <c r="U53" s="122"/>
      <c r="V53" s="83">
        <f t="shared" si="7"/>
        <v>21</v>
      </c>
      <c r="W53" s="15"/>
      <c r="X53" s="264"/>
      <c r="Y53" s="293"/>
      <c r="Z53" s="264">
        <f t="shared" si="2"/>
        <v>0</v>
      </c>
      <c r="AA53" s="265"/>
      <c r="AB53" s="266"/>
      <c r="AC53" s="275">
        <f t="shared" si="8"/>
        <v>236.89999999999998</v>
      </c>
    </row>
    <row r="54" spans="1:29" x14ac:dyDescent="0.25">
      <c r="A54" s="122"/>
      <c r="B54" s="83">
        <f t="shared" si="3"/>
        <v>5</v>
      </c>
      <c r="C54" s="15"/>
      <c r="D54" s="264"/>
      <c r="E54" s="293"/>
      <c r="F54" s="264">
        <f t="shared" si="0"/>
        <v>0</v>
      </c>
      <c r="G54" s="265"/>
      <c r="H54" s="266"/>
      <c r="I54" s="275">
        <f t="shared" si="4"/>
        <v>61.359999999999914</v>
      </c>
      <c r="K54" s="122"/>
      <c r="L54" s="83">
        <f t="shared" si="5"/>
        <v>2</v>
      </c>
      <c r="M54" s="15"/>
      <c r="N54" s="264"/>
      <c r="O54" s="293"/>
      <c r="P54" s="264">
        <f t="shared" si="1"/>
        <v>0</v>
      </c>
      <c r="Q54" s="265"/>
      <c r="R54" s="266"/>
      <c r="S54" s="275">
        <f t="shared" si="6"/>
        <v>23.180000000000007</v>
      </c>
      <c r="U54" s="122"/>
      <c r="V54" s="83">
        <f t="shared" si="7"/>
        <v>21</v>
      </c>
      <c r="W54" s="15"/>
      <c r="X54" s="264"/>
      <c r="Y54" s="293"/>
      <c r="Z54" s="264">
        <f t="shared" si="2"/>
        <v>0</v>
      </c>
      <c r="AA54" s="265"/>
      <c r="AB54" s="266"/>
      <c r="AC54" s="275">
        <f t="shared" si="8"/>
        <v>236.89999999999998</v>
      </c>
    </row>
    <row r="55" spans="1:29" x14ac:dyDescent="0.25">
      <c r="A55" s="122"/>
      <c r="B55" s="12">
        <f>B54-C55</f>
        <v>5</v>
      </c>
      <c r="C55" s="15"/>
      <c r="D55" s="264"/>
      <c r="E55" s="293"/>
      <c r="F55" s="264">
        <f t="shared" si="0"/>
        <v>0</v>
      </c>
      <c r="G55" s="265"/>
      <c r="H55" s="266"/>
      <c r="I55" s="275">
        <f t="shared" si="4"/>
        <v>61.359999999999914</v>
      </c>
      <c r="K55" s="122"/>
      <c r="L55" s="12">
        <f>L54-M55</f>
        <v>2</v>
      </c>
      <c r="M55" s="15"/>
      <c r="N55" s="264"/>
      <c r="O55" s="293"/>
      <c r="P55" s="264">
        <f t="shared" si="1"/>
        <v>0</v>
      </c>
      <c r="Q55" s="265"/>
      <c r="R55" s="266"/>
      <c r="S55" s="275">
        <f t="shared" si="6"/>
        <v>23.180000000000007</v>
      </c>
      <c r="U55" s="122"/>
      <c r="V55" s="12">
        <f>V54-W55</f>
        <v>21</v>
      </c>
      <c r="W55" s="15"/>
      <c r="X55" s="264"/>
      <c r="Y55" s="293"/>
      <c r="Z55" s="264">
        <f t="shared" si="2"/>
        <v>0</v>
      </c>
      <c r="AA55" s="265"/>
      <c r="AB55" s="266"/>
      <c r="AC55" s="275">
        <f t="shared" si="8"/>
        <v>236.89999999999998</v>
      </c>
    </row>
    <row r="56" spans="1:29" x14ac:dyDescent="0.25">
      <c r="A56" s="122"/>
      <c r="B56" s="12">
        <f t="shared" ref="B56:B75" si="9">B55-C56</f>
        <v>5</v>
      </c>
      <c r="C56" s="15"/>
      <c r="D56" s="264"/>
      <c r="E56" s="293"/>
      <c r="F56" s="264">
        <f t="shared" si="0"/>
        <v>0</v>
      </c>
      <c r="G56" s="265"/>
      <c r="H56" s="266"/>
      <c r="I56" s="275">
        <f t="shared" si="4"/>
        <v>61.359999999999914</v>
      </c>
      <c r="K56" s="122"/>
      <c r="L56" s="12">
        <f t="shared" ref="L56:L75" si="10">L55-M56</f>
        <v>2</v>
      </c>
      <c r="M56" s="15"/>
      <c r="N56" s="264"/>
      <c r="O56" s="293"/>
      <c r="P56" s="264">
        <f t="shared" si="1"/>
        <v>0</v>
      </c>
      <c r="Q56" s="265"/>
      <c r="R56" s="266"/>
      <c r="S56" s="275">
        <f t="shared" si="6"/>
        <v>23.180000000000007</v>
      </c>
      <c r="U56" s="122"/>
      <c r="V56" s="12">
        <f t="shared" ref="V56:V75" si="11">V55-W56</f>
        <v>21</v>
      </c>
      <c r="W56" s="15"/>
      <c r="X56" s="264"/>
      <c r="Y56" s="293"/>
      <c r="Z56" s="264">
        <f t="shared" si="2"/>
        <v>0</v>
      </c>
      <c r="AA56" s="265"/>
      <c r="AB56" s="266"/>
      <c r="AC56" s="275">
        <f t="shared" si="8"/>
        <v>236.89999999999998</v>
      </c>
    </row>
    <row r="57" spans="1:29" x14ac:dyDescent="0.25">
      <c r="A57" s="122"/>
      <c r="B57" s="12">
        <f t="shared" si="9"/>
        <v>5</v>
      </c>
      <c r="C57" s="15"/>
      <c r="D57" s="264"/>
      <c r="E57" s="293"/>
      <c r="F57" s="264">
        <f t="shared" si="0"/>
        <v>0</v>
      </c>
      <c r="G57" s="265"/>
      <c r="H57" s="266"/>
      <c r="I57" s="275">
        <f t="shared" si="4"/>
        <v>61.359999999999914</v>
      </c>
      <c r="K57" s="122"/>
      <c r="L57" s="12">
        <f t="shared" si="10"/>
        <v>2</v>
      </c>
      <c r="M57" s="15"/>
      <c r="N57" s="264"/>
      <c r="O57" s="293"/>
      <c r="P57" s="264">
        <f t="shared" si="1"/>
        <v>0</v>
      </c>
      <c r="Q57" s="265"/>
      <c r="R57" s="266"/>
      <c r="S57" s="275">
        <f t="shared" si="6"/>
        <v>23.180000000000007</v>
      </c>
      <c r="U57" s="122"/>
      <c r="V57" s="12">
        <f t="shared" si="11"/>
        <v>21</v>
      </c>
      <c r="W57" s="15"/>
      <c r="X57" s="264"/>
      <c r="Y57" s="293"/>
      <c r="Z57" s="264">
        <f t="shared" si="2"/>
        <v>0</v>
      </c>
      <c r="AA57" s="265"/>
      <c r="AB57" s="266"/>
      <c r="AC57" s="275">
        <f t="shared" si="8"/>
        <v>236.89999999999998</v>
      </c>
    </row>
    <row r="58" spans="1:29" x14ac:dyDescent="0.25">
      <c r="A58" s="122"/>
      <c r="B58" s="12">
        <f t="shared" si="9"/>
        <v>5</v>
      </c>
      <c r="C58" s="15"/>
      <c r="D58" s="264"/>
      <c r="E58" s="293"/>
      <c r="F58" s="264">
        <f t="shared" si="0"/>
        <v>0</v>
      </c>
      <c r="G58" s="265"/>
      <c r="H58" s="266"/>
      <c r="I58" s="275">
        <f t="shared" si="4"/>
        <v>61.359999999999914</v>
      </c>
      <c r="K58" s="122"/>
      <c r="L58" s="12">
        <f t="shared" si="10"/>
        <v>2</v>
      </c>
      <c r="M58" s="15"/>
      <c r="N58" s="264"/>
      <c r="O58" s="293"/>
      <c r="P58" s="264">
        <f t="shared" si="1"/>
        <v>0</v>
      </c>
      <c r="Q58" s="265"/>
      <c r="R58" s="266"/>
      <c r="S58" s="275">
        <f t="shared" si="6"/>
        <v>23.180000000000007</v>
      </c>
      <c r="U58" s="122"/>
      <c r="V58" s="12">
        <f t="shared" si="11"/>
        <v>21</v>
      </c>
      <c r="W58" s="15"/>
      <c r="X58" s="264"/>
      <c r="Y58" s="293"/>
      <c r="Z58" s="264">
        <f t="shared" si="2"/>
        <v>0</v>
      </c>
      <c r="AA58" s="265"/>
      <c r="AB58" s="266"/>
      <c r="AC58" s="275">
        <f t="shared" si="8"/>
        <v>236.89999999999998</v>
      </c>
    </row>
    <row r="59" spans="1:29" x14ac:dyDescent="0.25">
      <c r="A59" s="122"/>
      <c r="B59" s="12">
        <f t="shared" si="9"/>
        <v>5</v>
      </c>
      <c r="C59" s="15"/>
      <c r="D59" s="264"/>
      <c r="E59" s="293"/>
      <c r="F59" s="264">
        <f t="shared" si="0"/>
        <v>0</v>
      </c>
      <c r="G59" s="265"/>
      <c r="H59" s="266"/>
      <c r="I59" s="275">
        <f t="shared" si="4"/>
        <v>61.359999999999914</v>
      </c>
      <c r="K59" s="122"/>
      <c r="L59" s="12">
        <f t="shared" si="10"/>
        <v>2</v>
      </c>
      <c r="M59" s="15"/>
      <c r="N59" s="264"/>
      <c r="O59" s="293"/>
      <c r="P59" s="264">
        <f t="shared" si="1"/>
        <v>0</v>
      </c>
      <c r="Q59" s="265"/>
      <c r="R59" s="266"/>
      <c r="S59" s="275">
        <f t="shared" si="6"/>
        <v>23.180000000000007</v>
      </c>
      <c r="U59" s="122"/>
      <c r="V59" s="12">
        <f t="shared" si="11"/>
        <v>21</v>
      </c>
      <c r="W59" s="15"/>
      <c r="X59" s="264"/>
      <c r="Y59" s="293"/>
      <c r="Z59" s="264">
        <f t="shared" si="2"/>
        <v>0</v>
      </c>
      <c r="AA59" s="265"/>
      <c r="AB59" s="266"/>
      <c r="AC59" s="275">
        <f t="shared" si="8"/>
        <v>236.89999999999998</v>
      </c>
    </row>
    <row r="60" spans="1:29" x14ac:dyDescent="0.25">
      <c r="A60" s="122"/>
      <c r="B60" s="12">
        <f t="shared" si="9"/>
        <v>5</v>
      </c>
      <c r="C60" s="15"/>
      <c r="D60" s="264"/>
      <c r="E60" s="293"/>
      <c r="F60" s="264">
        <f t="shared" si="0"/>
        <v>0</v>
      </c>
      <c r="G60" s="265"/>
      <c r="H60" s="266"/>
      <c r="I60" s="275">
        <f t="shared" si="4"/>
        <v>61.359999999999914</v>
      </c>
      <c r="K60" s="122"/>
      <c r="L60" s="12">
        <f t="shared" si="10"/>
        <v>2</v>
      </c>
      <c r="M60" s="15"/>
      <c r="N60" s="264"/>
      <c r="O60" s="293"/>
      <c r="P60" s="264">
        <f t="shared" si="1"/>
        <v>0</v>
      </c>
      <c r="Q60" s="265"/>
      <c r="R60" s="266"/>
      <c r="S60" s="275">
        <f t="shared" si="6"/>
        <v>23.180000000000007</v>
      </c>
      <c r="U60" s="122"/>
      <c r="V60" s="12">
        <f t="shared" si="11"/>
        <v>21</v>
      </c>
      <c r="W60" s="15"/>
      <c r="X60" s="264"/>
      <c r="Y60" s="293"/>
      <c r="Z60" s="264">
        <f t="shared" si="2"/>
        <v>0</v>
      </c>
      <c r="AA60" s="265"/>
      <c r="AB60" s="266"/>
      <c r="AC60" s="275">
        <f t="shared" si="8"/>
        <v>236.89999999999998</v>
      </c>
    </row>
    <row r="61" spans="1:29" x14ac:dyDescent="0.25">
      <c r="A61" s="122"/>
      <c r="B61" s="12">
        <f t="shared" si="9"/>
        <v>5</v>
      </c>
      <c r="C61" s="15"/>
      <c r="D61" s="264"/>
      <c r="E61" s="293"/>
      <c r="F61" s="264">
        <f t="shared" si="0"/>
        <v>0</v>
      </c>
      <c r="G61" s="265"/>
      <c r="H61" s="266"/>
      <c r="I61" s="275">
        <f t="shared" si="4"/>
        <v>61.359999999999914</v>
      </c>
      <c r="K61" s="122"/>
      <c r="L61" s="12">
        <f t="shared" si="10"/>
        <v>2</v>
      </c>
      <c r="M61" s="15"/>
      <c r="N61" s="264"/>
      <c r="O61" s="293"/>
      <c r="P61" s="264">
        <f t="shared" si="1"/>
        <v>0</v>
      </c>
      <c r="Q61" s="265"/>
      <c r="R61" s="266"/>
      <c r="S61" s="275">
        <f t="shared" si="6"/>
        <v>23.180000000000007</v>
      </c>
      <c r="U61" s="122"/>
      <c r="V61" s="12">
        <f t="shared" si="11"/>
        <v>21</v>
      </c>
      <c r="W61" s="15"/>
      <c r="X61" s="264"/>
      <c r="Y61" s="293"/>
      <c r="Z61" s="264">
        <f t="shared" si="2"/>
        <v>0</v>
      </c>
      <c r="AA61" s="265"/>
      <c r="AB61" s="266"/>
      <c r="AC61" s="275">
        <f t="shared" si="8"/>
        <v>236.89999999999998</v>
      </c>
    </row>
    <row r="62" spans="1:29" x14ac:dyDescent="0.25">
      <c r="A62" s="122"/>
      <c r="B62" s="12">
        <f t="shared" si="9"/>
        <v>5</v>
      </c>
      <c r="C62" s="15"/>
      <c r="D62" s="264"/>
      <c r="E62" s="293"/>
      <c r="F62" s="264">
        <f t="shared" si="0"/>
        <v>0</v>
      </c>
      <c r="G62" s="265"/>
      <c r="H62" s="266"/>
      <c r="I62" s="275">
        <f t="shared" si="4"/>
        <v>61.359999999999914</v>
      </c>
      <c r="K62" s="122"/>
      <c r="L62" s="12">
        <f t="shared" si="10"/>
        <v>2</v>
      </c>
      <c r="M62" s="15"/>
      <c r="N62" s="264"/>
      <c r="O62" s="293"/>
      <c r="P62" s="264">
        <f t="shared" si="1"/>
        <v>0</v>
      </c>
      <c r="Q62" s="265"/>
      <c r="R62" s="266"/>
      <c r="S62" s="275">
        <f t="shared" si="6"/>
        <v>23.180000000000007</v>
      </c>
      <c r="U62" s="122"/>
      <c r="V62" s="12">
        <f t="shared" si="11"/>
        <v>21</v>
      </c>
      <c r="W62" s="15"/>
      <c r="X62" s="264"/>
      <c r="Y62" s="293"/>
      <c r="Z62" s="264">
        <f t="shared" si="2"/>
        <v>0</v>
      </c>
      <c r="AA62" s="265"/>
      <c r="AB62" s="266"/>
      <c r="AC62" s="275">
        <f t="shared" si="8"/>
        <v>236.89999999999998</v>
      </c>
    </row>
    <row r="63" spans="1:29" x14ac:dyDescent="0.25">
      <c r="A63" s="122"/>
      <c r="B63" s="12">
        <f t="shared" si="9"/>
        <v>5</v>
      </c>
      <c r="C63" s="15"/>
      <c r="D63" s="264"/>
      <c r="E63" s="293"/>
      <c r="F63" s="264">
        <f t="shared" si="0"/>
        <v>0</v>
      </c>
      <c r="G63" s="265"/>
      <c r="H63" s="266"/>
      <c r="I63" s="275">
        <f t="shared" si="4"/>
        <v>61.359999999999914</v>
      </c>
      <c r="K63" s="122"/>
      <c r="L63" s="12">
        <f t="shared" si="10"/>
        <v>2</v>
      </c>
      <c r="M63" s="15"/>
      <c r="N63" s="264"/>
      <c r="O63" s="293"/>
      <c r="P63" s="264">
        <f t="shared" si="1"/>
        <v>0</v>
      </c>
      <c r="Q63" s="265"/>
      <c r="R63" s="266"/>
      <c r="S63" s="275">
        <f t="shared" si="6"/>
        <v>23.180000000000007</v>
      </c>
      <c r="U63" s="122"/>
      <c r="V63" s="12">
        <f t="shared" si="11"/>
        <v>21</v>
      </c>
      <c r="W63" s="15"/>
      <c r="X63" s="264"/>
      <c r="Y63" s="293"/>
      <c r="Z63" s="264">
        <f t="shared" si="2"/>
        <v>0</v>
      </c>
      <c r="AA63" s="265"/>
      <c r="AB63" s="266"/>
      <c r="AC63" s="275">
        <f t="shared" si="8"/>
        <v>236.89999999999998</v>
      </c>
    </row>
    <row r="64" spans="1:29" x14ac:dyDescent="0.25">
      <c r="A64" s="122"/>
      <c r="B64" s="12">
        <f t="shared" si="9"/>
        <v>5</v>
      </c>
      <c r="C64" s="15"/>
      <c r="D64" s="264"/>
      <c r="E64" s="293"/>
      <c r="F64" s="264">
        <f t="shared" si="0"/>
        <v>0</v>
      </c>
      <c r="G64" s="265"/>
      <c r="H64" s="266"/>
      <c r="I64" s="275">
        <f t="shared" si="4"/>
        <v>61.359999999999914</v>
      </c>
      <c r="K64" s="122"/>
      <c r="L64" s="12">
        <f t="shared" si="10"/>
        <v>2</v>
      </c>
      <c r="M64" s="15"/>
      <c r="N64" s="264"/>
      <c r="O64" s="293"/>
      <c r="P64" s="264">
        <f t="shared" si="1"/>
        <v>0</v>
      </c>
      <c r="Q64" s="265"/>
      <c r="R64" s="266"/>
      <c r="S64" s="275">
        <f t="shared" si="6"/>
        <v>23.180000000000007</v>
      </c>
      <c r="U64" s="122"/>
      <c r="V64" s="12">
        <f t="shared" si="11"/>
        <v>21</v>
      </c>
      <c r="W64" s="15"/>
      <c r="X64" s="264"/>
      <c r="Y64" s="293"/>
      <c r="Z64" s="264">
        <f t="shared" si="2"/>
        <v>0</v>
      </c>
      <c r="AA64" s="265"/>
      <c r="AB64" s="266"/>
      <c r="AC64" s="275">
        <f t="shared" si="8"/>
        <v>236.89999999999998</v>
      </c>
    </row>
    <row r="65" spans="1:29" x14ac:dyDescent="0.25">
      <c r="A65" s="122"/>
      <c r="B65" s="12">
        <f t="shared" si="9"/>
        <v>5</v>
      </c>
      <c r="C65" s="15"/>
      <c r="D65" s="264"/>
      <c r="E65" s="293"/>
      <c r="F65" s="264">
        <f t="shared" si="0"/>
        <v>0</v>
      </c>
      <c r="G65" s="265"/>
      <c r="H65" s="266"/>
      <c r="I65" s="275">
        <f t="shared" si="4"/>
        <v>61.359999999999914</v>
      </c>
      <c r="K65" s="122"/>
      <c r="L65" s="12">
        <f t="shared" si="10"/>
        <v>2</v>
      </c>
      <c r="M65" s="15"/>
      <c r="N65" s="264"/>
      <c r="O65" s="293"/>
      <c r="P65" s="264">
        <f t="shared" si="1"/>
        <v>0</v>
      </c>
      <c r="Q65" s="265"/>
      <c r="R65" s="266"/>
      <c r="S65" s="275">
        <f t="shared" si="6"/>
        <v>23.180000000000007</v>
      </c>
      <c r="U65" s="122"/>
      <c r="V65" s="12">
        <f t="shared" si="11"/>
        <v>21</v>
      </c>
      <c r="W65" s="15"/>
      <c r="X65" s="264"/>
      <c r="Y65" s="293"/>
      <c r="Z65" s="264">
        <f t="shared" si="2"/>
        <v>0</v>
      </c>
      <c r="AA65" s="265"/>
      <c r="AB65" s="266"/>
      <c r="AC65" s="275">
        <f t="shared" si="8"/>
        <v>236.89999999999998</v>
      </c>
    </row>
    <row r="66" spans="1:29" x14ac:dyDescent="0.25">
      <c r="A66" s="122"/>
      <c r="B66" s="12">
        <f t="shared" si="9"/>
        <v>5</v>
      </c>
      <c r="C66" s="15"/>
      <c r="D66" s="264"/>
      <c r="E66" s="293"/>
      <c r="F66" s="264">
        <f t="shared" si="0"/>
        <v>0</v>
      </c>
      <c r="G66" s="265"/>
      <c r="H66" s="266"/>
      <c r="I66" s="275">
        <f t="shared" si="4"/>
        <v>61.359999999999914</v>
      </c>
      <c r="K66" s="122"/>
      <c r="L66" s="12">
        <f t="shared" si="10"/>
        <v>2</v>
      </c>
      <c r="M66" s="15"/>
      <c r="N66" s="264"/>
      <c r="O66" s="293"/>
      <c r="P66" s="264">
        <f t="shared" si="1"/>
        <v>0</v>
      </c>
      <c r="Q66" s="265"/>
      <c r="R66" s="266"/>
      <c r="S66" s="275">
        <f t="shared" si="6"/>
        <v>23.180000000000007</v>
      </c>
      <c r="U66" s="122"/>
      <c r="V66" s="12">
        <f t="shared" si="11"/>
        <v>21</v>
      </c>
      <c r="W66" s="15"/>
      <c r="X66" s="264"/>
      <c r="Y66" s="293"/>
      <c r="Z66" s="264">
        <f t="shared" si="2"/>
        <v>0</v>
      </c>
      <c r="AA66" s="265"/>
      <c r="AB66" s="266"/>
      <c r="AC66" s="275">
        <f t="shared" si="8"/>
        <v>236.89999999999998</v>
      </c>
    </row>
    <row r="67" spans="1:29" x14ac:dyDescent="0.25">
      <c r="A67" s="122"/>
      <c r="B67" s="12">
        <f t="shared" si="9"/>
        <v>5</v>
      </c>
      <c r="C67" s="15"/>
      <c r="D67" s="69"/>
      <c r="E67" s="216"/>
      <c r="F67" s="69">
        <f t="shared" si="0"/>
        <v>0</v>
      </c>
      <c r="G67" s="70"/>
      <c r="H67" s="71"/>
      <c r="I67" s="105">
        <f t="shared" si="4"/>
        <v>61.359999999999914</v>
      </c>
      <c r="K67" s="122"/>
      <c r="L67" s="12">
        <f t="shared" si="10"/>
        <v>2</v>
      </c>
      <c r="M67" s="15"/>
      <c r="N67" s="69"/>
      <c r="O67" s="216"/>
      <c r="P67" s="69">
        <f t="shared" si="1"/>
        <v>0</v>
      </c>
      <c r="Q67" s="70"/>
      <c r="R67" s="71"/>
      <c r="S67" s="105">
        <f t="shared" si="6"/>
        <v>23.180000000000007</v>
      </c>
      <c r="U67" s="122"/>
      <c r="V67" s="12">
        <f t="shared" si="11"/>
        <v>21</v>
      </c>
      <c r="W67" s="15"/>
      <c r="X67" s="69"/>
      <c r="Y67" s="216"/>
      <c r="Z67" s="69">
        <f t="shared" si="2"/>
        <v>0</v>
      </c>
      <c r="AA67" s="70"/>
      <c r="AB67" s="71"/>
      <c r="AC67" s="105">
        <f t="shared" si="8"/>
        <v>236.89999999999998</v>
      </c>
    </row>
    <row r="68" spans="1:29" x14ac:dyDescent="0.25">
      <c r="A68" s="122"/>
      <c r="B68" s="12">
        <f t="shared" si="9"/>
        <v>5</v>
      </c>
      <c r="C68" s="15"/>
      <c r="D68" s="59"/>
      <c r="E68" s="223"/>
      <c r="F68" s="69">
        <f t="shared" si="0"/>
        <v>0</v>
      </c>
      <c r="G68" s="70"/>
      <c r="H68" s="71"/>
      <c r="I68" s="105">
        <f t="shared" si="4"/>
        <v>61.359999999999914</v>
      </c>
      <c r="K68" s="122"/>
      <c r="L68" s="12">
        <f t="shared" si="10"/>
        <v>2</v>
      </c>
      <c r="M68" s="15"/>
      <c r="N68" s="59"/>
      <c r="O68" s="223"/>
      <c r="P68" s="69">
        <f t="shared" si="1"/>
        <v>0</v>
      </c>
      <c r="Q68" s="70"/>
      <c r="R68" s="71"/>
      <c r="S68" s="105">
        <f t="shared" si="6"/>
        <v>23.180000000000007</v>
      </c>
      <c r="U68" s="122"/>
      <c r="V68" s="12">
        <f t="shared" si="11"/>
        <v>21</v>
      </c>
      <c r="W68" s="15"/>
      <c r="X68" s="59"/>
      <c r="Y68" s="223"/>
      <c r="Z68" s="69">
        <f t="shared" si="2"/>
        <v>0</v>
      </c>
      <c r="AA68" s="70"/>
      <c r="AB68" s="71"/>
      <c r="AC68" s="105">
        <f t="shared" si="8"/>
        <v>236.89999999999998</v>
      </c>
    </row>
    <row r="69" spans="1:29" x14ac:dyDescent="0.25">
      <c r="A69" s="122"/>
      <c r="B69" s="12">
        <f t="shared" si="9"/>
        <v>5</v>
      </c>
      <c r="C69" s="15"/>
      <c r="D69" s="59"/>
      <c r="E69" s="223"/>
      <c r="F69" s="69">
        <f t="shared" si="0"/>
        <v>0</v>
      </c>
      <c r="G69" s="70"/>
      <c r="H69" s="71"/>
      <c r="I69" s="105">
        <f t="shared" si="4"/>
        <v>61.359999999999914</v>
      </c>
      <c r="K69" s="122"/>
      <c r="L69" s="12">
        <f t="shared" si="10"/>
        <v>2</v>
      </c>
      <c r="M69" s="15"/>
      <c r="N69" s="59"/>
      <c r="O69" s="223"/>
      <c r="P69" s="69">
        <f t="shared" si="1"/>
        <v>0</v>
      </c>
      <c r="Q69" s="70"/>
      <c r="R69" s="71"/>
      <c r="S69" s="105">
        <f t="shared" si="6"/>
        <v>23.180000000000007</v>
      </c>
      <c r="U69" s="122"/>
      <c r="V69" s="12">
        <f t="shared" si="11"/>
        <v>21</v>
      </c>
      <c r="W69" s="15"/>
      <c r="X69" s="59"/>
      <c r="Y69" s="223"/>
      <c r="Z69" s="69">
        <f t="shared" si="2"/>
        <v>0</v>
      </c>
      <c r="AA69" s="70"/>
      <c r="AB69" s="71"/>
      <c r="AC69" s="105">
        <f t="shared" si="8"/>
        <v>236.89999999999998</v>
      </c>
    </row>
    <row r="70" spans="1:29" x14ac:dyDescent="0.25">
      <c r="A70" s="122"/>
      <c r="B70" s="12">
        <f t="shared" si="9"/>
        <v>5</v>
      </c>
      <c r="C70" s="15"/>
      <c r="D70" s="59"/>
      <c r="E70" s="223"/>
      <c r="F70" s="69">
        <f t="shared" si="0"/>
        <v>0</v>
      </c>
      <c r="G70" s="70"/>
      <c r="H70" s="71"/>
      <c r="I70" s="105">
        <f t="shared" si="4"/>
        <v>61.359999999999914</v>
      </c>
      <c r="K70" s="122"/>
      <c r="L70" s="12">
        <f t="shared" si="10"/>
        <v>2</v>
      </c>
      <c r="M70" s="15"/>
      <c r="N70" s="59"/>
      <c r="O70" s="223"/>
      <c r="P70" s="69">
        <f t="shared" si="1"/>
        <v>0</v>
      </c>
      <c r="Q70" s="70"/>
      <c r="R70" s="71"/>
      <c r="S70" s="105">
        <f t="shared" si="6"/>
        <v>23.180000000000007</v>
      </c>
      <c r="U70" s="122"/>
      <c r="V70" s="12">
        <f t="shared" si="11"/>
        <v>21</v>
      </c>
      <c r="W70" s="15"/>
      <c r="X70" s="59"/>
      <c r="Y70" s="223"/>
      <c r="Z70" s="69">
        <f t="shared" si="2"/>
        <v>0</v>
      </c>
      <c r="AA70" s="70"/>
      <c r="AB70" s="71"/>
      <c r="AC70" s="105">
        <f t="shared" si="8"/>
        <v>236.89999999999998</v>
      </c>
    </row>
    <row r="71" spans="1:29" x14ac:dyDescent="0.25">
      <c r="A71" s="122"/>
      <c r="B71" s="12">
        <f t="shared" si="9"/>
        <v>5</v>
      </c>
      <c r="C71" s="15"/>
      <c r="D71" s="59"/>
      <c r="E71" s="223"/>
      <c r="F71" s="69">
        <f t="shared" si="0"/>
        <v>0</v>
      </c>
      <c r="G71" s="70"/>
      <c r="H71" s="71"/>
      <c r="I71" s="105">
        <f t="shared" si="4"/>
        <v>61.359999999999914</v>
      </c>
      <c r="K71" s="122"/>
      <c r="L71" s="12">
        <f t="shared" si="10"/>
        <v>2</v>
      </c>
      <c r="M71" s="15"/>
      <c r="N71" s="59"/>
      <c r="O71" s="223"/>
      <c r="P71" s="69">
        <f t="shared" si="1"/>
        <v>0</v>
      </c>
      <c r="Q71" s="70"/>
      <c r="R71" s="71"/>
      <c r="S71" s="105">
        <f t="shared" si="6"/>
        <v>23.180000000000007</v>
      </c>
      <c r="U71" s="122"/>
      <c r="V71" s="12">
        <f t="shared" si="11"/>
        <v>21</v>
      </c>
      <c r="W71" s="15"/>
      <c r="X71" s="59"/>
      <c r="Y71" s="223"/>
      <c r="Z71" s="69">
        <f t="shared" si="2"/>
        <v>0</v>
      </c>
      <c r="AA71" s="70"/>
      <c r="AB71" s="71"/>
      <c r="AC71" s="105">
        <f t="shared" si="8"/>
        <v>236.89999999999998</v>
      </c>
    </row>
    <row r="72" spans="1:29" x14ac:dyDescent="0.25">
      <c r="A72" s="122"/>
      <c r="B72" s="12">
        <f t="shared" si="9"/>
        <v>5</v>
      </c>
      <c r="C72" s="15"/>
      <c r="D72" s="59"/>
      <c r="E72" s="223"/>
      <c r="F72" s="69">
        <f t="shared" si="0"/>
        <v>0</v>
      </c>
      <c r="G72" s="70"/>
      <c r="H72" s="71"/>
      <c r="I72" s="105">
        <f t="shared" si="4"/>
        <v>61.359999999999914</v>
      </c>
      <c r="K72" s="122"/>
      <c r="L72" s="12">
        <f t="shared" si="10"/>
        <v>2</v>
      </c>
      <c r="M72" s="15"/>
      <c r="N72" s="59"/>
      <c r="O72" s="223"/>
      <c r="P72" s="69">
        <f t="shared" si="1"/>
        <v>0</v>
      </c>
      <c r="Q72" s="70"/>
      <c r="R72" s="71"/>
      <c r="S72" s="105">
        <f t="shared" si="6"/>
        <v>23.180000000000007</v>
      </c>
      <c r="U72" s="122"/>
      <c r="V72" s="12">
        <f t="shared" si="11"/>
        <v>21</v>
      </c>
      <c r="W72" s="15"/>
      <c r="X72" s="59"/>
      <c r="Y72" s="223"/>
      <c r="Z72" s="69">
        <f t="shared" si="2"/>
        <v>0</v>
      </c>
      <c r="AA72" s="70"/>
      <c r="AB72" s="71"/>
      <c r="AC72" s="105">
        <f t="shared" si="8"/>
        <v>236.89999999999998</v>
      </c>
    </row>
    <row r="73" spans="1:29" x14ac:dyDescent="0.25">
      <c r="A73" s="122"/>
      <c r="B73" s="12">
        <f t="shared" si="9"/>
        <v>5</v>
      </c>
      <c r="C73" s="15"/>
      <c r="D73" s="59"/>
      <c r="E73" s="223"/>
      <c r="F73" s="69">
        <f t="shared" ref="F73" si="12">D73</f>
        <v>0</v>
      </c>
      <c r="G73" s="70"/>
      <c r="H73" s="71"/>
      <c r="I73" s="105">
        <f t="shared" si="4"/>
        <v>61.359999999999914</v>
      </c>
      <c r="K73" s="122"/>
      <c r="L73" s="12">
        <f t="shared" si="10"/>
        <v>2</v>
      </c>
      <c r="M73" s="15"/>
      <c r="N73" s="59"/>
      <c r="O73" s="223"/>
      <c r="P73" s="69">
        <f t="shared" ref="P73" si="13">N73</f>
        <v>0</v>
      </c>
      <c r="Q73" s="70"/>
      <c r="R73" s="71"/>
      <c r="S73" s="105">
        <f t="shared" si="6"/>
        <v>23.180000000000007</v>
      </c>
      <c r="U73" s="122"/>
      <c r="V73" s="12">
        <f t="shared" si="11"/>
        <v>21</v>
      </c>
      <c r="W73" s="15"/>
      <c r="X73" s="59"/>
      <c r="Y73" s="223"/>
      <c r="Z73" s="69">
        <f t="shared" ref="Z73" si="14">X73</f>
        <v>0</v>
      </c>
      <c r="AA73" s="70"/>
      <c r="AB73" s="71"/>
      <c r="AC73" s="105">
        <f t="shared" si="8"/>
        <v>236.89999999999998</v>
      </c>
    </row>
    <row r="74" spans="1:29" x14ac:dyDescent="0.25">
      <c r="A74" s="122"/>
      <c r="B74" s="12">
        <f t="shared" si="9"/>
        <v>5</v>
      </c>
      <c r="C74" s="15"/>
      <c r="D74" s="59"/>
      <c r="E74" s="223"/>
      <c r="F74" s="69">
        <f>D74</f>
        <v>0</v>
      </c>
      <c r="G74" s="70"/>
      <c r="H74" s="71"/>
      <c r="I74" s="105">
        <f t="shared" si="4"/>
        <v>61.359999999999914</v>
      </c>
      <c r="K74" s="122"/>
      <c r="L74" s="12">
        <f t="shared" si="10"/>
        <v>2</v>
      </c>
      <c r="M74" s="15"/>
      <c r="N74" s="59"/>
      <c r="O74" s="223"/>
      <c r="P74" s="69">
        <f>N74</f>
        <v>0</v>
      </c>
      <c r="Q74" s="70"/>
      <c r="R74" s="71"/>
      <c r="S74" s="105">
        <f t="shared" si="6"/>
        <v>23.180000000000007</v>
      </c>
      <c r="U74" s="122"/>
      <c r="V74" s="12">
        <f t="shared" si="11"/>
        <v>21</v>
      </c>
      <c r="W74" s="15"/>
      <c r="X74" s="59"/>
      <c r="Y74" s="223"/>
      <c r="Z74" s="69">
        <f>X74</f>
        <v>0</v>
      </c>
      <c r="AA74" s="70"/>
      <c r="AB74" s="71"/>
      <c r="AC74" s="105">
        <f t="shared" si="8"/>
        <v>236.89999999999998</v>
      </c>
    </row>
    <row r="75" spans="1:29" x14ac:dyDescent="0.25">
      <c r="A75" s="122"/>
      <c r="B75" s="12">
        <f t="shared" si="9"/>
        <v>5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15">I74-F75</f>
        <v>61.359999999999914</v>
      </c>
      <c r="K75" s="122"/>
      <c r="L75" s="12">
        <f t="shared" si="10"/>
        <v>2</v>
      </c>
      <c r="M75" s="15"/>
      <c r="N75" s="59"/>
      <c r="O75" s="223"/>
      <c r="P75" s="69">
        <f>N75</f>
        <v>0</v>
      </c>
      <c r="Q75" s="70"/>
      <c r="R75" s="71"/>
      <c r="S75" s="105">
        <f t="shared" ref="S75:S76" si="16">S74-P75</f>
        <v>23.180000000000007</v>
      </c>
      <c r="U75" s="122"/>
      <c r="V75" s="12">
        <f t="shared" si="11"/>
        <v>21</v>
      </c>
      <c r="W75" s="15"/>
      <c r="X75" s="59"/>
      <c r="Y75" s="223"/>
      <c r="Z75" s="69">
        <f>X75</f>
        <v>0</v>
      </c>
      <c r="AA75" s="70"/>
      <c r="AB75" s="71"/>
      <c r="AC75" s="105">
        <f t="shared" ref="AC75:AC76" si="17">AC74-Z75</f>
        <v>236.89999999999998</v>
      </c>
    </row>
    <row r="76" spans="1:2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15"/>
        <v>61.359999999999914</v>
      </c>
      <c r="K76" s="122"/>
      <c r="M76" s="15"/>
      <c r="N76" s="59"/>
      <c r="O76" s="223"/>
      <c r="P76" s="69">
        <f>N76</f>
        <v>0</v>
      </c>
      <c r="Q76" s="70"/>
      <c r="R76" s="71"/>
      <c r="S76" s="105">
        <f t="shared" si="16"/>
        <v>23.180000000000007</v>
      </c>
      <c r="U76" s="122"/>
      <c r="W76" s="15"/>
      <c r="X76" s="59"/>
      <c r="Y76" s="223"/>
      <c r="Z76" s="69">
        <f>X76</f>
        <v>0</v>
      </c>
      <c r="AA76" s="70"/>
      <c r="AB76" s="71"/>
      <c r="AC76" s="105">
        <f t="shared" si="17"/>
        <v>236.89999999999998</v>
      </c>
    </row>
    <row r="77" spans="1:2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  <c r="U77" s="122"/>
      <c r="V77" s="16"/>
      <c r="W77" s="52"/>
      <c r="X77" s="107"/>
      <c r="Y77" s="209"/>
      <c r="Z77" s="103"/>
      <c r="AA77" s="104"/>
      <c r="AB77" s="60"/>
    </row>
    <row r="78" spans="1:29" x14ac:dyDescent="0.25">
      <c r="C78" s="53">
        <f>SUM(C9:C77)</f>
        <v>65</v>
      </c>
      <c r="D78" s="6">
        <f>SUM(D9:D77)</f>
        <v>802.82</v>
      </c>
      <c r="F78" s="6">
        <f>SUM(F9:F77)</f>
        <v>802.82</v>
      </c>
      <c r="M78" s="53">
        <f>SUM(M9:M77)</f>
        <v>15</v>
      </c>
      <c r="N78" s="6">
        <f>SUM(N9:N77)</f>
        <v>181.41</v>
      </c>
      <c r="P78" s="6">
        <f>SUM(P9:P77)</f>
        <v>181.41</v>
      </c>
      <c r="W78" s="53">
        <f>SUM(W9:W77)</f>
        <v>15</v>
      </c>
      <c r="X78" s="6">
        <f>SUM(X9:X77)</f>
        <v>179.49</v>
      </c>
      <c r="Z78" s="6">
        <f>SUM(Z9:Z77)</f>
        <v>179.49</v>
      </c>
    </row>
    <row r="80" spans="1:29" ht="15.75" thickBot="1" x14ac:dyDescent="0.3"/>
    <row r="81" spans="1:28" ht="15.75" thickBot="1" x14ac:dyDescent="0.3">
      <c r="D81" s="45" t="s">
        <v>4</v>
      </c>
      <c r="E81" s="56">
        <f>F5+F6-C78+F7</f>
        <v>5</v>
      </c>
      <c r="N81" s="45" t="s">
        <v>4</v>
      </c>
      <c r="O81" s="56">
        <f>P5+P6-M78+P7</f>
        <v>2</v>
      </c>
      <c r="X81" s="45" t="s">
        <v>4</v>
      </c>
      <c r="Y81" s="56">
        <f>Z5+Z6-W78+Z7</f>
        <v>21</v>
      </c>
    </row>
    <row r="82" spans="1:28" ht="15.75" thickBot="1" x14ac:dyDescent="0.3"/>
    <row r="83" spans="1:28" ht="15.75" thickBot="1" x14ac:dyDescent="0.3">
      <c r="C83" s="1200" t="s">
        <v>11</v>
      </c>
      <c r="D83" s="1201"/>
      <c r="E83" s="57">
        <f>E5+E6-F78+E7</f>
        <v>61.359999999999957</v>
      </c>
      <c r="F83" s="73"/>
      <c r="M83" s="1200" t="s">
        <v>11</v>
      </c>
      <c r="N83" s="1201"/>
      <c r="O83" s="57">
        <f>O5+O6-P78+O7</f>
        <v>23.180000000000007</v>
      </c>
      <c r="P83" s="73"/>
      <c r="W83" s="1200" t="s">
        <v>11</v>
      </c>
      <c r="X83" s="1201"/>
      <c r="Y83" s="57">
        <f>Y5+Y6-Z78+Y7</f>
        <v>236.89999999999998</v>
      </c>
      <c r="Z83" s="73"/>
    </row>
    <row r="86" spans="1:28" x14ac:dyDescent="0.25">
      <c r="A86" s="250"/>
      <c r="B86" s="1196"/>
      <c r="C86" s="742"/>
      <c r="D86" s="274"/>
      <c r="E86" s="259"/>
      <c r="F86" s="253"/>
      <c r="G86" s="260"/>
      <c r="H86" s="240"/>
      <c r="K86" s="250"/>
      <c r="L86" s="1196"/>
      <c r="M86" s="742"/>
      <c r="N86" s="274"/>
      <c r="O86" s="259"/>
      <c r="P86" s="253"/>
      <c r="Q86" s="260"/>
      <c r="R86" s="240"/>
      <c r="U86" s="250"/>
      <c r="V86" s="1196"/>
      <c r="W86" s="742"/>
      <c r="X86" s="274"/>
      <c r="Y86" s="259"/>
      <c r="Z86" s="253"/>
      <c r="AA86" s="260"/>
      <c r="AB86" s="240"/>
    </row>
    <row r="87" spans="1:28" x14ac:dyDescent="0.25">
      <c r="A87" s="250"/>
      <c r="B87" s="1196"/>
      <c r="C87" s="566"/>
      <c r="D87" s="248"/>
      <c r="E87" s="267"/>
      <c r="F87" s="253"/>
      <c r="G87" s="262"/>
      <c r="H87" s="240"/>
      <c r="K87" s="250"/>
      <c r="L87" s="1196"/>
      <c r="M87" s="566"/>
      <c r="N87" s="248"/>
      <c r="O87" s="267"/>
      <c r="P87" s="253"/>
      <c r="Q87" s="262"/>
      <c r="R87" s="240"/>
      <c r="U87" s="250"/>
      <c r="V87" s="1196"/>
      <c r="W87" s="566"/>
      <c r="X87" s="248"/>
      <c r="Y87" s="267"/>
      <c r="Z87" s="253"/>
      <c r="AA87" s="262"/>
      <c r="AB87" s="240"/>
    </row>
    <row r="88" spans="1:28" x14ac:dyDescent="0.25">
      <c r="A88" s="240"/>
      <c r="B88" s="272"/>
      <c r="C88" s="742"/>
      <c r="D88" s="248"/>
      <c r="E88" s="758"/>
      <c r="F88" s="294"/>
      <c r="G88" s="240"/>
      <c r="H88" s="240"/>
      <c r="K88" s="240"/>
      <c r="L88" s="272"/>
      <c r="M88" s="742"/>
      <c r="N88" s="248"/>
      <c r="O88" s="758"/>
      <c r="P88" s="294"/>
      <c r="Q88" s="240"/>
      <c r="R88" s="240"/>
      <c r="U88" s="240"/>
      <c r="V88" s="272"/>
      <c r="W88" s="742"/>
      <c r="X88" s="248"/>
      <c r="Y88" s="758"/>
      <c r="Z88" s="294"/>
      <c r="AA88" s="240"/>
      <c r="AB88" s="240"/>
    </row>
    <row r="89" spans="1:28" x14ac:dyDescent="0.25">
      <c r="A89" s="240"/>
      <c r="B89" s="240"/>
      <c r="C89" s="240"/>
      <c r="D89" s="240"/>
      <c r="E89" s="240"/>
      <c r="F89" s="240"/>
      <c r="G89" s="240"/>
      <c r="H89" s="240"/>
      <c r="K89" s="240"/>
      <c r="L89" s="240"/>
      <c r="M89" s="240"/>
      <c r="N89" s="240"/>
      <c r="O89" s="240"/>
      <c r="P89" s="240"/>
      <c r="Q89" s="240"/>
      <c r="R89" s="240"/>
      <c r="U89" s="240"/>
      <c r="V89" s="240"/>
      <c r="W89" s="240"/>
      <c r="X89" s="240"/>
      <c r="Y89" s="240"/>
      <c r="Z89" s="240"/>
      <c r="AA89" s="240"/>
      <c r="AB89" s="240"/>
    </row>
  </sheetData>
  <mergeCells count="12">
    <mergeCell ref="U1:AA1"/>
    <mergeCell ref="V5:V6"/>
    <mergeCell ref="W83:X83"/>
    <mergeCell ref="V86:V87"/>
    <mergeCell ref="A1:G1"/>
    <mergeCell ref="B5:B6"/>
    <mergeCell ref="C83:D83"/>
    <mergeCell ref="B86:B87"/>
    <mergeCell ref="K1:Q1"/>
    <mergeCell ref="L5:L6"/>
    <mergeCell ref="M83:N83"/>
    <mergeCell ref="L86:L87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B18" sqref="B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02"/>
      <c r="B1" s="1202"/>
      <c r="C1" s="1202"/>
      <c r="D1" s="1202"/>
      <c r="E1" s="1202"/>
      <c r="F1" s="1202"/>
      <c r="G1" s="120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73" t="s">
        <v>56</v>
      </c>
      <c r="C4" s="102"/>
      <c r="D4" s="135"/>
      <c r="E4" s="86"/>
      <c r="F4" s="73"/>
      <c r="G4" s="534"/>
    </row>
    <row r="5" spans="1:9" x14ac:dyDescent="0.25">
      <c r="A5" s="242"/>
      <c r="B5" s="1274"/>
      <c r="C5" s="102"/>
      <c r="D5" s="135"/>
      <c r="E5" s="86"/>
      <c r="F5" s="73"/>
      <c r="G5" s="48">
        <f>F32</f>
        <v>0</v>
      </c>
      <c r="H5" s="138">
        <f>E5-G5+E6</f>
        <v>0</v>
      </c>
    </row>
    <row r="6" spans="1:9" ht="15.75" thickBot="1" x14ac:dyDescent="0.3">
      <c r="A6" s="240"/>
      <c r="C6" s="102"/>
      <c r="D6" s="135"/>
      <c r="E6" s="75"/>
      <c r="F6" s="73"/>
      <c r="G6" s="73"/>
    </row>
    <row r="7" spans="1:9" ht="16.5" thickTop="1" thickBot="1" x14ac:dyDescent="0.3">
      <c r="A7" s="240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953"/>
      <c r="B8" s="94"/>
      <c r="C8" s="15"/>
      <c r="D8" s="14"/>
      <c r="E8" s="978"/>
      <c r="F8" s="279">
        <f t="shared" ref="F8:F28" si="0">D8</f>
        <v>0</v>
      </c>
      <c r="G8" s="319"/>
      <c r="H8" s="266"/>
      <c r="I8" s="262">
        <f>E4+E5+E6-D8</f>
        <v>0</v>
      </c>
    </row>
    <row r="9" spans="1:9" x14ac:dyDescent="0.25">
      <c r="A9" s="242"/>
      <c r="B9" s="2"/>
      <c r="C9" s="901"/>
      <c r="D9" s="988"/>
      <c r="E9" s="978"/>
      <c r="F9" s="279">
        <f t="shared" si="0"/>
        <v>0</v>
      </c>
      <c r="G9" s="903"/>
      <c r="H9" s="569"/>
      <c r="I9" s="262">
        <f>I8-D9</f>
        <v>0</v>
      </c>
    </row>
    <row r="10" spans="1:9" x14ac:dyDescent="0.25">
      <c r="A10" s="242"/>
      <c r="B10" s="2"/>
      <c r="C10" s="901"/>
      <c r="D10" s="989"/>
      <c r="E10" s="978"/>
      <c r="F10" s="279">
        <f t="shared" si="0"/>
        <v>0</v>
      </c>
      <c r="G10" s="903"/>
      <c r="H10" s="322"/>
      <c r="I10" s="262">
        <f t="shared" ref="I10:I28" si="1">I9-D10</f>
        <v>0</v>
      </c>
    </row>
    <row r="11" spans="1:9" x14ac:dyDescent="0.25">
      <c r="A11" s="953"/>
      <c r="B11" s="2"/>
      <c r="C11" s="901"/>
      <c r="D11" s="989"/>
      <c r="E11" s="978"/>
      <c r="F11" s="279">
        <f t="shared" si="0"/>
        <v>0</v>
      </c>
      <c r="G11" s="903"/>
      <c r="H11" s="322"/>
      <c r="I11" s="262">
        <f t="shared" si="1"/>
        <v>0</v>
      </c>
    </row>
    <row r="12" spans="1:9" x14ac:dyDescent="0.25">
      <c r="A12" s="242"/>
      <c r="B12" s="2"/>
      <c r="C12" s="901"/>
      <c r="D12" s="989"/>
      <c r="E12" s="978"/>
      <c r="F12" s="279">
        <f t="shared" si="0"/>
        <v>0</v>
      </c>
      <c r="G12" s="903"/>
      <c r="H12" s="322"/>
      <c r="I12" s="262">
        <f t="shared" si="1"/>
        <v>0</v>
      </c>
    </row>
    <row r="13" spans="1:9" x14ac:dyDescent="0.25">
      <c r="A13" s="242"/>
      <c r="B13" s="2"/>
      <c r="C13" s="901"/>
      <c r="D13" s="989"/>
      <c r="E13" s="978"/>
      <c r="F13" s="279">
        <f t="shared" si="0"/>
        <v>0</v>
      </c>
      <c r="G13" s="903"/>
      <c r="H13" s="322"/>
      <c r="I13" s="262">
        <f t="shared" si="1"/>
        <v>0</v>
      </c>
    </row>
    <row r="14" spans="1:9" x14ac:dyDescent="0.25">
      <c r="A14" s="240"/>
      <c r="B14" s="2"/>
      <c r="C14" s="901"/>
      <c r="D14" s="989"/>
      <c r="E14" s="978"/>
      <c r="F14" s="279">
        <f t="shared" si="0"/>
        <v>0</v>
      </c>
      <c r="G14" s="903"/>
      <c r="H14" s="322"/>
      <c r="I14" s="262">
        <f t="shared" si="1"/>
        <v>0</v>
      </c>
    </row>
    <row r="15" spans="1:9" x14ac:dyDescent="0.25">
      <c r="A15" s="240"/>
      <c r="B15" s="2"/>
      <c r="C15" s="901"/>
      <c r="D15" s="989"/>
      <c r="E15" s="978"/>
      <c r="F15" s="279">
        <f t="shared" si="0"/>
        <v>0</v>
      </c>
      <c r="G15" s="903"/>
      <c r="H15" s="322"/>
      <c r="I15" s="262">
        <f t="shared" si="1"/>
        <v>0</v>
      </c>
    </row>
    <row r="16" spans="1:9" x14ac:dyDescent="0.25">
      <c r="A16" s="240"/>
      <c r="B16" s="2"/>
      <c r="C16" s="901"/>
      <c r="D16" s="990"/>
      <c r="E16" s="978"/>
      <c r="F16" s="279">
        <f t="shared" si="0"/>
        <v>0</v>
      </c>
      <c r="G16" s="904"/>
      <c r="H16" s="569"/>
      <c r="I16" s="262">
        <f t="shared" si="1"/>
        <v>0</v>
      </c>
    </row>
    <row r="17" spans="1:9" x14ac:dyDescent="0.25">
      <c r="A17" s="240"/>
      <c r="B17" s="2"/>
      <c r="C17" s="53"/>
      <c r="D17" s="990"/>
      <c r="E17" s="978"/>
      <c r="F17" s="279">
        <f t="shared" si="0"/>
        <v>0</v>
      </c>
      <c r="G17" s="904"/>
      <c r="H17" s="569"/>
      <c r="I17" s="262">
        <f t="shared" si="1"/>
        <v>0</v>
      </c>
    </row>
    <row r="18" spans="1:9" x14ac:dyDescent="0.25">
      <c r="A18" s="240"/>
      <c r="B18" s="2"/>
      <c r="C18" s="901"/>
      <c r="D18" s="990"/>
      <c r="E18" s="978"/>
      <c r="F18" s="279">
        <f t="shared" si="0"/>
        <v>0</v>
      </c>
      <c r="G18" s="904"/>
      <c r="H18" s="569"/>
      <c r="I18" s="262">
        <f t="shared" si="1"/>
        <v>0</v>
      </c>
    </row>
    <row r="19" spans="1:9" x14ac:dyDescent="0.25">
      <c r="B19" s="2"/>
      <c r="C19" s="901"/>
      <c r="D19" s="990"/>
      <c r="E19" s="978"/>
      <c r="F19" s="279">
        <f t="shared" si="0"/>
        <v>0</v>
      </c>
      <c r="G19" s="904"/>
      <c r="H19" s="569"/>
      <c r="I19" s="262">
        <f t="shared" si="1"/>
        <v>0</v>
      </c>
    </row>
    <row r="20" spans="1:9" x14ac:dyDescent="0.25">
      <c r="B20" s="2"/>
      <c r="C20" s="901"/>
      <c r="D20" s="990"/>
      <c r="E20" s="978"/>
      <c r="F20" s="279">
        <f t="shared" si="0"/>
        <v>0</v>
      </c>
      <c r="G20" s="904"/>
      <c r="H20" s="569"/>
      <c r="I20" s="262">
        <f t="shared" si="1"/>
        <v>0</v>
      </c>
    </row>
    <row r="21" spans="1:9" x14ac:dyDescent="0.25">
      <c r="B21" s="2"/>
      <c r="C21" s="901"/>
      <c r="D21" s="990"/>
      <c r="E21" s="978"/>
      <c r="F21" s="279">
        <f t="shared" si="0"/>
        <v>0</v>
      </c>
      <c r="G21" s="904"/>
      <c r="I21" s="262">
        <f t="shared" si="1"/>
        <v>0</v>
      </c>
    </row>
    <row r="22" spans="1:9" x14ac:dyDescent="0.25">
      <c r="B22" s="2"/>
      <c r="C22" s="901"/>
      <c r="D22" s="990"/>
      <c r="E22" s="978"/>
      <c r="F22" s="279">
        <f t="shared" si="0"/>
        <v>0</v>
      </c>
      <c r="G22" s="904"/>
      <c r="I22" s="262">
        <f t="shared" si="1"/>
        <v>0</v>
      </c>
    </row>
    <row r="23" spans="1:9" x14ac:dyDescent="0.25">
      <c r="B23" s="2"/>
      <c r="C23" s="901"/>
      <c r="D23" s="990"/>
      <c r="E23" s="978"/>
      <c r="F23" s="279">
        <f t="shared" si="0"/>
        <v>0</v>
      </c>
      <c r="G23" s="904"/>
      <c r="I23" s="262">
        <f t="shared" si="1"/>
        <v>0</v>
      </c>
    </row>
    <row r="24" spans="1:9" x14ac:dyDescent="0.25">
      <c r="B24" s="2"/>
      <c r="C24" s="901"/>
      <c r="D24" s="990"/>
      <c r="E24" s="978"/>
      <c r="F24" s="279">
        <f t="shared" si="0"/>
        <v>0</v>
      </c>
      <c r="G24" s="904"/>
      <c r="I24" s="262">
        <f t="shared" si="1"/>
        <v>0</v>
      </c>
    </row>
    <row r="25" spans="1:9" x14ac:dyDescent="0.25">
      <c r="B25" s="2"/>
      <c r="C25" s="901"/>
      <c r="D25" s="990"/>
      <c r="E25" s="978"/>
      <c r="F25" s="279">
        <f t="shared" si="0"/>
        <v>0</v>
      </c>
      <c r="G25" s="904"/>
      <c r="I25" s="262">
        <f t="shared" si="1"/>
        <v>0</v>
      </c>
    </row>
    <row r="26" spans="1:9" x14ac:dyDescent="0.25">
      <c r="B26" s="109"/>
      <c r="C26" s="901"/>
      <c r="D26" s="990"/>
      <c r="E26" s="978"/>
      <c r="F26" s="279">
        <f t="shared" si="0"/>
        <v>0</v>
      </c>
      <c r="G26" s="905"/>
      <c r="I26" s="262">
        <f t="shared" si="1"/>
        <v>0</v>
      </c>
    </row>
    <row r="27" spans="1:9" x14ac:dyDescent="0.25">
      <c r="B27" s="106"/>
      <c r="C27" s="15"/>
      <c r="D27" s="14"/>
      <c r="E27" s="13"/>
      <c r="F27" s="279">
        <f t="shared" si="0"/>
        <v>0</v>
      </c>
      <c r="G27" s="95"/>
      <c r="H27" s="17"/>
      <c r="I27" s="262">
        <f t="shared" si="1"/>
        <v>0</v>
      </c>
    </row>
    <row r="28" spans="1:9" x14ac:dyDescent="0.25">
      <c r="B28" s="2"/>
      <c r="C28" s="15"/>
      <c r="D28" s="14"/>
      <c r="E28" s="13"/>
      <c r="F28" s="279">
        <f t="shared" si="0"/>
        <v>0</v>
      </c>
      <c r="G28" s="95"/>
      <c r="H28" s="17"/>
      <c r="I28" s="262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530" t="s">
        <v>21</v>
      </c>
      <c r="E33" s="531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532" t="s">
        <v>4</v>
      </c>
      <c r="E34" s="533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02"/>
      <c r="B1" s="1202"/>
      <c r="C1" s="1202"/>
      <c r="D1" s="1202"/>
      <c r="E1" s="1202"/>
      <c r="F1" s="1202"/>
      <c r="G1" s="120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73" t="s">
        <v>92</v>
      </c>
      <c r="C4" s="102"/>
      <c r="D4" s="135"/>
      <c r="E4" s="86"/>
      <c r="F4" s="73"/>
      <c r="G4" s="825"/>
    </row>
    <row r="5" spans="1:9" x14ac:dyDescent="0.25">
      <c r="A5" s="75"/>
      <c r="B5" s="1274"/>
      <c r="C5" s="102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79"/>
      <c r="F8" s="279">
        <f t="shared" ref="F8:F28" si="0">D8</f>
        <v>0</v>
      </c>
      <c r="G8" s="319"/>
      <c r="H8" s="266"/>
      <c r="I8" s="132">
        <f>E4+E5+E6-D8</f>
        <v>0</v>
      </c>
    </row>
    <row r="9" spans="1:9" x14ac:dyDescent="0.25">
      <c r="A9" s="75"/>
      <c r="B9" s="2"/>
      <c r="C9" s="15"/>
      <c r="D9" s="279"/>
      <c r="E9" s="300"/>
      <c r="F9" s="279">
        <f t="shared" si="0"/>
        <v>0</v>
      </c>
      <c r="G9" s="319"/>
      <c r="H9" s="266"/>
      <c r="I9" s="270">
        <f>I8-D9</f>
        <v>0</v>
      </c>
    </row>
    <row r="10" spans="1:9" x14ac:dyDescent="0.25">
      <c r="A10" s="75"/>
      <c r="B10" s="2"/>
      <c r="C10" s="15"/>
      <c r="D10" s="279"/>
      <c r="E10" s="300"/>
      <c r="F10" s="279">
        <f t="shared" si="0"/>
        <v>0</v>
      </c>
      <c r="G10" s="243"/>
      <c r="H10" s="813"/>
      <c r="I10" s="270">
        <f t="shared" ref="I10:I28" si="1">I9-D10</f>
        <v>0</v>
      </c>
    </row>
    <row r="11" spans="1:9" x14ac:dyDescent="0.25">
      <c r="A11" s="55"/>
      <c r="B11" s="2"/>
      <c r="C11" s="15"/>
      <c r="D11" s="279"/>
      <c r="E11" s="300"/>
      <c r="F11" s="279">
        <f t="shared" si="0"/>
        <v>0</v>
      </c>
      <c r="G11" s="243"/>
      <c r="H11" s="266"/>
      <c r="I11" s="270">
        <f t="shared" si="1"/>
        <v>0</v>
      </c>
    </row>
    <row r="12" spans="1:9" x14ac:dyDescent="0.25">
      <c r="A12" s="75"/>
      <c r="B12" s="2"/>
      <c r="C12" s="15"/>
      <c r="D12" s="279"/>
      <c r="E12" s="300"/>
      <c r="F12" s="279">
        <f t="shared" si="0"/>
        <v>0</v>
      </c>
      <c r="G12" s="243"/>
      <c r="H12" s="266"/>
      <c r="I12" s="270">
        <f t="shared" si="1"/>
        <v>0</v>
      </c>
    </row>
    <row r="13" spans="1:9" x14ac:dyDescent="0.25">
      <c r="A13" s="75"/>
      <c r="B13" s="2"/>
      <c r="C13" s="15"/>
      <c r="D13" s="279"/>
      <c r="E13" s="300"/>
      <c r="F13" s="279">
        <f t="shared" si="0"/>
        <v>0</v>
      </c>
      <c r="G13" s="243"/>
      <c r="H13" s="266"/>
      <c r="I13" s="270">
        <f t="shared" si="1"/>
        <v>0</v>
      </c>
    </row>
    <row r="14" spans="1:9" x14ac:dyDescent="0.25">
      <c r="B14" s="2"/>
      <c r="C14" s="15"/>
      <c r="D14" s="279"/>
      <c r="E14" s="300"/>
      <c r="F14" s="279">
        <f t="shared" si="0"/>
        <v>0</v>
      </c>
      <c r="G14" s="243"/>
      <c r="H14" s="266"/>
      <c r="I14" s="270">
        <f t="shared" si="1"/>
        <v>0</v>
      </c>
    </row>
    <row r="15" spans="1:9" x14ac:dyDescent="0.25">
      <c r="B15" s="2"/>
      <c r="C15" s="15"/>
      <c r="D15" s="279"/>
      <c r="E15" s="300"/>
      <c r="F15" s="279">
        <f t="shared" si="0"/>
        <v>0</v>
      </c>
      <c r="G15" s="243"/>
      <c r="H15" s="266"/>
      <c r="I15" s="270">
        <f t="shared" si="1"/>
        <v>0</v>
      </c>
    </row>
    <row r="16" spans="1:9" x14ac:dyDescent="0.25">
      <c r="B16" s="2"/>
      <c r="C16" s="15"/>
      <c r="D16" s="279"/>
      <c r="E16" s="300"/>
      <c r="F16" s="279">
        <f t="shared" si="0"/>
        <v>0</v>
      </c>
      <c r="G16" s="243"/>
      <c r="H16" s="266"/>
      <c r="I16" s="270">
        <f t="shared" si="1"/>
        <v>0</v>
      </c>
    </row>
    <row r="17" spans="1:9" x14ac:dyDescent="0.25">
      <c r="B17" s="2"/>
      <c r="C17" s="15"/>
      <c r="D17" s="69"/>
      <c r="E17" s="79"/>
      <c r="F17" s="279">
        <f t="shared" si="0"/>
        <v>0</v>
      </c>
      <c r="G17" s="73"/>
      <c r="H17" s="71"/>
      <c r="I17" s="132">
        <f t="shared" si="1"/>
        <v>0</v>
      </c>
    </row>
    <row r="18" spans="1:9" x14ac:dyDescent="0.25">
      <c r="B18" s="2"/>
      <c r="C18" s="15"/>
      <c r="D18" s="92"/>
      <c r="E18" s="79"/>
      <c r="F18" s="279">
        <f t="shared" si="0"/>
        <v>0</v>
      </c>
      <c r="G18" s="73"/>
      <c r="H18" s="71"/>
      <c r="I18" s="132">
        <f t="shared" si="1"/>
        <v>0</v>
      </c>
    </row>
    <row r="19" spans="1:9" x14ac:dyDescent="0.25">
      <c r="B19" s="2"/>
      <c r="C19" s="15"/>
      <c r="D19" s="92"/>
      <c r="E19" s="79"/>
      <c r="F19" s="279">
        <f t="shared" si="0"/>
        <v>0</v>
      </c>
      <c r="G19" s="73"/>
      <c r="H19" s="71"/>
      <c r="I19" s="132">
        <f t="shared" si="1"/>
        <v>0</v>
      </c>
    </row>
    <row r="20" spans="1:9" x14ac:dyDescent="0.25">
      <c r="B20" s="2"/>
      <c r="C20" s="15"/>
      <c r="D20" s="92"/>
      <c r="E20" s="79"/>
      <c r="F20" s="279">
        <f t="shared" si="0"/>
        <v>0</v>
      </c>
      <c r="G20" s="73"/>
      <c r="H20" s="71"/>
      <c r="I20" s="132">
        <f t="shared" si="1"/>
        <v>0</v>
      </c>
    </row>
    <row r="21" spans="1:9" x14ac:dyDescent="0.25">
      <c r="B21" s="2"/>
      <c r="C21" s="15"/>
      <c r="D21" s="92"/>
      <c r="E21" s="79"/>
      <c r="F21" s="279">
        <f t="shared" si="0"/>
        <v>0</v>
      </c>
      <c r="G21" s="73"/>
      <c r="H21" s="71"/>
      <c r="I21" s="132">
        <f t="shared" si="1"/>
        <v>0</v>
      </c>
    </row>
    <row r="22" spans="1:9" x14ac:dyDescent="0.25">
      <c r="B22" s="2"/>
      <c r="C22" s="15"/>
      <c r="D22" s="92"/>
      <c r="E22" s="79"/>
      <c r="F22" s="279">
        <f t="shared" si="0"/>
        <v>0</v>
      </c>
      <c r="G22" s="73"/>
      <c r="H22" s="71"/>
      <c r="I22" s="132">
        <f t="shared" si="1"/>
        <v>0</v>
      </c>
    </row>
    <row r="23" spans="1:9" x14ac:dyDescent="0.25">
      <c r="B23" s="2"/>
      <c r="C23" s="15"/>
      <c r="D23" s="92"/>
      <c r="E23" s="79"/>
      <c r="F23" s="279">
        <f t="shared" si="0"/>
        <v>0</v>
      </c>
      <c r="G23" s="73"/>
      <c r="H23" s="71"/>
      <c r="I23" s="132">
        <f t="shared" si="1"/>
        <v>0</v>
      </c>
    </row>
    <row r="24" spans="1:9" x14ac:dyDescent="0.25">
      <c r="B24" s="2"/>
      <c r="C24" s="15"/>
      <c r="D24" s="92"/>
      <c r="E24" s="79"/>
      <c r="F24" s="279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92"/>
      <c r="E25" s="79"/>
      <c r="F25" s="279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92"/>
      <c r="E26" s="79"/>
      <c r="F26" s="279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92"/>
      <c r="E27" s="79"/>
      <c r="F27" s="842">
        <f t="shared" si="0"/>
        <v>0</v>
      </c>
      <c r="G27" s="844"/>
      <c r="H27" s="845"/>
      <c r="I27" s="47">
        <f t="shared" si="1"/>
        <v>0</v>
      </c>
    </row>
    <row r="28" spans="1:9" x14ac:dyDescent="0.25">
      <c r="B28" s="2"/>
      <c r="C28" s="15"/>
      <c r="D28" s="92"/>
      <c r="E28" s="79"/>
      <c r="F28" s="279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21" t="s">
        <v>21</v>
      </c>
      <c r="E33" s="822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23" t="s">
        <v>4</v>
      </c>
      <c r="E34" s="82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202"/>
      <c r="B1" s="1202"/>
      <c r="C1" s="1202"/>
      <c r="D1" s="1202"/>
      <c r="E1" s="1202"/>
      <c r="F1" s="1202"/>
      <c r="G1" s="120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275" t="s">
        <v>95</v>
      </c>
      <c r="C4" s="102"/>
      <c r="D4" s="135"/>
      <c r="E4" s="86"/>
      <c r="F4" s="73"/>
      <c r="G4" s="886"/>
    </row>
    <row r="5" spans="1:10" x14ac:dyDescent="0.25">
      <c r="A5" s="75"/>
      <c r="B5" s="1276"/>
      <c r="C5" s="102"/>
      <c r="D5" s="135"/>
      <c r="E5" s="86"/>
      <c r="F5" s="73"/>
      <c r="G5" s="900">
        <f>F32</f>
        <v>0</v>
      </c>
      <c r="H5" s="138">
        <f>E5-G5</f>
        <v>0</v>
      </c>
    </row>
    <row r="6" spans="1:10" ht="15.75" thickBot="1" x14ac:dyDescent="0.3">
      <c r="B6" s="887" t="s">
        <v>96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4"/>
      <c r="F8" s="279">
        <f t="shared" ref="F8:F28" si="0">D8</f>
        <v>0</v>
      </c>
      <c r="G8" s="319"/>
      <c r="H8" s="266"/>
      <c r="I8" s="262">
        <f>I7-D8+E5</f>
        <v>0</v>
      </c>
    </row>
    <row r="9" spans="1:10" x14ac:dyDescent="0.25">
      <c r="A9" s="75"/>
      <c r="B9" s="2"/>
      <c r="C9" s="901"/>
      <c r="D9" s="105"/>
      <c r="E9" s="902"/>
      <c r="F9" s="279">
        <f t="shared" si="0"/>
        <v>0</v>
      </c>
      <c r="G9" s="903"/>
      <c r="H9" s="71"/>
      <c r="I9" s="262">
        <f>I8-D9</f>
        <v>0</v>
      </c>
    </row>
    <row r="10" spans="1:10" x14ac:dyDescent="0.25">
      <c r="A10" s="75"/>
      <c r="B10" s="2"/>
      <c r="C10" s="901"/>
      <c r="D10" s="275"/>
      <c r="E10" s="902"/>
      <c r="F10" s="279">
        <f t="shared" si="0"/>
        <v>0</v>
      </c>
      <c r="G10" s="903"/>
      <c r="H10" s="71"/>
      <c r="I10" s="262">
        <f t="shared" ref="I10:I28" si="1">I9-D10</f>
        <v>0</v>
      </c>
    </row>
    <row r="11" spans="1:10" x14ac:dyDescent="0.25">
      <c r="A11" s="55"/>
      <c r="B11" s="2"/>
      <c r="C11" s="901"/>
      <c r="D11" s="275"/>
      <c r="E11" s="902"/>
      <c r="F11" s="279">
        <f t="shared" si="0"/>
        <v>0</v>
      </c>
      <c r="G11" s="903"/>
      <c r="H11" s="71"/>
      <c r="I11" s="262">
        <f t="shared" si="1"/>
        <v>0</v>
      </c>
    </row>
    <row r="12" spans="1:10" x14ac:dyDescent="0.25">
      <c r="A12" s="75"/>
      <c r="B12" s="2"/>
      <c r="C12" s="901"/>
      <c r="D12" s="275"/>
      <c r="E12" s="902"/>
      <c r="F12" s="279">
        <f t="shared" si="0"/>
        <v>0</v>
      </c>
      <c r="G12" s="903"/>
      <c r="H12" s="266"/>
      <c r="I12" s="262">
        <f t="shared" si="1"/>
        <v>0</v>
      </c>
      <c r="J12" s="240"/>
    </row>
    <row r="13" spans="1:10" x14ac:dyDescent="0.25">
      <c r="A13" s="75"/>
      <c r="B13" s="2"/>
      <c r="C13" s="901"/>
      <c r="D13" s="275"/>
      <c r="E13" s="902"/>
      <c r="F13" s="279">
        <f t="shared" si="0"/>
        <v>0</v>
      </c>
      <c r="G13" s="903"/>
      <c r="H13" s="266"/>
      <c r="I13" s="262">
        <f t="shared" si="1"/>
        <v>0</v>
      </c>
      <c r="J13" s="240"/>
    </row>
    <row r="14" spans="1:10" x14ac:dyDescent="0.25">
      <c r="B14" s="2"/>
      <c r="C14" s="901"/>
      <c r="D14" s="275"/>
      <c r="E14" s="902"/>
      <c r="F14" s="279">
        <f t="shared" si="0"/>
        <v>0</v>
      </c>
      <c r="G14" s="903"/>
      <c r="H14" s="266"/>
      <c r="I14" s="262">
        <f t="shared" si="1"/>
        <v>0</v>
      </c>
      <c r="J14" s="240"/>
    </row>
    <row r="15" spans="1:10" x14ac:dyDescent="0.25">
      <c r="B15" s="2"/>
      <c r="C15" s="901"/>
      <c r="D15" s="275"/>
      <c r="E15" s="902"/>
      <c r="F15" s="279">
        <f t="shared" si="0"/>
        <v>0</v>
      </c>
      <c r="G15" s="903"/>
      <c r="H15" s="266"/>
      <c r="I15" s="262">
        <f t="shared" si="1"/>
        <v>0</v>
      </c>
      <c r="J15" s="240"/>
    </row>
    <row r="16" spans="1:10" x14ac:dyDescent="0.25">
      <c r="B16" s="2"/>
      <c r="C16" s="901"/>
      <c r="D16" s="105"/>
      <c r="E16" s="902"/>
      <c r="F16" s="279">
        <f t="shared" si="0"/>
        <v>0</v>
      </c>
      <c r="G16" s="903"/>
      <c r="H16" s="266"/>
      <c r="I16" s="262">
        <f t="shared" si="1"/>
        <v>0</v>
      </c>
      <c r="J16" s="240"/>
    </row>
    <row r="17" spans="1:10" x14ac:dyDescent="0.25">
      <c r="B17" s="2"/>
      <c r="C17" s="53"/>
      <c r="D17" s="105"/>
      <c r="E17" s="902"/>
      <c r="F17" s="279">
        <f t="shared" si="0"/>
        <v>0</v>
      </c>
      <c r="G17" s="903"/>
      <c r="H17" s="266"/>
      <c r="I17" s="262">
        <f t="shared" si="1"/>
        <v>0</v>
      </c>
      <c r="J17" s="240"/>
    </row>
    <row r="18" spans="1:10" x14ac:dyDescent="0.25">
      <c r="B18" s="2"/>
      <c r="C18" s="901"/>
      <c r="D18" s="105"/>
      <c r="E18" s="902"/>
      <c r="F18" s="279">
        <f t="shared" si="0"/>
        <v>0</v>
      </c>
      <c r="G18" s="903"/>
      <c r="H18" s="266"/>
      <c r="I18" s="262">
        <f t="shared" si="1"/>
        <v>0</v>
      </c>
      <c r="J18" s="240"/>
    </row>
    <row r="19" spans="1:10" x14ac:dyDescent="0.25">
      <c r="B19" s="2"/>
      <c r="C19" s="901"/>
      <c r="D19" s="105"/>
      <c r="E19" s="902"/>
      <c r="F19" s="279">
        <f t="shared" si="0"/>
        <v>0</v>
      </c>
      <c r="G19" s="903"/>
      <c r="H19" s="266"/>
      <c r="I19" s="262">
        <f t="shared" si="1"/>
        <v>0</v>
      </c>
      <c r="J19" s="240"/>
    </row>
    <row r="20" spans="1:10" x14ac:dyDescent="0.25">
      <c r="B20" s="2"/>
      <c r="C20" s="901"/>
      <c r="D20" s="105"/>
      <c r="E20" s="902"/>
      <c r="F20" s="279">
        <f t="shared" si="0"/>
        <v>0</v>
      </c>
      <c r="G20" s="904"/>
      <c r="H20" s="71"/>
      <c r="I20" s="262">
        <f t="shared" si="1"/>
        <v>0</v>
      </c>
    </row>
    <row r="21" spans="1:10" x14ac:dyDescent="0.25">
      <c r="B21" s="2"/>
      <c r="C21" s="901"/>
      <c r="D21" s="105"/>
      <c r="E21" s="902"/>
      <c r="F21" s="279">
        <f t="shared" si="0"/>
        <v>0</v>
      </c>
      <c r="G21" s="904"/>
      <c r="H21" s="71"/>
      <c r="I21" s="262">
        <f t="shared" si="1"/>
        <v>0</v>
      </c>
    </row>
    <row r="22" spans="1:10" x14ac:dyDescent="0.25">
      <c r="B22" s="2"/>
      <c r="C22" s="901"/>
      <c r="D22" s="105"/>
      <c r="E22" s="902"/>
      <c r="F22" s="279">
        <f t="shared" si="0"/>
        <v>0</v>
      </c>
      <c r="G22" s="904"/>
      <c r="H22" s="71"/>
      <c r="I22" s="262">
        <f t="shared" si="1"/>
        <v>0</v>
      </c>
    </row>
    <row r="23" spans="1:10" x14ac:dyDescent="0.25">
      <c r="B23" s="2"/>
      <c r="C23" s="901"/>
      <c r="D23" s="105"/>
      <c r="E23" s="902"/>
      <c r="F23" s="279">
        <f t="shared" si="0"/>
        <v>0</v>
      </c>
      <c r="G23" s="904"/>
      <c r="H23" s="71"/>
      <c r="I23" s="262">
        <f t="shared" si="1"/>
        <v>0</v>
      </c>
    </row>
    <row r="24" spans="1:10" x14ac:dyDescent="0.25">
      <c r="B24" s="2"/>
      <c r="C24" s="901"/>
      <c r="D24" s="105"/>
      <c r="E24" s="902"/>
      <c r="F24" s="279">
        <f t="shared" si="0"/>
        <v>0</v>
      </c>
      <c r="G24" s="904"/>
      <c r="H24" s="71"/>
      <c r="I24" s="262">
        <f t="shared" si="1"/>
        <v>0</v>
      </c>
    </row>
    <row r="25" spans="1:10" x14ac:dyDescent="0.25">
      <c r="B25" s="2"/>
      <c r="C25" s="901"/>
      <c r="D25" s="105"/>
      <c r="E25" s="902"/>
      <c r="F25" s="279">
        <f t="shared" si="0"/>
        <v>0</v>
      </c>
      <c r="G25" s="904"/>
      <c r="H25" s="71"/>
      <c r="I25" s="262">
        <f t="shared" si="1"/>
        <v>0</v>
      </c>
    </row>
    <row r="26" spans="1:10" x14ac:dyDescent="0.25">
      <c r="B26" s="109"/>
      <c r="C26" s="901"/>
      <c r="D26" s="105"/>
      <c r="E26" s="902"/>
      <c r="F26" s="279">
        <f t="shared" si="0"/>
        <v>0</v>
      </c>
      <c r="G26" s="905"/>
      <c r="H26" s="71"/>
      <c r="I26" s="262">
        <f t="shared" si="1"/>
        <v>0</v>
      </c>
    </row>
    <row r="27" spans="1:10" x14ac:dyDescent="0.25">
      <c r="B27" s="106"/>
      <c r="C27" s="15"/>
      <c r="D27" s="14"/>
      <c r="E27" s="118"/>
      <c r="F27" s="279">
        <f t="shared" si="0"/>
        <v>0</v>
      </c>
      <c r="G27" s="95"/>
      <c r="H27" s="71"/>
      <c r="I27" s="262">
        <f t="shared" si="1"/>
        <v>0</v>
      </c>
    </row>
    <row r="28" spans="1:10" x14ac:dyDescent="0.25">
      <c r="B28" s="2"/>
      <c r="C28" s="15"/>
      <c r="D28" s="14"/>
      <c r="E28" s="118"/>
      <c r="F28" s="279">
        <f t="shared" si="0"/>
        <v>0</v>
      </c>
      <c r="G28" s="95"/>
      <c r="H28" s="17"/>
      <c r="I28" s="262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82" t="s">
        <v>21</v>
      </c>
      <c r="E33" s="883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84" t="s">
        <v>4</v>
      </c>
      <c r="E34" s="88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E25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J1" workbookViewId="0">
      <selection activeCell="P5" sqref="P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98" t="s">
        <v>250</v>
      </c>
      <c r="B1" s="1198"/>
      <c r="C1" s="1198"/>
      <c r="D1" s="1198"/>
      <c r="E1" s="1198"/>
      <c r="F1" s="1198"/>
      <c r="G1" s="1198"/>
      <c r="H1" s="11">
        <v>1</v>
      </c>
      <c r="K1" s="1202" t="s">
        <v>240</v>
      </c>
      <c r="L1" s="1202"/>
      <c r="M1" s="1202"/>
      <c r="N1" s="1202"/>
      <c r="O1" s="1202"/>
      <c r="P1" s="1202"/>
      <c r="Q1" s="1202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761"/>
      <c r="D4" s="248"/>
      <c r="E4" s="259"/>
      <c r="F4" s="253"/>
      <c r="G4" s="160"/>
      <c r="H4" s="160"/>
      <c r="K4" s="12"/>
      <c r="L4" s="12"/>
      <c r="M4" s="761">
        <v>95</v>
      </c>
      <c r="N4" s="248">
        <v>44709</v>
      </c>
      <c r="O4" s="259">
        <v>403.75</v>
      </c>
      <c r="P4" s="253">
        <v>34</v>
      </c>
      <c r="Q4" s="160"/>
      <c r="R4" s="160"/>
    </row>
    <row r="5" spans="1:19" x14ac:dyDescent="0.25">
      <c r="A5" s="250" t="s">
        <v>64</v>
      </c>
      <c r="B5" s="1204" t="s">
        <v>153</v>
      </c>
      <c r="C5" s="742">
        <v>92</v>
      </c>
      <c r="D5" s="274">
        <v>44662</v>
      </c>
      <c r="E5" s="259">
        <v>400.42</v>
      </c>
      <c r="F5" s="253">
        <v>34</v>
      </c>
      <c r="G5" s="260"/>
      <c r="K5" s="250" t="s">
        <v>64</v>
      </c>
      <c r="L5" s="1204" t="s">
        <v>153</v>
      </c>
      <c r="M5" s="742">
        <v>92</v>
      </c>
      <c r="N5" s="274">
        <v>44688</v>
      </c>
      <c r="O5" s="259">
        <v>1001.69</v>
      </c>
      <c r="P5" s="253">
        <v>86</v>
      </c>
      <c r="Q5" s="260"/>
    </row>
    <row r="6" spans="1:19" x14ac:dyDescent="0.25">
      <c r="A6" s="250"/>
      <c r="B6" s="1204"/>
      <c r="C6" s="566">
        <v>92</v>
      </c>
      <c r="D6" s="248">
        <v>44673</v>
      </c>
      <c r="E6" s="267">
        <v>1006.95</v>
      </c>
      <c r="F6" s="253">
        <v>85</v>
      </c>
      <c r="G6" s="262">
        <f>F78</f>
        <v>1407.37</v>
      </c>
      <c r="H6" s="7">
        <f>E6-G6+E7+E5-G5+E4</f>
        <v>1.7053025658242404E-13</v>
      </c>
      <c r="K6" s="250"/>
      <c r="L6" s="1204"/>
      <c r="M6" s="566"/>
      <c r="N6" s="248"/>
      <c r="O6" s="267">
        <v>111.28</v>
      </c>
      <c r="P6" s="253">
        <v>10</v>
      </c>
      <c r="Q6" s="262">
        <f>P78</f>
        <v>838</v>
      </c>
      <c r="R6" s="7">
        <f>O6-Q6+O7+O5-Q5+O4</f>
        <v>1283.33</v>
      </c>
    </row>
    <row r="7" spans="1:19" ht="15.75" thickBot="1" x14ac:dyDescent="0.3">
      <c r="A7" s="240"/>
      <c r="B7" s="272"/>
      <c r="C7" s="742"/>
      <c r="D7" s="248"/>
      <c r="E7" s="758"/>
      <c r="F7" s="294"/>
      <c r="G7" s="240"/>
      <c r="K7" s="240"/>
      <c r="L7" s="272"/>
      <c r="M7" s="742">
        <v>92</v>
      </c>
      <c r="N7" s="248">
        <v>44702</v>
      </c>
      <c r="O7" s="758">
        <v>604.61</v>
      </c>
      <c r="P7" s="243">
        <v>53</v>
      </c>
      <c r="Q7" s="240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104</v>
      </c>
      <c r="C9" s="263">
        <v>15</v>
      </c>
      <c r="D9" s="264">
        <v>178.91</v>
      </c>
      <c r="E9" s="293">
        <v>44664</v>
      </c>
      <c r="F9" s="264">
        <f t="shared" ref="F9:F72" si="0">D9</f>
        <v>178.91</v>
      </c>
      <c r="G9" s="265" t="s">
        <v>152</v>
      </c>
      <c r="H9" s="266">
        <v>95</v>
      </c>
      <c r="I9" s="275">
        <f>E6-F9+E5+E7+E4</f>
        <v>1228.46</v>
      </c>
      <c r="K9" s="80" t="s">
        <v>32</v>
      </c>
      <c r="L9" s="195">
        <f>P6-M9+P5+P7+P4</f>
        <v>168</v>
      </c>
      <c r="M9" s="263">
        <v>15</v>
      </c>
      <c r="N9" s="264">
        <v>168.57</v>
      </c>
      <c r="O9" s="293">
        <v>44688</v>
      </c>
      <c r="P9" s="264">
        <f t="shared" ref="P9:P72" si="1">N9</f>
        <v>168.57</v>
      </c>
      <c r="Q9" s="265" t="s">
        <v>419</v>
      </c>
      <c r="R9" s="266">
        <v>95</v>
      </c>
      <c r="S9" s="275">
        <f>O6-P9+O5+O7+O4</f>
        <v>1952.7600000000002</v>
      </c>
    </row>
    <row r="10" spans="1:19" x14ac:dyDescent="0.25">
      <c r="A10" s="876"/>
      <c r="B10" s="83">
        <f>B9-C10</f>
        <v>86</v>
      </c>
      <c r="C10" s="243">
        <v>18</v>
      </c>
      <c r="D10" s="264">
        <v>215.64</v>
      </c>
      <c r="E10" s="293">
        <v>44664</v>
      </c>
      <c r="F10" s="264">
        <f t="shared" si="0"/>
        <v>215.64</v>
      </c>
      <c r="G10" s="265" t="s">
        <v>154</v>
      </c>
      <c r="H10" s="266">
        <v>95</v>
      </c>
      <c r="I10" s="275">
        <f>I9-F10</f>
        <v>1012.82</v>
      </c>
      <c r="K10" s="876"/>
      <c r="L10" s="195">
        <f>L9-M10</f>
        <v>162</v>
      </c>
      <c r="M10" s="243">
        <v>6</v>
      </c>
      <c r="N10" s="264">
        <v>72.23</v>
      </c>
      <c r="O10" s="293">
        <v>44690</v>
      </c>
      <c r="P10" s="264">
        <f t="shared" si="1"/>
        <v>72.23</v>
      </c>
      <c r="Q10" s="265" t="s">
        <v>423</v>
      </c>
      <c r="R10" s="266">
        <v>95</v>
      </c>
      <c r="S10" s="275">
        <f>S9-P10</f>
        <v>1880.5300000000002</v>
      </c>
    </row>
    <row r="11" spans="1:19" x14ac:dyDescent="0.25">
      <c r="A11" s="195"/>
      <c r="B11" s="296">
        <f t="shared" ref="B11:B54" si="2">B10-C11</f>
        <v>66</v>
      </c>
      <c r="C11" s="243">
        <v>20</v>
      </c>
      <c r="D11" s="264">
        <v>244.02</v>
      </c>
      <c r="E11" s="293">
        <v>44673</v>
      </c>
      <c r="F11" s="264">
        <f t="shared" si="0"/>
        <v>244.02</v>
      </c>
      <c r="G11" s="265" t="s">
        <v>182</v>
      </c>
      <c r="H11" s="266">
        <v>95</v>
      </c>
      <c r="I11" s="275">
        <f t="shared" ref="I11:I74" si="3">I10-F11</f>
        <v>768.80000000000007</v>
      </c>
      <c r="K11" s="195"/>
      <c r="L11" s="1085">
        <f t="shared" ref="L11:L54" si="4">L10-M11</f>
        <v>152</v>
      </c>
      <c r="M11" s="243">
        <v>10</v>
      </c>
      <c r="N11" s="264">
        <v>119.43</v>
      </c>
      <c r="O11" s="293">
        <v>44693</v>
      </c>
      <c r="P11" s="264">
        <f t="shared" si="1"/>
        <v>119.43</v>
      </c>
      <c r="Q11" s="265" t="s">
        <v>467</v>
      </c>
      <c r="R11" s="266">
        <v>95</v>
      </c>
      <c r="S11" s="275">
        <f t="shared" ref="S11:S74" si="5">S10-P11</f>
        <v>1761.1000000000001</v>
      </c>
    </row>
    <row r="12" spans="1:19" x14ac:dyDescent="0.25">
      <c r="A12" s="195"/>
      <c r="B12" s="296">
        <f t="shared" si="2"/>
        <v>46</v>
      </c>
      <c r="C12" s="243">
        <v>20</v>
      </c>
      <c r="D12" s="264">
        <v>240.39</v>
      </c>
      <c r="E12" s="293">
        <v>44674</v>
      </c>
      <c r="F12" s="264">
        <f t="shared" si="0"/>
        <v>240.39</v>
      </c>
      <c r="G12" s="265" t="s">
        <v>187</v>
      </c>
      <c r="H12" s="266">
        <v>95</v>
      </c>
      <c r="I12" s="275">
        <f t="shared" si="3"/>
        <v>528.41000000000008</v>
      </c>
      <c r="K12" s="195"/>
      <c r="L12" s="1085">
        <f t="shared" si="4"/>
        <v>142</v>
      </c>
      <c r="M12" s="243">
        <v>10</v>
      </c>
      <c r="N12" s="264">
        <v>111.94</v>
      </c>
      <c r="O12" s="293">
        <v>44695</v>
      </c>
      <c r="P12" s="264">
        <f t="shared" si="1"/>
        <v>111.94</v>
      </c>
      <c r="Q12" s="265" t="s">
        <v>491</v>
      </c>
      <c r="R12" s="266">
        <v>95</v>
      </c>
      <c r="S12" s="275">
        <f t="shared" si="5"/>
        <v>1649.16</v>
      </c>
    </row>
    <row r="13" spans="1:19" x14ac:dyDescent="0.25">
      <c r="A13" s="82" t="s">
        <v>33</v>
      </c>
      <c r="B13" s="296">
        <f t="shared" si="2"/>
        <v>45</v>
      </c>
      <c r="C13" s="243">
        <v>1</v>
      </c>
      <c r="D13" s="264">
        <v>5.87</v>
      </c>
      <c r="E13" s="293">
        <v>44677</v>
      </c>
      <c r="F13" s="264">
        <f t="shared" si="0"/>
        <v>5.87</v>
      </c>
      <c r="G13" s="265" t="s">
        <v>199</v>
      </c>
      <c r="H13" s="266">
        <v>92</v>
      </c>
      <c r="I13" s="275">
        <f t="shared" si="3"/>
        <v>522.54000000000008</v>
      </c>
      <c r="K13" s="82" t="s">
        <v>33</v>
      </c>
      <c r="L13" s="1085">
        <f t="shared" si="4"/>
        <v>122</v>
      </c>
      <c r="M13" s="243">
        <v>20</v>
      </c>
      <c r="N13" s="264">
        <v>225.32</v>
      </c>
      <c r="O13" s="293">
        <v>44697</v>
      </c>
      <c r="P13" s="264">
        <f t="shared" si="1"/>
        <v>225.32</v>
      </c>
      <c r="Q13" s="265" t="s">
        <v>510</v>
      </c>
      <c r="R13" s="266">
        <v>95</v>
      </c>
      <c r="S13" s="275">
        <f t="shared" si="5"/>
        <v>1423.8400000000001</v>
      </c>
    </row>
    <row r="14" spans="1:19" x14ac:dyDescent="0.25">
      <c r="A14" s="73"/>
      <c r="B14" s="296">
        <f t="shared" si="2"/>
        <v>35</v>
      </c>
      <c r="C14" s="243">
        <v>10</v>
      </c>
      <c r="D14" s="264">
        <v>118.6</v>
      </c>
      <c r="E14" s="293">
        <v>44680</v>
      </c>
      <c r="F14" s="264">
        <f t="shared" si="0"/>
        <v>118.6</v>
      </c>
      <c r="G14" s="265" t="s">
        <v>206</v>
      </c>
      <c r="H14" s="266">
        <v>95</v>
      </c>
      <c r="I14" s="275">
        <f t="shared" si="3"/>
        <v>403.94000000000005</v>
      </c>
      <c r="K14" s="73"/>
      <c r="L14" s="1085">
        <f t="shared" si="4"/>
        <v>120</v>
      </c>
      <c r="M14" s="243">
        <v>2</v>
      </c>
      <c r="N14" s="264">
        <v>22.46</v>
      </c>
      <c r="O14" s="293">
        <v>44701</v>
      </c>
      <c r="P14" s="264">
        <f t="shared" si="1"/>
        <v>22.46</v>
      </c>
      <c r="Q14" s="265" t="s">
        <v>512</v>
      </c>
      <c r="R14" s="266">
        <v>95</v>
      </c>
      <c r="S14" s="275">
        <f t="shared" si="5"/>
        <v>1401.38</v>
      </c>
    </row>
    <row r="15" spans="1:19" x14ac:dyDescent="0.25">
      <c r="A15" s="73"/>
      <c r="B15" s="296">
        <f t="shared" si="2"/>
        <v>27</v>
      </c>
      <c r="C15" s="243">
        <v>8</v>
      </c>
      <c r="D15" s="264">
        <v>94.2</v>
      </c>
      <c r="E15" s="293">
        <v>44681</v>
      </c>
      <c r="F15" s="264">
        <f t="shared" si="0"/>
        <v>94.2</v>
      </c>
      <c r="G15" s="265" t="s">
        <v>196</v>
      </c>
      <c r="H15" s="266">
        <v>95</v>
      </c>
      <c r="I15" s="275">
        <f t="shared" si="3"/>
        <v>309.74000000000007</v>
      </c>
      <c r="K15" s="73"/>
      <c r="L15" s="1085">
        <f t="shared" si="4"/>
        <v>110</v>
      </c>
      <c r="M15" s="243">
        <v>10</v>
      </c>
      <c r="N15" s="264">
        <v>118.05</v>
      </c>
      <c r="O15" s="293">
        <v>44702</v>
      </c>
      <c r="P15" s="264">
        <f t="shared" si="1"/>
        <v>118.05</v>
      </c>
      <c r="Q15" s="265" t="s">
        <v>545</v>
      </c>
      <c r="R15" s="266">
        <v>95</v>
      </c>
      <c r="S15" s="275">
        <f t="shared" si="5"/>
        <v>1283.3300000000002</v>
      </c>
    </row>
    <row r="16" spans="1:19" x14ac:dyDescent="0.25">
      <c r="B16" s="296">
        <f t="shared" si="2"/>
        <v>25</v>
      </c>
      <c r="C16" s="73">
        <v>2</v>
      </c>
      <c r="D16" s="1043">
        <v>24.21</v>
      </c>
      <c r="E16" s="1044">
        <v>44684</v>
      </c>
      <c r="F16" s="1043">
        <f t="shared" si="0"/>
        <v>24.21</v>
      </c>
      <c r="G16" s="1037" t="s">
        <v>362</v>
      </c>
      <c r="H16" s="1038">
        <v>95</v>
      </c>
      <c r="I16" s="275">
        <f t="shared" si="3"/>
        <v>285.53000000000009</v>
      </c>
      <c r="L16" s="1085">
        <f t="shared" si="4"/>
        <v>110</v>
      </c>
      <c r="M16" s="73"/>
      <c r="N16" s="264"/>
      <c r="O16" s="293"/>
      <c r="P16" s="264">
        <f t="shared" si="1"/>
        <v>0</v>
      </c>
      <c r="Q16" s="265"/>
      <c r="R16" s="266"/>
      <c r="S16" s="275">
        <f t="shared" si="5"/>
        <v>1283.3300000000002</v>
      </c>
    </row>
    <row r="17" spans="1:19" x14ac:dyDescent="0.25">
      <c r="B17" s="296">
        <f t="shared" si="2"/>
        <v>15</v>
      </c>
      <c r="C17" s="73">
        <v>10</v>
      </c>
      <c r="D17" s="1043">
        <v>114.82</v>
      </c>
      <c r="E17" s="1044">
        <v>44686</v>
      </c>
      <c r="F17" s="1043">
        <f t="shared" si="0"/>
        <v>114.82</v>
      </c>
      <c r="G17" s="1037" t="s">
        <v>396</v>
      </c>
      <c r="H17" s="1038">
        <v>95</v>
      </c>
      <c r="I17" s="275">
        <f t="shared" si="3"/>
        <v>170.71000000000009</v>
      </c>
      <c r="L17" s="1085">
        <f t="shared" si="4"/>
        <v>110</v>
      </c>
      <c r="M17" s="73"/>
      <c r="N17" s="264"/>
      <c r="O17" s="293"/>
      <c r="P17" s="264">
        <f t="shared" si="1"/>
        <v>0</v>
      </c>
      <c r="Q17" s="265"/>
      <c r="R17" s="266"/>
      <c r="S17" s="275">
        <f t="shared" si="5"/>
        <v>1283.3300000000002</v>
      </c>
    </row>
    <row r="18" spans="1:19" x14ac:dyDescent="0.25">
      <c r="A18" s="122"/>
      <c r="B18" s="296">
        <f t="shared" si="2"/>
        <v>10</v>
      </c>
      <c r="C18" s="73">
        <v>5</v>
      </c>
      <c r="D18" s="1043">
        <v>59.43</v>
      </c>
      <c r="E18" s="1044">
        <v>44687</v>
      </c>
      <c r="F18" s="1043">
        <f t="shared" si="0"/>
        <v>59.43</v>
      </c>
      <c r="G18" s="1037" t="s">
        <v>399</v>
      </c>
      <c r="H18" s="1038">
        <v>95</v>
      </c>
      <c r="I18" s="275">
        <f t="shared" si="3"/>
        <v>111.28000000000009</v>
      </c>
      <c r="K18" s="122"/>
      <c r="L18" s="1085">
        <f t="shared" si="4"/>
        <v>110</v>
      </c>
      <c r="M18" s="73"/>
      <c r="N18" s="264"/>
      <c r="O18" s="293"/>
      <c r="P18" s="264">
        <f t="shared" si="1"/>
        <v>0</v>
      </c>
      <c r="Q18" s="265"/>
      <c r="R18" s="266"/>
      <c r="S18" s="275">
        <f t="shared" si="5"/>
        <v>1283.3300000000002</v>
      </c>
    </row>
    <row r="19" spans="1:19" x14ac:dyDescent="0.25">
      <c r="A19" s="122"/>
      <c r="B19" s="296">
        <f t="shared" si="2"/>
        <v>10</v>
      </c>
      <c r="C19" s="15"/>
      <c r="D19" s="1043"/>
      <c r="E19" s="1044"/>
      <c r="F19" s="1061">
        <f t="shared" si="0"/>
        <v>0</v>
      </c>
      <c r="G19" s="1062"/>
      <c r="H19" s="1063"/>
      <c r="I19" s="1075">
        <f t="shared" si="3"/>
        <v>111.28000000000009</v>
      </c>
      <c r="K19" s="122"/>
      <c r="L19" s="1085">
        <f t="shared" si="4"/>
        <v>110</v>
      </c>
      <c r="M19" s="15"/>
      <c r="N19" s="264"/>
      <c r="O19" s="293"/>
      <c r="P19" s="264">
        <f t="shared" si="1"/>
        <v>0</v>
      </c>
      <c r="Q19" s="265"/>
      <c r="R19" s="266"/>
      <c r="S19" s="275">
        <f t="shared" si="5"/>
        <v>1283.3300000000002</v>
      </c>
    </row>
    <row r="20" spans="1:19" x14ac:dyDescent="0.25">
      <c r="A20" s="122"/>
      <c r="B20" s="83">
        <f t="shared" si="2"/>
        <v>10</v>
      </c>
      <c r="C20" s="15"/>
      <c r="D20" s="1043"/>
      <c r="E20" s="1044"/>
      <c r="F20" s="1061">
        <f t="shared" si="0"/>
        <v>0</v>
      </c>
      <c r="G20" s="1062"/>
      <c r="H20" s="1063"/>
      <c r="I20" s="1075">
        <f t="shared" si="3"/>
        <v>111.28000000000009</v>
      </c>
      <c r="K20" s="122"/>
      <c r="L20" s="195">
        <f t="shared" si="4"/>
        <v>110</v>
      </c>
      <c r="M20" s="15"/>
      <c r="N20" s="264"/>
      <c r="O20" s="293"/>
      <c r="P20" s="264">
        <f t="shared" si="1"/>
        <v>0</v>
      </c>
      <c r="Q20" s="265"/>
      <c r="R20" s="266"/>
      <c r="S20" s="275">
        <f t="shared" si="5"/>
        <v>1283.3300000000002</v>
      </c>
    </row>
    <row r="21" spans="1:19" x14ac:dyDescent="0.25">
      <c r="A21" s="122"/>
      <c r="B21" s="83">
        <f t="shared" si="2"/>
        <v>0</v>
      </c>
      <c r="C21" s="15">
        <v>10</v>
      </c>
      <c r="D21" s="1043"/>
      <c r="E21" s="1044"/>
      <c r="F21" s="1061">
        <v>111.28</v>
      </c>
      <c r="G21" s="1062"/>
      <c r="H21" s="1063"/>
      <c r="I21" s="1075">
        <f t="shared" si="3"/>
        <v>0</v>
      </c>
      <c r="K21" s="122"/>
      <c r="L21" s="195">
        <f t="shared" si="4"/>
        <v>110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5"/>
        <v>1283.3300000000002</v>
      </c>
    </row>
    <row r="22" spans="1:19" x14ac:dyDescent="0.25">
      <c r="A22" s="122"/>
      <c r="B22" s="281">
        <f t="shared" si="2"/>
        <v>0</v>
      </c>
      <c r="C22" s="15"/>
      <c r="D22" s="1043"/>
      <c r="E22" s="1044"/>
      <c r="F22" s="1061">
        <f t="shared" si="0"/>
        <v>0</v>
      </c>
      <c r="G22" s="1062"/>
      <c r="H22" s="1063"/>
      <c r="I22" s="1075">
        <f t="shared" si="3"/>
        <v>0</v>
      </c>
      <c r="K22" s="122"/>
      <c r="L22" s="195">
        <f t="shared" si="4"/>
        <v>110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5"/>
        <v>1283.3300000000002</v>
      </c>
    </row>
    <row r="23" spans="1:19" x14ac:dyDescent="0.25">
      <c r="A23" s="123"/>
      <c r="B23" s="281">
        <f t="shared" si="2"/>
        <v>0</v>
      </c>
      <c r="C23" s="15"/>
      <c r="D23" s="1043"/>
      <c r="E23" s="1044"/>
      <c r="F23" s="1043">
        <f t="shared" si="0"/>
        <v>0</v>
      </c>
      <c r="G23" s="1037"/>
      <c r="H23" s="1038"/>
      <c r="I23" s="275">
        <f t="shared" si="3"/>
        <v>0</v>
      </c>
      <c r="K23" s="123"/>
      <c r="L23" s="195">
        <f t="shared" si="4"/>
        <v>110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5"/>
        <v>1283.3300000000002</v>
      </c>
    </row>
    <row r="24" spans="1:19" x14ac:dyDescent="0.25">
      <c r="A24" s="122"/>
      <c r="B24" s="281">
        <f t="shared" si="2"/>
        <v>0</v>
      </c>
      <c r="C24" s="15"/>
      <c r="D24" s="1043"/>
      <c r="E24" s="1044"/>
      <c r="F24" s="1043">
        <f t="shared" si="0"/>
        <v>0</v>
      </c>
      <c r="G24" s="1037"/>
      <c r="H24" s="1038"/>
      <c r="I24" s="275">
        <f t="shared" si="3"/>
        <v>0</v>
      </c>
      <c r="K24" s="122"/>
      <c r="L24" s="195">
        <f t="shared" si="4"/>
        <v>110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5"/>
        <v>1283.3300000000002</v>
      </c>
    </row>
    <row r="25" spans="1:19" x14ac:dyDescent="0.25">
      <c r="A25" s="122"/>
      <c r="B25" s="281">
        <f t="shared" si="2"/>
        <v>0</v>
      </c>
      <c r="C25" s="15"/>
      <c r="D25" s="1043"/>
      <c r="E25" s="1044"/>
      <c r="F25" s="1043">
        <f t="shared" si="0"/>
        <v>0</v>
      </c>
      <c r="G25" s="1037"/>
      <c r="H25" s="1038"/>
      <c r="I25" s="275">
        <f t="shared" si="3"/>
        <v>0</v>
      </c>
      <c r="K25" s="122"/>
      <c r="L25" s="195">
        <f t="shared" si="4"/>
        <v>110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5"/>
        <v>1283.3300000000002</v>
      </c>
    </row>
    <row r="26" spans="1:19" x14ac:dyDescent="0.25">
      <c r="A26" s="122"/>
      <c r="B26" s="195">
        <f t="shared" si="2"/>
        <v>0</v>
      </c>
      <c r="C26" s="15"/>
      <c r="D26" s="1043"/>
      <c r="E26" s="1044"/>
      <c r="F26" s="1043">
        <f t="shared" si="0"/>
        <v>0</v>
      </c>
      <c r="G26" s="1037"/>
      <c r="H26" s="1038"/>
      <c r="I26" s="275">
        <f t="shared" si="3"/>
        <v>0</v>
      </c>
      <c r="K26" s="122"/>
      <c r="L26" s="195">
        <f t="shared" si="4"/>
        <v>110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5"/>
        <v>1283.3300000000002</v>
      </c>
    </row>
    <row r="27" spans="1:19" x14ac:dyDescent="0.25">
      <c r="A27" s="122"/>
      <c r="B27" s="281">
        <f t="shared" si="2"/>
        <v>0</v>
      </c>
      <c r="C27" s="15"/>
      <c r="D27" s="1043"/>
      <c r="E27" s="1044"/>
      <c r="F27" s="1043">
        <f t="shared" si="0"/>
        <v>0</v>
      </c>
      <c r="G27" s="1037"/>
      <c r="H27" s="1038"/>
      <c r="I27" s="275">
        <f t="shared" si="3"/>
        <v>0</v>
      </c>
      <c r="K27" s="122"/>
      <c r="L27" s="195">
        <f t="shared" si="4"/>
        <v>110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5"/>
        <v>1283.3300000000002</v>
      </c>
    </row>
    <row r="28" spans="1:19" x14ac:dyDescent="0.25">
      <c r="A28" s="122"/>
      <c r="B28" s="195">
        <f t="shared" si="2"/>
        <v>0</v>
      </c>
      <c r="C28" s="15"/>
      <c r="D28" s="1043"/>
      <c r="E28" s="1044"/>
      <c r="F28" s="1043">
        <f t="shared" si="0"/>
        <v>0</v>
      </c>
      <c r="G28" s="1037"/>
      <c r="H28" s="1038"/>
      <c r="I28" s="275">
        <f t="shared" si="3"/>
        <v>0</v>
      </c>
      <c r="K28" s="122"/>
      <c r="L28" s="195">
        <f t="shared" si="4"/>
        <v>110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5"/>
        <v>1283.3300000000002</v>
      </c>
    </row>
    <row r="29" spans="1:19" x14ac:dyDescent="0.25">
      <c r="A29" s="122"/>
      <c r="B29" s="281">
        <f t="shared" si="2"/>
        <v>0</v>
      </c>
      <c r="C29" s="15"/>
      <c r="D29" s="1043"/>
      <c r="E29" s="1044"/>
      <c r="F29" s="1043">
        <f t="shared" si="0"/>
        <v>0</v>
      </c>
      <c r="G29" s="1037"/>
      <c r="H29" s="1038"/>
      <c r="I29" s="275">
        <f t="shared" si="3"/>
        <v>0</v>
      </c>
      <c r="K29" s="122"/>
      <c r="L29" s="195">
        <f t="shared" si="4"/>
        <v>110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5"/>
        <v>1283.3300000000002</v>
      </c>
    </row>
    <row r="30" spans="1:19" x14ac:dyDescent="0.25">
      <c r="A30" s="122"/>
      <c r="B30" s="281">
        <f t="shared" si="2"/>
        <v>0</v>
      </c>
      <c r="C30" s="15"/>
      <c r="D30" s="1043"/>
      <c r="E30" s="1044"/>
      <c r="F30" s="1043">
        <f t="shared" si="0"/>
        <v>0</v>
      </c>
      <c r="G30" s="1037"/>
      <c r="H30" s="1038"/>
      <c r="I30" s="275">
        <f t="shared" si="3"/>
        <v>0</v>
      </c>
      <c r="K30" s="122"/>
      <c r="L30" s="195">
        <f t="shared" si="4"/>
        <v>110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5"/>
        <v>1283.3300000000002</v>
      </c>
    </row>
    <row r="31" spans="1:19" x14ac:dyDescent="0.25">
      <c r="A31" s="122"/>
      <c r="B31" s="281">
        <f t="shared" si="2"/>
        <v>0</v>
      </c>
      <c r="C31" s="15"/>
      <c r="D31" s="1043"/>
      <c r="E31" s="1044"/>
      <c r="F31" s="1043">
        <f t="shared" si="0"/>
        <v>0</v>
      </c>
      <c r="G31" s="1037"/>
      <c r="H31" s="1038"/>
      <c r="I31" s="275">
        <f t="shared" si="3"/>
        <v>0</v>
      </c>
      <c r="K31" s="122"/>
      <c r="L31" s="195">
        <f t="shared" si="4"/>
        <v>110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5"/>
        <v>1283.3300000000002</v>
      </c>
    </row>
    <row r="32" spans="1:19" x14ac:dyDescent="0.25">
      <c r="A32" s="122"/>
      <c r="B32" s="281">
        <f t="shared" si="2"/>
        <v>0</v>
      </c>
      <c r="C32" s="15"/>
      <c r="D32" s="264"/>
      <c r="E32" s="293"/>
      <c r="F32" s="264">
        <f t="shared" si="0"/>
        <v>0</v>
      </c>
      <c r="G32" s="265"/>
      <c r="H32" s="266"/>
      <c r="I32" s="275">
        <f t="shared" si="3"/>
        <v>0</v>
      </c>
      <c r="K32" s="122"/>
      <c r="L32" s="195">
        <f t="shared" si="4"/>
        <v>110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5"/>
        <v>1283.3300000000002</v>
      </c>
    </row>
    <row r="33" spans="1:19" x14ac:dyDescent="0.25">
      <c r="A33" s="122"/>
      <c r="B33" s="281">
        <f t="shared" si="2"/>
        <v>0</v>
      </c>
      <c r="C33" s="15"/>
      <c r="D33" s="264"/>
      <c r="E33" s="293"/>
      <c r="F33" s="264">
        <f t="shared" si="0"/>
        <v>0</v>
      </c>
      <c r="G33" s="265"/>
      <c r="H33" s="266"/>
      <c r="I33" s="275">
        <f t="shared" si="3"/>
        <v>0</v>
      </c>
      <c r="K33" s="122"/>
      <c r="L33" s="281">
        <f t="shared" si="4"/>
        <v>110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5"/>
        <v>1283.3300000000002</v>
      </c>
    </row>
    <row r="34" spans="1:19" x14ac:dyDescent="0.25">
      <c r="A34" s="122"/>
      <c r="B34" s="281">
        <f t="shared" si="2"/>
        <v>0</v>
      </c>
      <c r="C34" s="15"/>
      <c r="D34" s="264"/>
      <c r="E34" s="293"/>
      <c r="F34" s="264">
        <f t="shared" si="0"/>
        <v>0</v>
      </c>
      <c r="G34" s="265"/>
      <c r="H34" s="266"/>
      <c r="I34" s="275">
        <f t="shared" si="3"/>
        <v>0</v>
      </c>
      <c r="K34" s="122"/>
      <c r="L34" s="281">
        <f t="shared" si="4"/>
        <v>110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5"/>
        <v>1283.3300000000002</v>
      </c>
    </row>
    <row r="35" spans="1:19" x14ac:dyDescent="0.25">
      <c r="A35" s="122"/>
      <c r="B35" s="281">
        <f t="shared" si="2"/>
        <v>0</v>
      </c>
      <c r="C35" s="15"/>
      <c r="D35" s="264"/>
      <c r="E35" s="293"/>
      <c r="F35" s="264">
        <f t="shared" si="0"/>
        <v>0</v>
      </c>
      <c r="G35" s="265"/>
      <c r="H35" s="266"/>
      <c r="I35" s="275">
        <f t="shared" si="3"/>
        <v>0</v>
      </c>
      <c r="K35" s="122"/>
      <c r="L35" s="281">
        <f t="shared" si="4"/>
        <v>110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5"/>
        <v>1283.3300000000002</v>
      </c>
    </row>
    <row r="36" spans="1:19" x14ac:dyDescent="0.25">
      <c r="A36" s="122" t="s">
        <v>22</v>
      </c>
      <c r="B36" s="281">
        <f t="shared" si="2"/>
        <v>0</v>
      </c>
      <c r="C36" s="15"/>
      <c r="D36" s="264"/>
      <c r="E36" s="293"/>
      <c r="F36" s="264">
        <f t="shared" si="0"/>
        <v>0</v>
      </c>
      <c r="G36" s="265"/>
      <c r="H36" s="266"/>
      <c r="I36" s="275">
        <f t="shared" si="3"/>
        <v>0</v>
      </c>
      <c r="K36" s="122" t="s">
        <v>22</v>
      </c>
      <c r="L36" s="281">
        <f t="shared" si="4"/>
        <v>110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5"/>
        <v>1283.3300000000002</v>
      </c>
    </row>
    <row r="37" spans="1:19" x14ac:dyDescent="0.25">
      <c r="A37" s="123"/>
      <c r="B37" s="281">
        <f t="shared" si="2"/>
        <v>0</v>
      </c>
      <c r="C37" s="15"/>
      <c r="D37" s="264"/>
      <c r="E37" s="293"/>
      <c r="F37" s="264">
        <f t="shared" si="0"/>
        <v>0</v>
      </c>
      <c r="G37" s="265"/>
      <c r="H37" s="266"/>
      <c r="I37" s="275">
        <f t="shared" si="3"/>
        <v>0</v>
      </c>
      <c r="K37" s="123"/>
      <c r="L37" s="281">
        <f t="shared" si="4"/>
        <v>110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5"/>
        <v>1283.3300000000002</v>
      </c>
    </row>
    <row r="38" spans="1:19" x14ac:dyDescent="0.25">
      <c r="A38" s="122"/>
      <c r="B38" s="281">
        <f t="shared" si="2"/>
        <v>0</v>
      </c>
      <c r="C38" s="15"/>
      <c r="D38" s="264"/>
      <c r="E38" s="293"/>
      <c r="F38" s="264">
        <f t="shared" si="0"/>
        <v>0</v>
      </c>
      <c r="G38" s="265"/>
      <c r="H38" s="266"/>
      <c r="I38" s="275">
        <f t="shared" si="3"/>
        <v>0</v>
      </c>
      <c r="K38" s="122"/>
      <c r="L38" s="281">
        <f t="shared" si="4"/>
        <v>110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5"/>
        <v>1283.3300000000002</v>
      </c>
    </row>
    <row r="39" spans="1:19" x14ac:dyDescent="0.25">
      <c r="A39" s="122"/>
      <c r="B39" s="83">
        <f t="shared" si="2"/>
        <v>0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3"/>
        <v>0</v>
      </c>
      <c r="K39" s="122"/>
      <c r="L39" s="83">
        <f t="shared" si="4"/>
        <v>110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5"/>
        <v>1283.3300000000002</v>
      </c>
    </row>
    <row r="40" spans="1:19" x14ac:dyDescent="0.25">
      <c r="A40" s="122"/>
      <c r="B40" s="83">
        <f t="shared" si="2"/>
        <v>0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3"/>
        <v>0</v>
      </c>
      <c r="K40" s="122"/>
      <c r="L40" s="83">
        <f t="shared" si="4"/>
        <v>110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5"/>
        <v>1283.3300000000002</v>
      </c>
    </row>
    <row r="41" spans="1:19" x14ac:dyDescent="0.25">
      <c r="A41" s="122"/>
      <c r="B41" s="83">
        <f t="shared" si="2"/>
        <v>0</v>
      </c>
      <c r="C41" s="15"/>
      <c r="D41" s="264"/>
      <c r="E41" s="293"/>
      <c r="F41" s="264">
        <f t="shared" si="0"/>
        <v>0</v>
      </c>
      <c r="G41" s="265"/>
      <c r="H41" s="266"/>
      <c r="I41" s="275">
        <f t="shared" si="3"/>
        <v>0</v>
      </c>
      <c r="K41" s="122"/>
      <c r="L41" s="83">
        <f t="shared" si="4"/>
        <v>110</v>
      </c>
      <c r="M41" s="15"/>
      <c r="N41" s="264"/>
      <c r="O41" s="293"/>
      <c r="P41" s="264">
        <f t="shared" si="1"/>
        <v>0</v>
      </c>
      <c r="Q41" s="265"/>
      <c r="R41" s="266"/>
      <c r="S41" s="275">
        <f t="shared" si="5"/>
        <v>1283.3300000000002</v>
      </c>
    </row>
    <row r="42" spans="1:19" x14ac:dyDescent="0.25">
      <c r="A42" s="122"/>
      <c r="B42" s="83">
        <f t="shared" si="2"/>
        <v>0</v>
      </c>
      <c r="C42" s="15"/>
      <c r="D42" s="264"/>
      <c r="E42" s="293"/>
      <c r="F42" s="264">
        <f t="shared" si="0"/>
        <v>0</v>
      </c>
      <c r="G42" s="265"/>
      <c r="H42" s="266"/>
      <c r="I42" s="275">
        <f t="shared" si="3"/>
        <v>0</v>
      </c>
      <c r="K42" s="122"/>
      <c r="L42" s="83">
        <f t="shared" si="4"/>
        <v>110</v>
      </c>
      <c r="M42" s="15"/>
      <c r="N42" s="264"/>
      <c r="O42" s="293"/>
      <c r="P42" s="264">
        <f t="shared" si="1"/>
        <v>0</v>
      </c>
      <c r="Q42" s="265"/>
      <c r="R42" s="266"/>
      <c r="S42" s="275">
        <f t="shared" si="5"/>
        <v>1283.3300000000002</v>
      </c>
    </row>
    <row r="43" spans="1:19" x14ac:dyDescent="0.25">
      <c r="A43" s="122"/>
      <c r="B43" s="83">
        <f t="shared" si="2"/>
        <v>0</v>
      </c>
      <c r="C43" s="15"/>
      <c r="D43" s="264"/>
      <c r="E43" s="293"/>
      <c r="F43" s="264">
        <f t="shared" si="0"/>
        <v>0</v>
      </c>
      <c r="G43" s="265"/>
      <c r="H43" s="266"/>
      <c r="I43" s="275">
        <f t="shared" si="3"/>
        <v>0</v>
      </c>
      <c r="K43" s="122"/>
      <c r="L43" s="83">
        <f t="shared" si="4"/>
        <v>110</v>
      </c>
      <c r="M43" s="15"/>
      <c r="N43" s="264"/>
      <c r="O43" s="293"/>
      <c r="P43" s="264">
        <f t="shared" si="1"/>
        <v>0</v>
      </c>
      <c r="Q43" s="265"/>
      <c r="R43" s="266"/>
      <c r="S43" s="275">
        <f t="shared" si="5"/>
        <v>1283.3300000000002</v>
      </c>
    </row>
    <row r="44" spans="1:19" x14ac:dyDescent="0.25">
      <c r="A44" s="122"/>
      <c r="B44" s="83">
        <f t="shared" si="2"/>
        <v>0</v>
      </c>
      <c r="C44" s="15"/>
      <c r="D44" s="264"/>
      <c r="E44" s="293"/>
      <c r="F44" s="264">
        <f t="shared" si="0"/>
        <v>0</v>
      </c>
      <c r="G44" s="265"/>
      <c r="H44" s="266"/>
      <c r="I44" s="275">
        <f t="shared" si="3"/>
        <v>0</v>
      </c>
      <c r="K44" s="122"/>
      <c r="L44" s="83">
        <f t="shared" si="4"/>
        <v>110</v>
      </c>
      <c r="M44" s="15"/>
      <c r="N44" s="264"/>
      <c r="O44" s="293"/>
      <c r="P44" s="264">
        <f t="shared" si="1"/>
        <v>0</v>
      </c>
      <c r="Q44" s="265"/>
      <c r="R44" s="266"/>
      <c r="S44" s="275">
        <f t="shared" si="5"/>
        <v>1283.3300000000002</v>
      </c>
    </row>
    <row r="45" spans="1:19" x14ac:dyDescent="0.25">
      <c r="A45" s="122"/>
      <c r="B45" s="83">
        <f t="shared" si="2"/>
        <v>0</v>
      </c>
      <c r="C45" s="15"/>
      <c r="D45" s="264"/>
      <c r="E45" s="293"/>
      <c r="F45" s="264">
        <f t="shared" si="0"/>
        <v>0</v>
      </c>
      <c r="G45" s="265"/>
      <c r="H45" s="266"/>
      <c r="I45" s="275">
        <f t="shared" si="3"/>
        <v>0</v>
      </c>
      <c r="K45" s="122"/>
      <c r="L45" s="83">
        <f t="shared" si="4"/>
        <v>110</v>
      </c>
      <c r="M45" s="15"/>
      <c r="N45" s="264"/>
      <c r="O45" s="293"/>
      <c r="P45" s="264">
        <f t="shared" si="1"/>
        <v>0</v>
      </c>
      <c r="Q45" s="265"/>
      <c r="R45" s="266"/>
      <c r="S45" s="275">
        <f t="shared" si="5"/>
        <v>1283.3300000000002</v>
      </c>
    </row>
    <row r="46" spans="1:19" x14ac:dyDescent="0.25">
      <c r="A46" s="122"/>
      <c r="B46" s="83">
        <f t="shared" si="2"/>
        <v>0</v>
      </c>
      <c r="C46" s="15"/>
      <c r="D46" s="264"/>
      <c r="E46" s="293"/>
      <c r="F46" s="264">
        <f t="shared" si="0"/>
        <v>0</v>
      </c>
      <c r="G46" s="265"/>
      <c r="H46" s="266"/>
      <c r="I46" s="275">
        <f t="shared" si="3"/>
        <v>0</v>
      </c>
      <c r="K46" s="122"/>
      <c r="L46" s="83">
        <f t="shared" si="4"/>
        <v>110</v>
      </c>
      <c r="M46" s="15"/>
      <c r="N46" s="264"/>
      <c r="O46" s="293"/>
      <c r="P46" s="264">
        <f t="shared" si="1"/>
        <v>0</v>
      </c>
      <c r="Q46" s="265"/>
      <c r="R46" s="266"/>
      <c r="S46" s="275">
        <f t="shared" si="5"/>
        <v>1283.3300000000002</v>
      </c>
    </row>
    <row r="47" spans="1:19" x14ac:dyDescent="0.25">
      <c r="A47" s="122"/>
      <c r="B47" s="83">
        <f t="shared" si="2"/>
        <v>0</v>
      </c>
      <c r="C47" s="15"/>
      <c r="D47" s="264"/>
      <c r="E47" s="293"/>
      <c r="F47" s="264">
        <f t="shared" si="0"/>
        <v>0</v>
      </c>
      <c r="G47" s="265"/>
      <c r="H47" s="266"/>
      <c r="I47" s="275">
        <f t="shared" si="3"/>
        <v>0</v>
      </c>
      <c r="K47" s="122"/>
      <c r="L47" s="83">
        <f t="shared" si="4"/>
        <v>110</v>
      </c>
      <c r="M47" s="15"/>
      <c r="N47" s="264"/>
      <c r="O47" s="293"/>
      <c r="P47" s="264">
        <f t="shared" si="1"/>
        <v>0</v>
      </c>
      <c r="Q47" s="265"/>
      <c r="R47" s="266"/>
      <c r="S47" s="275">
        <f t="shared" si="5"/>
        <v>1283.3300000000002</v>
      </c>
    </row>
    <row r="48" spans="1:19" x14ac:dyDescent="0.25">
      <c r="A48" s="122"/>
      <c r="B48" s="83">
        <f t="shared" si="2"/>
        <v>0</v>
      </c>
      <c r="C48" s="15"/>
      <c r="D48" s="264"/>
      <c r="E48" s="293"/>
      <c r="F48" s="264">
        <f t="shared" si="0"/>
        <v>0</v>
      </c>
      <c r="G48" s="265"/>
      <c r="H48" s="266"/>
      <c r="I48" s="275">
        <f t="shared" si="3"/>
        <v>0</v>
      </c>
      <c r="K48" s="122"/>
      <c r="L48" s="83">
        <f t="shared" si="4"/>
        <v>110</v>
      </c>
      <c r="M48" s="15"/>
      <c r="N48" s="264"/>
      <c r="O48" s="293"/>
      <c r="P48" s="264">
        <f t="shared" si="1"/>
        <v>0</v>
      </c>
      <c r="Q48" s="265"/>
      <c r="R48" s="266"/>
      <c r="S48" s="275">
        <f t="shared" si="5"/>
        <v>1283.3300000000002</v>
      </c>
    </row>
    <row r="49" spans="1:19" x14ac:dyDescent="0.25">
      <c r="A49" s="122"/>
      <c r="B49" s="83">
        <f t="shared" si="2"/>
        <v>0</v>
      </c>
      <c r="C49" s="15"/>
      <c r="D49" s="264"/>
      <c r="E49" s="293"/>
      <c r="F49" s="264">
        <f t="shared" si="0"/>
        <v>0</v>
      </c>
      <c r="G49" s="265"/>
      <c r="H49" s="266"/>
      <c r="I49" s="275">
        <f t="shared" si="3"/>
        <v>0</v>
      </c>
      <c r="K49" s="122"/>
      <c r="L49" s="83">
        <f t="shared" si="4"/>
        <v>110</v>
      </c>
      <c r="M49" s="15"/>
      <c r="N49" s="264"/>
      <c r="O49" s="293"/>
      <c r="P49" s="264">
        <f t="shared" si="1"/>
        <v>0</v>
      </c>
      <c r="Q49" s="265"/>
      <c r="R49" s="266"/>
      <c r="S49" s="275">
        <f t="shared" si="5"/>
        <v>1283.3300000000002</v>
      </c>
    </row>
    <row r="50" spans="1:19" x14ac:dyDescent="0.25">
      <c r="A50" s="122"/>
      <c r="B50" s="83">
        <f t="shared" si="2"/>
        <v>0</v>
      </c>
      <c r="C50" s="15"/>
      <c r="D50" s="264"/>
      <c r="E50" s="293"/>
      <c r="F50" s="264">
        <f t="shared" si="0"/>
        <v>0</v>
      </c>
      <c r="G50" s="265"/>
      <c r="H50" s="266"/>
      <c r="I50" s="275">
        <f t="shared" si="3"/>
        <v>0</v>
      </c>
      <c r="K50" s="122"/>
      <c r="L50" s="83">
        <f t="shared" si="4"/>
        <v>110</v>
      </c>
      <c r="M50" s="15"/>
      <c r="N50" s="264"/>
      <c r="O50" s="293"/>
      <c r="P50" s="264">
        <f t="shared" si="1"/>
        <v>0</v>
      </c>
      <c r="Q50" s="265"/>
      <c r="R50" s="266"/>
      <c r="S50" s="275">
        <f t="shared" si="5"/>
        <v>1283.3300000000002</v>
      </c>
    </row>
    <row r="51" spans="1:19" x14ac:dyDescent="0.25">
      <c r="A51" s="122"/>
      <c r="B51" s="83">
        <f t="shared" si="2"/>
        <v>0</v>
      </c>
      <c r="C51" s="15"/>
      <c r="D51" s="264"/>
      <c r="E51" s="293"/>
      <c r="F51" s="264">
        <f t="shared" si="0"/>
        <v>0</v>
      </c>
      <c r="G51" s="265"/>
      <c r="H51" s="266"/>
      <c r="I51" s="275">
        <f t="shared" si="3"/>
        <v>0</v>
      </c>
      <c r="K51" s="122"/>
      <c r="L51" s="83">
        <f t="shared" si="4"/>
        <v>110</v>
      </c>
      <c r="M51" s="15"/>
      <c r="N51" s="264"/>
      <c r="O51" s="293"/>
      <c r="P51" s="264">
        <f t="shared" si="1"/>
        <v>0</v>
      </c>
      <c r="Q51" s="265"/>
      <c r="R51" s="266"/>
      <c r="S51" s="275">
        <f t="shared" si="5"/>
        <v>1283.3300000000002</v>
      </c>
    </row>
    <row r="52" spans="1:19" x14ac:dyDescent="0.25">
      <c r="A52" s="122"/>
      <c r="B52" s="83">
        <f t="shared" si="2"/>
        <v>0</v>
      </c>
      <c r="C52" s="15"/>
      <c r="D52" s="264"/>
      <c r="E52" s="293"/>
      <c r="F52" s="264">
        <f t="shared" si="0"/>
        <v>0</v>
      </c>
      <c r="G52" s="265"/>
      <c r="H52" s="266"/>
      <c r="I52" s="275">
        <f t="shared" si="3"/>
        <v>0</v>
      </c>
      <c r="K52" s="122"/>
      <c r="L52" s="83">
        <f t="shared" si="4"/>
        <v>110</v>
      </c>
      <c r="M52" s="15"/>
      <c r="N52" s="264"/>
      <c r="O52" s="293"/>
      <c r="P52" s="264">
        <f t="shared" si="1"/>
        <v>0</v>
      </c>
      <c r="Q52" s="265"/>
      <c r="R52" s="266"/>
      <c r="S52" s="275">
        <f t="shared" si="5"/>
        <v>1283.3300000000002</v>
      </c>
    </row>
    <row r="53" spans="1:19" x14ac:dyDescent="0.25">
      <c r="A53" s="122"/>
      <c r="B53" s="83">
        <f t="shared" si="2"/>
        <v>0</v>
      </c>
      <c r="C53" s="15"/>
      <c r="D53" s="264"/>
      <c r="E53" s="293"/>
      <c r="F53" s="264">
        <f t="shared" si="0"/>
        <v>0</v>
      </c>
      <c r="G53" s="265"/>
      <c r="H53" s="266"/>
      <c r="I53" s="275">
        <f t="shared" si="3"/>
        <v>0</v>
      </c>
      <c r="K53" s="122"/>
      <c r="L53" s="83">
        <f t="shared" si="4"/>
        <v>110</v>
      </c>
      <c r="M53" s="15"/>
      <c r="N53" s="264"/>
      <c r="O53" s="293"/>
      <c r="P53" s="264">
        <f t="shared" si="1"/>
        <v>0</v>
      </c>
      <c r="Q53" s="265"/>
      <c r="R53" s="266"/>
      <c r="S53" s="275">
        <f t="shared" si="5"/>
        <v>1283.3300000000002</v>
      </c>
    </row>
    <row r="54" spans="1:19" x14ac:dyDescent="0.25">
      <c r="A54" s="122"/>
      <c r="B54" s="83">
        <f t="shared" si="2"/>
        <v>0</v>
      </c>
      <c r="C54" s="15"/>
      <c r="D54" s="264"/>
      <c r="E54" s="293"/>
      <c r="F54" s="264">
        <f t="shared" si="0"/>
        <v>0</v>
      </c>
      <c r="G54" s="265"/>
      <c r="H54" s="266"/>
      <c r="I54" s="275">
        <f t="shared" si="3"/>
        <v>0</v>
      </c>
      <c r="K54" s="122"/>
      <c r="L54" s="83">
        <f t="shared" si="4"/>
        <v>110</v>
      </c>
      <c r="M54" s="15"/>
      <c r="N54" s="264"/>
      <c r="O54" s="293"/>
      <c r="P54" s="264">
        <f t="shared" si="1"/>
        <v>0</v>
      </c>
      <c r="Q54" s="265"/>
      <c r="R54" s="266"/>
      <c r="S54" s="275">
        <f t="shared" si="5"/>
        <v>1283.3300000000002</v>
      </c>
    </row>
    <row r="55" spans="1:19" x14ac:dyDescent="0.25">
      <c r="A55" s="122"/>
      <c r="B55" s="12">
        <f>B54-C55</f>
        <v>0</v>
      </c>
      <c r="C55" s="15"/>
      <c r="D55" s="264"/>
      <c r="E55" s="293"/>
      <c r="F55" s="264">
        <f t="shared" si="0"/>
        <v>0</v>
      </c>
      <c r="G55" s="265"/>
      <c r="H55" s="266"/>
      <c r="I55" s="275">
        <f t="shared" si="3"/>
        <v>0</v>
      </c>
      <c r="K55" s="122"/>
      <c r="L55" s="12">
        <f>L54-M55</f>
        <v>110</v>
      </c>
      <c r="M55" s="15"/>
      <c r="N55" s="264"/>
      <c r="O55" s="293"/>
      <c r="P55" s="264">
        <f t="shared" si="1"/>
        <v>0</v>
      </c>
      <c r="Q55" s="265"/>
      <c r="R55" s="266"/>
      <c r="S55" s="275">
        <f t="shared" si="5"/>
        <v>1283.3300000000002</v>
      </c>
    </row>
    <row r="56" spans="1:19" x14ac:dyDescent="0.25">
      <c r="A56" s="122"/>
      <c r="B56" s="12">
        <f t="shared" ref="B56:B75" si="6">B55-C56</f>
        <v>0</v>
      </c>
      <c r="C56" s="15"/>
      <c r="D56" s="264"/>
      <c r="E56" s="293"/>
      <c r="F56" s="264">
        <f t="shared" si="0"/>
        <v>0</v>
      </c>
      <c r="G56" s="265"/>
      <c r="H56" s="266"/>
      <c r="I56" s="275">
        <f t="shared" si="3"/>
        <v>0</v>
      </c>
      <c r="K56" s="122"/>
      <c r="L56" s="12">
        <f t="shared" ref="L56:L75" si="7">L55-M56</f>
        <v>110</v>
      </c>
      <c r="M56" s="15"/>
      <c r="N56" s="264"/>
      <c r="O56" s="293"/>
      <c r="P56" s="264">
        <f t="shared" si="1"/>
        <v>0</v>
      </c>
      <c r="Q56" s="265"/>
      <c r="R56" s="266"/>
      <c r="S56" s="275">
        <f t="shared" si="5"/>
        <v>1283.3300000000002</v>
      </c>
    </row>
    <row r="57" spans="1:19" x14ac:dyDescent="0.25">
      <c r="A57" s="122"/>
      <c r="B57" s="12">
        <f t="shared" si="6"/>
        <v>0</v>
      </c>
      <c r="C57" s="15"/>
      <c r="D57" s="264"/>
      <c r="E57" s="293"/>
      <c r="F57" s="264">
        <f t="shared" si="0"/>
        <v>0</v>
      </c>
      <c r="G57" s="265"/>
      <c r="H57" s="266"/>
      <c r="I57" s="275">
        <f t="shared" si="3"/>
        <v>0</v>
      </c>
      <c r="K57" s="122"/>
      <c r="L57" s="12">
        <f t="shared" si="7"/>
        <v>110</v>
      </c>
      <c r="M57" s="15"/>
      <c r="N57" s="264"/>
      <c r="O57" s="293"/>
      <c r="P57" s="264">
        <f t="shared" si="1"/>
        <v>0</v>
      </c>
      <c r="Q57" s="265"/>
      <c r="R57" s="266"/>
      <c r="S57" s="275">
        <f t="shared" si="5"/>
        <v>1283.3300000000002</v>
      </c>
    </row>
    <row r="58" spans="1:19" x14ac:dyDescent="0.25">
      <c r="A58" s="122"/>
      <c r="B58" s="12">
        <f t="shared" si="6"/>
        <v>0</v>
      </c>
      <c r="C58" s="15"/>
      <c r="D58" s="264"/>
      <c r="E58" s="293"/>
      <c r="F58" s="264">
        <f t="shared" si="0"/>
        <v>0</v>
      </c>
      <c r="G58" s="265"/>
      <c r="H58" s="266"/>
      <c r="I58" s="275">
        <f t="shared" si="3"/>
        <v>0</v>
      </c>
      <c r="K58" s="122"/>
      <c r="L58" s="12">
        <f t="shared" si="7"/>
        <v>110</v>
      </c>
      <c r="M58" s="15"/>
      <c r="N58" s="264"/>
      <c r="O58" s="293"/>
      <c r="P58" s="264">
        <f t="shared" si="1"/>
        <v>0</v>
      </c>
      <c r="Q58" s="265"/>
      <c r="R58" s="266"/>
      <c r="S58" s="275">
        <f t="shared" si="5"/>
        <v>1283.3300000000002</v>
      </c>
    </row>
    <row r="59" spans="1:19" x14ac:dyDescent="0.25">
      <c r="A59" s="122"/>
      <c r="B59" s="12">
        <f t="shared" si="6"/>
        <v>0</v>
      </c>
      <c r="C59" s="15"/>
      <c r="D59" s="264"/>
      <c r="E59" s="293"/>
      <c r="F59" s="264">
        <f t="shared" si="0"/>
        <v>0</v>
      </c>
      <c r="G59" s="265"/>
      <c r="H59" s="266"/>
      <c r="I59" s="275">
        <f t="shared" si="3"/>
        <v>0</v>
      </c>
      <c r="K59" s="122"/>
      <c r="L59" s="12">
        <f t="shared" si="7"/>
        <v>110</v>
      </c>
      <c r="M59" s="15"/>
      <c r="N59" s="264"/>
      <c r="O59" s="293"/>
      <c r="P59" s="264">
        <f t="shared" si="1"/>
        <v>0</v>
      </c>
      <c r="Q59" s="265"/>
      <c r="R59" s="266"/>
      <c r="S59" s="275">
        <f t="shared" si="5"/>
        <v>1283.3300000000002</v>
      </c>
    </row>
    <row r="60" spans="1:19" x14ac:dyDescent="0.25">
      <c r="A60" s="122"/>
      <c r="B60" s="12">
        <f t="shared" si="6"/>
        <v>0</v>
      </c>
      <c r="C60" s="15"/>
      <c r="D60" s="264"/>
      <c r="E60" s="293"/>
      <c r="F60" s="264">
        <f t="shared" si="0"/>
        <v>0</v>
      </c>
      <c r="G60" s="265"/>
      <c r="H60" s="266"/>
      <c r="I60" s="275">
        <f t="shared" si="3"/>
        <v>0</v>
      </c>
      <c r="K60" s="122"/>
      <c r="L60" s="12">
        <f t="shared" si="7"/>
        <v>110</v>
      </c>
      <c r="M60" s="15"/>
      <c r="N60" s="264"/>
      <c r="O60" s="293"/>
      <c r="P60" s="264">
        <f t="shared" si="1"/>
        <v>0</v>
      </c>
      <c r="Q60" s="265"/>
      <c r="R60" s="266"/>
      <c r="S60" s="275">
        <f t="shared" si="5"/>
        <v>1283.3300000000002</v>
      </c>
    </row>
    <row r="61" spans="1:19" x14ac:dyDescent="0.25">
      <c r="A61" s="122"/>
      <c r="B61" s="12">
        <f t="shared" si="6"/>
        <v>0</v>
      </c>
      <c r="C61" s="15"/>
      <c r="D61" s="264"/>
      <c r="E61" s="293"/>
      <c r="F61" s="264">
        <f t="shared" si="0"/>
        <v>0</v>
      </c>
      <c r="G61" s="265"/>
      <c r="H61" s="266"/>
      <c r="I61" s="275">
        <f t="shared" si="3"/>
        <v>0</v>
      </c>
      <c r="K61" s="122"/>
      <c r="L61" s="12">
        <f t="shared" si="7"/>
        <v>110</v>
      </c>
      <c r="M61" s="15"/>
      <c r="N61" s="264"/>
      <c r="O61" s="293"/>
      <c r="P61" s="264">
        <f t="shared" si="1"/>
        <v>0</v>
      </c>
      <c r="Q61" s="265"/>
      <c r="R61" s="266"/>
      <c r="S61" s="275">
        <f t="shared" si="5"/>
        <v>1283.3300000000002</v>
      </c>
    </row>
    <row r="62" spans="1:19" x14ac:dyDescent="0.25">
      <c r="A62" s="122"/>
      <c r="B62" s="12">
        <f t="shared" si="6"/>
        <v>0</v>
      </c>
      <c r="C62" s="15"/>
      <c r="D62" s="264"/>
      <c r="E62" s="293"/>
      <c r="F62" s="264">
        <f t="shared" si="0"/>
        <v>0</v>
      </c>
      <c r="G62" s="265"/>
      <c r="H62" s="266"/>
      <c r="I62" s="275">
        <f t="shared" si="3"/>
        <v>0</v>
      </c>
      <c r="K62" s="122"/>
      <c r="L62" s="12">
        <f t="shared" si="7"/>
        <v>110</v>
      </c>
      <c r="M62" s="15"/>
      <c r="N62" s="264"/>
      <c r="O62" s="293"/>
      <c r="P62" s="264">
        <f t="shared" si="1"/>
        <v>0</v>
      </c>
      <c r="Q62" s="265"/>
      <c r="R62" s="266"/>
      <c r="S62" s="275">
        <f t="shared" si="5"/>
        <v>1283.3300000000002</v>
      </c>
    </row>
    <row r="63" spans="1:19" x14ac:dyDescent="0.25">
      <c r="A63" s="122"/>
      <c r="B63" s="12">
        <f t="shared" si="6"/>
        <v>0</v>
      </c>
      <c r="C63" s="15"/>
      <c r="D63" s="264"/>
      <c r="E63" s="293"/>
      <c r="F63" s="264">
        <f t="shared" si="0"/>
        <v>0</v>
      </c>
      <c r="G63" s="265"/>
      <c r="H63" s="266"/>
      <c r="I63" s="275">
        <f t="shared" si="3"/>
        <v>0</v>
      </c>
      <c r="K63" s="122"/>
      <c r="L63" s="12">
        <f t="shared" si="7"/>
        <v>110</v>
      </c>
      <c r="M63" s="15"/>
      <c r="N63" s="264"/>
      <c r="O63" s="293"/>
      <c r="P63" s="264">
        <f t="shared" si="1"/>
        <v>0</v>
      </c>
      <c r="Q63" s="265"/>
      <c r="R63" s="266"/>
      <c r="S63" s="275">
        <f t="shared" si="5"/>
        <v>1283.3300000000002</v>
      </c>
    </row>
    <row r="64" spans="1:19" x14ac:dyDescent="0.25">
      <c r="A64" s="122"/>
      <c r="B64" s="12">
        <f t="shared" si="6"/>
        <v>0</v>
      </c>
      <c r="C64" s="15"/>
      <c r="D64" s="264"/>
      <c r="E64" s="293"/>
      <c r="F64" s="264">
        <f t="shared" si="0"/>
        <v>0</v>
      </c>
      <c r="G64" s="265"/>
      <c r="H64" s="266"/>
      <c r="I64" s="275">
        <f t="shared" si="3"/>
        <v>0</v>
      </c>
      <c r="K64" s="122"/>
      <c r="L64" s="12">
        <f t="shared" si="7"/>
        <v>110</v>
      </c>
      <c r="M64" s="15"/>
      <c r="N64" s="264"/>
      <c r="O64" s="293"/>
      <c r="P64" s="264">
        <f t="shared" si="1"/>
        <v>0</v>
      </c>
      <c r="Q64" s="265"/>
      <c r="R64" s="266"/>
      <c r="S64" s="275">
        <f t="shared" si="5"/>
        <v>1283.3300000000002</v>
      </c>
    </row>
    <row r="65" spans="1:19" x14ac:dyDescent="0.25">
      <c r="A65" s="122"/>
      <c r="B65" s="12">
        <f t="shared" si="6"/>
        <v>0</v>
      </c>
      <c r="C65" s="15"/>
      <c r="D65" s="264"/>
      <c r="E65" s="293"/>
      <c r="F65" s="264">
        <f t="shared" si="0"/>
        <v>0</v>
      </c>
      <c r="G65" s="265"/>
      <c r="H65" s="266"/>
      <c r="I65" s="275">
        <f t="shared" si="3"/>
        <v>0</v>
      </c>
      <c r="K65" s="122"/>
      <c r="L65" s="12">
        <f t="shared" si="7"/>
        <v>110</v>
      </c>
      <c r="M65" s="15"/>
      <c r="N65" s="264"/>
      <c r="O65" s="293"/>
      <c r="P65" s="264">
        <f t="shared" si="1"/>
        <v>0</v>
      </c>
      <c r="Q65" s="265"/>
      <c r="R65" s="266"/>
      <c r="S65" s="275">
        <f t="shared" si="5"/>
        <v>1283.3300000000002</v>
      </c>
    </row>
    <row r="66" spans="1:19" x14ac:dyDescent="0.25">
      <c r="A66" s="122"/>
      <c r="B66" s="12">
        <f t="shared" si="6"/>
        <v>0</v>
      </c>
      <c r="C66" s="15"/>
      <c r="D66" s="264"/>
      <c r="E66" s="293"/>
      <c r="F66" s="264">
        <f t="shared" si="0"/>
        <v>0</v>
      </c>
      <c r="G66" s="265"/>
      <c r="H66" s="266"/>
      <c r="I66" s="275">
        <f t="shared" si="3"/>
        <v>0</v>
      </c>
      <c r="K66" s="122"/>
      <c r="L66" s="12">
        <f t="shared" si="7"/>
        <v>110</v>
      </c>
      <c r="M66" s="15"/>
      <c r="N66" s="264"/>
      <c r="O66" s="293"/>
      <c r="P66" s="264">
        <f t="shared" si="1"/>
        <v>0</v>
      </c>
      <c r="Q66" s="265"/>
      <c r="R66" s="266"/>
      <c r="S66" s="275">
        <f t="shared" si="5"/>
        <v>1283.3300000000002</v>
      </c>
    </row>
    <row r="67" spans="1:19" x14ac:dyDescent="0.25">
      <c r="A67" s="122"/>
      <c r="B67" s="12">
        <f t="shared" si="6"/>
        <v>0</v>
      </c>
      <c r="C67" s="15"/>
      <c r="D67" s="69"/>
      <c r="E67" s="216"/>
      <c r="F67" s="69">
        <f t="shared" si="0"/>
        <v>0</v>
      </c>
      <c r="G67" s="70"/>
      <c r="H67" s="71"/>
      <c r="I67" s="275">
        <f t="shared" si="3"/>
        <v>0</v>
      </c>
      <c r="K67" s="122"/>
      <c r="L67" s="12">
        <f t="shared" si="7"/>
        <v>110</v>
      </c>
      <c r="M67" s="15"/>
      <c r="N67" s="69"/>
      <c r="O67" s="216"/>
      <c r="P67" s="69">
        <f t="shared" si="1"/>
        <v>0</v>
      </c>
      <c r="Q67" s="70"/>
      <c r="R67" s="71"/>
      <c r="S67" s="275">
        <f t="shared" si="5"/>
        <v>1283.3300000000002</v>
      </c>
    </row>
    <row r="68" spans="1:19" x14ac:dyDescent="0.25">
      <c r="A68" s="122"/>
      <c r="B68" s="12">
        <f t="shared" si="6"/>
        <v>0</v>
      </c>
      <c r="C68" s="15"/>
      <c r="D68" s="59"/>
      <c r="E68" s="223"/>
      <c r="F68" s="69">
        <f t="shared" si="0"/>
        <v>0</v>
      </c>
      <c r="G68" s="70"/>
      <c r="H68" s="71"/>
      <c r="I68" s="275">
        <f t="shared" si="3"/>
        <v>0</v>
      </c>
      <c r="K68" s="122"/>
      <c r="L68" s="12">
        <f t="shared" si="7"/>
        <v>110</v>
      </c>
      <c r="M68" s="15"/>
      <c r="N68" s="59"/>
      <c r="O68" s="223"/>
      <c r="P68" s="69">
        <f t="shared" si="1"/>
        <v>0</v>
      </c>
      <c r="Q68" s="70"/>
      <c r="R68" s="71"/>
      <c r="S68" s="275">
        <f t="shared" si="5"/>
        <v>1283.3300000000002</v>
      </c>
    </row>
    <row r="69" spans="1:19" x14ac:dyDescent="0.25">
      <c r="A69" s="122"/>
      <c r="B69" s="12">
        <f t="shared" si="6"/>
        <v>0</v>
      </c>
      <c r="C69" s="15"/>
      <c r="D69" s="59"/>
      <c r="E69" s="223"/>
      <c r="F69" s="69">
        <f t="shared" si="0"/>
        <v>0</v>
      </c>
      <c r="G69" s="70"/>
      <c r="H69" s="71"/>
      <c r="I69" s="275">
        <f t="shared" si="3"/>
        <v>0</v>
      </c>
      <c r="K69" s="122"/>
      <c r="L69" s="12">
        <f t="shared" si="7"/>
        <v>110</v>
      </c>
      <c r="M69" s="15"/>
      <c r="N69" s="59"/>
      <c r="O69" s="223"/>
      <c r="P69" s="69">
        <f t="shared" si="1"/>
        <v>0</v>
      </c>
      <c r="Q69" s="70"/>
      <c r="R69" s="71"/>
      <c r="S69" s="275">
        <f t="shared" si="5"/>
        <v>1283.3300000000002</v>
      </c>
    </row>
    <row r="70" spans="1:19" x14ac:dyDescent="0.25">
      <c r="A70" s="122"/>
      <c r="B70" s="12">
        <f t="shared" si="6"/>
        <v>0</v>
      </c>
      <c r="C70" s="15"/>
      <c r="D70" s="59"/>
      <c r="E70" s="223"/>
      <c r="F70" s="69">
        <f t="shared" si="0"/>
        <v>0</v>
      </c>
      <c r="G70" s="70"/>
      <c r="H70" s="71"/>
      <c r="I70" s="275">
        <f t="shared" si="3"/>
        <v>0</v>
      </c>
      <c r="K70" s="122"/>
      <c r="L70" s="12">
        <f t="shared" si="7"/>
        <v>110</v>
      </c>
      <c r="M70" s="15"/>
      <c r="N70" s="59"/>
      <c r="O70" s="223"/>
      <c r="P70" s="69">
        <f t="shared" si="1"/>
        <v>0</v>
      </c>
      <c r="Q70" s="70"/>
      <c r="R70" s="71"/>
      <c r="S70" s="275">
        <f t="shared" si="5"/>
        <v>1283.3300000000002</v>
      </c>
    </row>
    <row r="71" spans="1:19" x14ac:dyDescent="0.25">
      <c r="A71" s="122"/>
      <c r="B71" s="12">
        <f t="shared" si="6"/>
        <v>0</v>
      </c>
      <c r="C71" s="15"/>
      <c r="D71" s="59"/>
      <c r="E71" s="223"/>
      <c r="F71" s="69">
        <f t="shared" si="0"/>
        <v>0</v>
      </c>
      <c r="G71" s="70"/>
      <c r="H71" s="71"/>
      <c r="I71" s="275">
        <f t="shared" si="3"/>
        <v>0</v>
      </c>
      <c r="K71" s="122"/>
      <c r="L71" s="12">
        <f t="shared" si="7"/>
        <v>110</v>
      </c>
      <c r="M71" s="15"/>
      <c r="N71" s="59"/>
      <c r="O71" s="223"/>
      <c r="P71" s="69">
        <f t="shared" si="1"/>
        <v>0</v>
      </c>
      <c r="Q71" s="70"/>
      <c r="R71" s="71"/>
      <c r="S71" s="275">
        <f t="shared" si="5"/>
        <v>1283.3300000000002</v>
      </c>
    </row>
    <row r="72" spans="1:19" x14ac:dyDescent="0.25">
      <c r="A72" s="122"/>
      <c r="B72" s="12">
        <f t="shared" si="6"/>
        <v>0</v>
      </c>
      <c r="C72" s="15"/>
      <c r="D72" s="59"/>
      <c r="E72" s="223"/>
      <c r="F72" s="69">
        <f t="shared" si="0"/>
        <v>0</v>
      </c>
      <c r="G72" s="70"/>
      <c r="H72" s="71"/>
      <c r="I72" s="275">
        <f t="shared" si="3"/>
        <v>0</v>
      </c>
      <c r="K72" s="122"/>
      <c r="L72" s="12">
        <f t="shared" si="7"/>
        <v>110</v>
      </c>
      <c r="M72" s="15"/>
      <c r="N72" s="59"/>
      <c r="O72" s="223"/>
      <c r="P72" s="69">
        <f t="shared" si="1"/>
        <v>0</v>
      </c>
      <c r="Q72" s="70"/>
      <c r="R72" s="71"/>
      <c r="S72" s="275">
        <f t="shared" si="5"/>
        <v>1283.3300000000002</v>
      </c>
    </row>
    <row r="73" spans="1:19" x14ac:dyDescent="0.25">
      <c r="A73" s="122"/>
      <c r="B73" s="12">
        <f t="shared" si="6"/>
        <v>0</v>
      </c>
      <c r="C73" s="15"/>
      <c r="D73" s="59"/>
      <c r="E73" s="223"/>
      <c r="F73" s="69">
        <f t="shared" ref="F73" si="8">D73</f>
        <v>0</v>
      </c>
      <c r="G73" s="70"/>
      <c r="H73" s="71"/>
      <c r="I73" s="275">
        <f t="shared" si="3"/>
        <v>0</v>
      </c>
      <c r="K73" s="122"/>
      <c r="L73" s="12">
        <f t="shared" si="7"/>
        <v>110</v>
      </c>
      <c r="M73" s="15"/>
      <c r="N73" s="59"/>
      <c r="O73" s="223"/>
      <c r="P73" s="69">
        <f t="shared" ref="P73" si="9">N73</f>
        <v>0</v>
      </c>
      <c r="Q73" s="70"/>
      <c r="R73" s="71"/>
      <c r="S73" s="275">
        <f t="shared" si="5"/>
        <v>1283.3300000000002</v>
      </c>
    </row>
    <row r="74" spans="1:19" x14ac:dyDescent="0.25">
      <c r="A74" s="122"/>
      <c r="B74" s="12">
        <f t="shared" si="6"/>
        <v>0</v>
      </c>
      <c r="C74" s="15"/>
      <c r="D74" s="59"/>
      <c r="E74" s="223"/>
      <c r="F74" s="69">
        <f>D74</f>
        <v>0</v>
      </c>
      <c r="G74" s="70"/>
      <c r="H74" s="71"/>
      <c r="I74" s="275">
        <f t="shared" si="3"/>
        <v>0</v>
      </c>
      <c r="K74" s="122"/>
      <c r="L74" s="12">
        <f t="shared" si="7"/>
        <v>110</v>
      </c>
      <c r="M74" s="15"/>
      <c r="N74" s="59"/>
      <c r="O74" s="223"/>
      <c r="P74" s="69">
        <f>N74</f>
        <v>0</v>
      </c>
      <c r="Q74" s="70"/>
      <c r="R74" s="71"/>
      <c r="S74" s="275">
        <f t="shared" si="5"/>
        <v>1283.3300000000002</v>
      </c>
    </row>
    <row r="75" spans="1:19" x14ac:dyDescent="0.25">
      <c r="A75" s="122"/>
      <c r="B75" s="12">
        <f t="shared" si="6"/>
        <v>0</v>
      </c>
      <c r="C75" s="15"/>
      <c r="D75" s="59"/>
      <c r="E75" s="223"/>
      <c r="F75" s="69">
        <f>D75</f>
        <v>0</v>
      </c>
      <c r="G75" s="70"/>
      <c r="H75" s="71"/>
      <c r="I75" s="275">
        <f t="shared" ref="I75:I76" si="10">I74-F75</f>
        <v>0</v>
      </c>
      <c r="K75" s="122"/>
      <c r="L75" s="12">
        <f t="shared" si="7"/>
        <v>110</v>
      </c>
      <c r="M75" s="15"/>
      <c r="N75" s="59"/>
      <c r="O75" s="223"/>
      <c r="P75" s="69">
        <f>N75</f>
        <v>0</v>
      </c>
      <c r="Q75" s="70"/>
      <c r="R75" s="71"/>
      <c r="S75" s="275">
        <f t="shared" ref="S75:S76" si="11">S74-P75</f>
        <v>1283.3300000000002</v>
      </c>
    </row>
    <row r="76" spans="1:19" x14ac:dyDescent="0.25">
      <c r="A76" s="122"/>
      <c r="C76" s="15"/>
      <c r="D76" s="59"/>
      <c r="E76" s="223"/>
      <c r="F76" s="69">
        <f>D76</f>
        <v>0</v>
      </c>
      <c r="G76" s="70"/>
      <c r="H76" s="71"/>
      <c r="I76" s="275">
        <f t="shared" si="10"/>
        <v>0</v>
      </c>
      <c r="K76" s="122"/>
      <c r="M76" s="15"/>
      <c r="N76" s="59"/>
      <c r="O76" s="223"/>
      <c r="P76" s="69">
        <f>N76</f>
        <v>0</v>
      </c>
      <c r="Q76" s="70"/>
      <c r="R76" s="71"/>
      <c r="S76" s="275">
        <f t="shared" si="11"/>
        <v>1283.3300000000002</v>
      </c>
    </row>
    <row r="77" spans="1:1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</row>
    <row r="78" spans="1:19" x14ac:dyDescent="0.25">
      <c r="C78" s="53">
        <f>SUM(C9:C77)</f>
        <v>119</v>
      </c>
      <c r="D78" s="6">
        <f>SUM(D9:D77)</f>
        <v>1296.0899999999999</v>
      </c>
      <c r="F78" s="6">
        <f>SUM(F9:F77)</f>
        <v>1407.37</v>
      </c>
      <c r="M78" s="53">
        <f>SUM(M9:M77)</f>
        <v>73</v>
      </c>
      <c r="N78" s="6">
        <f>SUM(N9:N77)</f>
        <v>838</v>
      </c>
      <c r="P78" s="6">
        <f>SUM(P9:P77)</f>
        <v>838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76</v>
      </c>
    </row>
    <row r="82" spans="3:16" ht="15.75" thickBot="1" x14ac:dyDescent="0.3"/>
    <row r="83" spans="3:16" ht="15.75" thickBot="1" x14ac:dyDescent="0.3">
      <c r="C83" s="1200" t="s">
        <v>11</v>
      </c>
      <c r="D83" s="1201"/>
      <c r="E83" s="57">
        <f>E5+E6-F78+E7</f>
        <v>2.2737367544323206E-13</v>
      </c>
      <c r="F83" s="73"/>
      <c r="M83" s="1200" t="s">
        <v>11</v>
      </c>
      <c r="N83" s="1201"/>
      <c r="O83" s="57">
        <f>O5+O6-P78+O7</f>
        <v>879.58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T84"/>
  <sheetViews>
    <sheetView topLeftCell="I1" zoomScaleNormal="100" workbookViewId="0">
      <pane ySplit="9" topLeftCell="A10" activePane="bottomLeft" state="frozen"/>
      <selection pane="bottomLeft" activeCell="S16" sqref="S16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98" t="s">
        <v>218</v>
      </c>
      <c r="B1" s="1198"/>
      <c r="C1" s="1198"/>
      <c r="D1" s="1198"/>
      <c r="E1" s="1198"/>
      <c r="F1" s="1198"/>
      <c r="G1" s="1198"/>
      <c r="H1" s="11">
        <v>1</v>
      </c>
      <c r="K1" s="1202" t="s">
        <v>240</v>
      </c>
      <c r="L1" s="1202"/>
      <c r="M1" s="1202"/>
      <c r="N1" s="1202"/>
      <c r="O1" s="1202"/>
      <c r="P1" s="1202"/>
      <c r="Q1" s="1202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customHeight="1" thickTop="1" x14ac:dyDescent="0.25">
      <c r="A4" s="659"/>
      <c r="B4" s="1205" t="s">
        <v>77</v>
      </c>
      <c r="C4" s="322"/>
      <c r="D4" s="248"/>
      <c r="E4" s="728"/>
      <c r="F4" s="243"/>
      <c r="G4" s="160"/>
      <c r="H4" s="160"/>
      <c r="K4" s="659"/>
      <c r="L4" s="1205" t="s">
        <v>77</v>
      </c>
      <c r="M4" s="322"/>
      <c r="N4" s="248"/>
      <c r="O4" s="728"/>
      <c r="P4" s="243"/>
      <c r="Q4" s="160"/>
      <c r="R4" s="160"/>
    </row>
    <row r="5" spans="1:19" ht="18.75" x14ac:dyDescent="0.25">
      <c r="A5" s="881" t="s">
        <v>122</v>
      </c>
      <c r="B5" s="1204"/>
      <c r="C5" s="322"/>
      <c r="D5" s="248">
        <v>44650</v>
      </c>
      <c r="E5" s="728">
        <v>17458.669999999998</v>
      </c>
      <c r="F5" s="243">
        <v>590</v>
      </c>
      <c r="G5" s="260"/>
      <c r="K5" s="881" t="s">
        <v>122</v>
      </c>
      <c r="L5" s="1204"/>
      <c r="M5" s="322"/>
      <c r="N5" s="248">
        <v>44692</v>
      </c>
      <c r="O5" s="728">
        <v>17106.91</v>
      </c>
      <c r="P5" s="243">
        <v>601</v>
      </c>
      <c r="Q5" s="260"/>
    </row>
    <row r="6" spans="1:19" x14ac:dyDescent="0.25">
      <c r="A6" s="878"/>
      <c r="B6" s="1204"/>
      <c r="C6" s="578"/>
      <c r="D6" s="248"/>
      <c r="E6" s="729"/>
      <c r="F6" s="73"/>
      <c r="G6" s="262">
        <f>F79</f>
        <v>17458.96</v>
      </c>
      <c r="H6" s="7">
        <f>E6-G6+E7+E5-G5+E4</f>
        <v>-0.29000000000087311</v>
      </c>
      <c r="K6" s="878"/>
      <c r="L6" s="1204"/>
      <c r="M6" s="578"/>
      <c r="N6" s="248"/>
      <c r="O6" s="729"/>
      <c r="P6" s="73"/>
      <c r="Q6" s="262">
        <f>P79</f>
        <v>3746.63</v>
      </c>
      <c r="R6" s="7">
        <f>O6-Q6+O7+O5-Q5+O4</f>
        <v>13360.279999999999</v>
      </c>
    </row>
    <row r="7" spans="1:19" x14ac:dyDescent="0.25">
      <c r="A7" s="877"/>
      <c r="B7" s="272"/>
      <c r="C7" s="283"/>
      <c r="D7" s="274"/>
      <c r="E7" s="728"/>
      <c r="F7" s="243"/>
      <c r="G7" s="240"/>
      <c r="K7" s="877"/>
      <c r="L7" s="272"/>
      <c r="M7" s="283"/>
      <c r="N7" s="274"/>
      <c r="O7" s="728"/>
      <c r="P7" s="243"/>
      <c r="Q7" s="240"/>
    </row>
    <row r="8" spans="1:19" ht="15.75" thickBot="1" x14ac:dyDescent="0.3">
      <c r="A8" s="659"/>
      <c r="B8" s="272"/>
      <c r="C8" s="283"/>
      <c r="D8" s="274"/>
      <c r="E8" s="728"/>
      <c r="F8" s="243"/>
      <c r="G8" s="240"/>
      <c r="K8" s="659"/>
      <c r="L8" s="272"/>
      <c r="M8" s="283"/>
      <c r="N8" s="274"/>
      <c r="O8" s="728"/>
      <c r="P8" s="243"/>
      <c r="Q8" s="240"/>
    </row>
    <row r="9" spans="1:1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K9" s="120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80" t="s">
        <v>32</v>
      </c>
      <c r="B10" s="83">
        <f>F6-C10+F5+F4+F7+F8</f>
        <v>585</v>
      </c>
      <c r="C10" s="15">
        <v>5</v>
      </c>
      <c r="D10" s="264">
        <v>144.19999999999999</v>
      </c>
      <c r="E10" s="293">
        <v>44652</v>
      </c>
      <c r="F10" s="264">
        <f t="shared" ref="F10:F73" si="0">D10</f>
        <v>144.19999999999999</v>
      </c>
      <c r="G10" s="265" t="s">
        <v>123</v>
      </c>
      <c r="H10" s="266">
        <v>140</v>
      </c>
      <c r="I10" s="275">
        <f>E6-F10+E5+E4+E7+E8</f>
        <v>17314.469999999998</v>
      </c>
      <c r="K10" s="80" t="s">
        <v>32</v>
      </c>
      <c r="L10" s="83">
        <f>P6-M10+P5+P4+P7+P8</f>
        <v>586</v>
      </c>
      <c r="M10" s="15">
        <v>15</v>
      </c>
      <c r="N10" s="264">
        <v>455.05</v>
      </c>
      <c r="O10" s="293">
        <v>44695</v>
      </c>
      <c r="P10" s="264">
        <f t="shared" ref="P10:P57" si="1">N10</f>
        <v>455.05</v>
      </c>
      <c r="Q10" s="265" t="s">
        <v>497</v>
      </c>
      <c r="R10" s="266">
        <v>134</v>
      </c>
      <c r="S10" s="275">
        <f>O6-P10+O5+O4+O7+O8</f>
        <v>16651.86</v>
      </c>
    </row>
    <row r="11" spans="1:19" x14ac:dyDescent="0.25">
      <c r="A11" s="876"/>
      <c r="B11" s="296">
        <f>B10-C11</f>
        <v>580</v>
      </c>
      <c r="C11" s="263">
        <v>5</v>
      </c>
      <c r="D11" s="264">
        <v>137.66</v>
      </c>
      <c r="E11" s="293">
        <v>44655</v>
      </c>
      <c r="F11" s="264">
        <f t="shared" si="0"/>
        <v>137.66</v>
      </c>
      <c r="G11" s="265" t="s">
        <v>124</v>
      </c>
      <c r="H11" s="266">
        <v>140</v>
      </c>
      <c r="I11" s="275">
        <f>I10-F11</f>
        <v>17176.809999999998</v>
      </c>
      <c r="K11" s="876"/>
      <c r="L11" s="296">
        <f>L10-M11</f>
        <v>585</v>
      </c>
      <c r="M11" s="263">
        <v>1</v>
      </c>
      <c r="N11" s="264">
        <v>25.31</v>
      </c>
      <c r="O11" s="293">
        <v>44698</v>
      </c>
      <c r="P11" s="264">
        <f t="shared" si="1"/>
        <v>25.31</v>
      </c>
      <c r="Q11" s="265" t="s">
        <v>492</v>
      </c>
      <c r="R11" s="266">
        <v>134</v>
      </c>
      <c r="S11" s="275">
        <f>S10-P11</f>
        <v>16626.55</v>
      </c>
    </row>
    <row r="12" spans="1:19" x14ac:dyDescent="0.25">
      <c r="A12" s="195"/>
      <c r="B12" s="83">
        <f t="shared" ref="B12:B75" si="2">B11-C12</f>
        <v>579</v>
      </c>
      <c r="C12" s="15">
        <v>1</v>
      </c>
      <c r="D12" s="264">
        <v>29.12</v>
      </c>
      <c r="E12" s="293">
        <v>44653</v>
      </c>
      <c r="F12" s="264">
        <f t="shared" si="0"/>
        <v>29.12</v>
      </c>
      <c r="G12" s="265" t="s">
        <v>126</v>
      </c>
      <c r="H12" s="266">
        <v>140</v>
      </c>
      <c r="I12" s="275">
        <f t="shared" ref="I12:I75" si="3">I11-F12</f>
        <v>17147.689999999999</v>
      </c>
      <c r="K12" s="195"/>
      <c r="L12" s="83">
        <f t="shared" ref="L12:L75" si="4">L11-M12</f>
        <v>555</v>
      </c>
      <c r="M12" s="15">
        <v>30</v>
      </c>
      <c r="N12" s="264">
        <v>834.62</v>
      </c>
      <c r="O12" s="293">
        <v>44698</v>
      </c>
      <c r="P12" s="264">
        <f t="shared" si="1"/>
        <v>834.62</v>
      </c>
      <c r="Q12" s="265" t="s">
        <v>515</v>
      </c>
      <c r="R12" s="266">
        <v>134</v>
      </c>
      <c r="S12" s="275">
        <f t="shared" ref="S12:S75" si="5">S11-P12</f>
        <v>15791.929999999998</v>
      </c>
    </row>
    <row r="13" spans="1:19" x14ac:dyDescent="0.25">
      <c r="A13" s="195"/>
      <c r="B13" s="83">
        <f t="shared" si="2"/>
        <v>577</v>
      </c>
      <c r="C13" s="15">
        <v>2</v>
      </c>
      <c r="D13" s="264">
        <v>62.77</v>
      </c>
      <c r="E13" s="293">
        <v>44656</v>
      </c>
      <c r="F13" s="264">
        <f t="shared" si="0"/>
        <v>62.77</v>
      </c>
      <c r="G13" s="265" t="s">
        <v>127</v>
      </c>
      <c r="H13" s="266">
        <v>140</v>
      </c>
      <c r="I13" s="275">
        <f t="shared" si="3"/>
        <v>17084.919999999998</v>
      </c>
      <c r="K13" s="195"/>
      <c r="L13" s="83">
        <f t="shared" si="4"/>
        <v>554</v>
      </c>
      <c r="M13" s="15">
        <v>1</v>
      </c>
      <c r="N13" s="264">
        <v>28.44</v>
      </c>
      <c r="O13" s="293">
        <v>44700</v>
      </c>
      <c r="P13" s="264">
        <f t="shared" si="1"/>
        <v>28.44</v>
      </c>
      <c r="Q13" s="265" t="s">
        <v>528</v>
      </c>
      <c r="R13" s="266">
        <v>134</v>
      </c>
      <c r="S13" s="275">
        <f t="shared" si="5"/>
        <v>15763.489999999998</v>
      </c>
    </row>
    <row r="14" spans="1:19" x14ac:dyDescent="0.25">
      <c r="A14" s="82" t="s">
        <v>33</v>
      </c>
      <c r="B14" s="83">
        <f t="shared" si="2"/>
        <v>576</v>
      </c>
      <c r="C14" s="15">
        <v>1</v>
      </c>
      <c r="D14" s="264">
        <v>33.25</v>
      </c>
      <c r="E14" s="293">
        <v>44656</v>
      </c>
      <c r="F14" s="264">
        <f t="shared" si="0"/>
        <v>33.25</v>
      </c>
      <c r="G14" s="265" t="s">
        <v>128</v>
      </c>
      <c r="H14" s="266">
        <v>140</v>
      </c>
      <c r="I14" s="275">
        <f t="shared" si="3"/>
        <v>17051.669999999998</v>
      </c>
      <c r="K14" s="82" t="s">
        <v>33</v>
      </c>
      <c r="L14" s="83">
        <f t="shared" si="4"/>
        <v>544</v>
      </c>
      <c r="M14" s="15">
        <v>10</v>
      </c>
      <c r="N14" s="264">
        <v>313.18</v>
      </c>
      <c r="O14" s="293">
        <v>44700</v>
      </c>
      <c r="P14" s="264">
        <f t="shared" si="1"/>
        <v>313.18</v>
      </c>
      <c r="Q14" s="265" t="s">
        <v>530</v>
      </c>
      <c r="R14" s="266">
        <v>134</v>
      </c>
      <c r="S14" s="275">
        <f t="shared" si="5"/>
        <v>15450.309999999998</v>
      </c>
    </row>
    <row r="15" spans="1:19" x14ac:dyDescent="0.25">
      <c r="A15" s="73"/>
      <c r="B15" s="83">
        <f t="shared" si="2"/>
        <v>566</v>
      </c>
      <c r="C15" s="15">
        <v>10</v>
      </c>
      <c r="D15" s="264">
        <v>301.33999999999997</v>
      </c>
      <c r="E15" s="293">
        <v>44657</v>
      </c>
      <c r="F15" s="264">
        <f t="shared" si="0"/>
        <v>301.33999999999997</v>
      </c>
      <c r="G15" s="265" t="s">
        <v>131</v>
      </c>
      <c r="H15" s="266">
        <v>140</v>
      </c>
      <c r="I15" s="275">
        <f t="shared" si="3"/>
        <v>16750.329999999998</v>
      </c>
      <c r="K15" s="73"/>
      <c r="L15" s="83">
        <f t="shared" si="4"/>
        <v>539</v>
      </c>
      <c r="M15" s="15">
        <v>5</v>
      </c>
      <c r="N15" s="264">
        <v>145.6</v>
      </c>
      <c r="O15" s="293">
        <v>44701</v>
      </c>
      <c r="P15" s="264">
        <f t="shared" si="1"/>
        <v>145.6</v>
      </c>
      <c r="Q15" s="265" t="s">
        <v>512</v>
      </c>
      <c r="R15" s="266">
        <v>134</v>
      </c>
      <c r="S15" s="275">
        <f t="shared" si="5"/>
        <v>15304.709999999997</v>
      </c>
    </row>
    <row r="16" spans="1:19" x14ac:dyDescent="0.25">
      <c r="A16" s="73"/>
      <c r="B16" s="83">
        <f t="shared" si="2"/>
        <v>540</v>
      </c>
      <c r="C16" s="15">
        <v>26</v>
      </c>
      <c r="D16" s="264">
        <f>493.99+284.28</f>
        <v>778.27</v>
      </c>
      <c r="E16" s="293">
        <v>44657</v>
      </c>
      <c r="F16" s="264">
        <f t="shared" si="0"/>
        <v>778.27</v>
      </c>
      <c r="G16" s="265" t="s">
        <v>133</v>
      </c>
      <c r="H16" s="266">
        <v>140</v>
      </c>
      <c r="I16" s="275">
        <f t="shared" si="3"/>
        <v>15972.059999999998</v>
      </c>
      <c r="K16" s="73"/>
      <c r="L16" s="83">
        <f t="shared" si="4"/>
        <v>509</v>
      </c>
      <c r="M16" s="15">
        <v>30</v>
      </c>
      <c r="N16" s="264">
        <v>831.39</v>
      </c>
      <c r="O16" s="293">
        <v>44701</v>
      </c>
      <c r="P16" s="264">
        <f t="shared" si="1"/>
        <v>831.39</v>
      </c>
      <c r="Q16" s="265" t="s">
        <v>543</v>
      </c>
      <c r="R16" s="266">
        <v>134</v>
      </c>
      <c r="S16" s="275">
        <f t="shared" si="5"/>
        <v>14473.319999999998</v>
      </c>
    </row>
    <row r="17" spans="1:19" x14ac:dyDescent="0.25">
      <c r="B17" s="83">
        <f t="shared" si="2"/>
        <v>535</v>
      </c>
      <c r="C17" s="15">
        <v>5</v>
      </c>
      <c r="D17" s="264">
        <v>145.43</v>
      </c>
      <c r="E17" s="293">
        <v>44659</v>
      </c>
      <c r="F17" s="264">
        <f t="shared" si="0"/>
        <v>145.43</v>
      </c>
      <c r="G17" s="265" t="s">
        <v>138</v>
      </c>
      <c r="H17" s="266">
        <v>139</v>
      </c>
      <c r="I17" s="275">
        <f t="shared" si="3"/>
        <v>15826.629999999997</v>
      </c>
      <c r="L17" s="83">
        <f t="shared" si="4"/>
        <v>504</v>
      </c>
      <c r="M17" s="15">
        <v>5</v>
      </c>
      <c r="N17" s="264">
        <v>132.99</v>
      </c>
      <c r="O17" s="293">
        <v>44702</v>
      </c>
      <c r="P17" s="264">
        <f t="shared" si="1"/>
        <v>132.99</v>
      </c>
      <c r="Q17" s="265" t="s">
        <v>546</v>
      </c>
      <c r="R17" s="266">
        <v>134</v>
      </c>
      <c r="S17" s="275">
        <f t="shared" si="5"/>
        <v>14340.329999999998</v>
      </c>
    </row>
    <row r="18" spans="1:19" x14ac:dyDescent="0.25">
      <c r="B18" s="83">
        <f t="shared" si="2"/>
        <v>534</v>
      </c>
      <c r="C18" s="15">
        <v>1</v>
      </c>
      <c r="D18" s="264">
        <v>29.03</v>
      </c>
      <c r="E18" s="293">
        <v>44660</v>
      </c>
      <c r="F18" s="264">
        <f t="shared" si="0"/>
        <v>29.03</v>
      </c>
      <c r="G18" s="265" t="s">
        <v>140</v>
      </c>
      <c r="H18" s="266">
        <v>139</v>
      </c>
      <c r="I18" s="275">
        <f t="shared" si="3"/>
        <v>15797.599999999997</v>
      </c>
      <c r="L18" s="83">
        <f t="shared" si="4"/>
        <v>474</v>
      </c>
      <c r="M18" s="15">
        <v>30</v>
      </c>
      <c r="N18" s="264">
        <v>845.34</v>
      </c>
      <c r="O18" s="293">
        <v>44702</v>
      </c>
      <c r="P18" s="264">
        <f t="shared" si="1"/>
        <v>845.34</v>
      </c>
      <c r="Q18" s="265" t="s">
        <v>554</v>
      </c>
      <c r="R18" s="266">
        <v>134</v>
      </c>
      <c r="S18" s="275">
        <f t="shared" si="5"/>
        <v>13494.989999999998</v>
      </c>
    </row>
    <row r="19" spans="1:19" x14ac:dyDescent="0.25">
      <c r="A19" s="122"/>
      <c r="B19" s="83">
        <f t="shared" si="2"/>
        <v>529</v>
      </c>
      <c r="C19" s="15">
        <v>5</v>
      </c>
      <c r="D19" s="264">
        <v>146.96</v>
      </c>
      <c r="E19" s="293">
        <v>44660</v>
      </c>
      <c r="F19" s="264">
        <f t="shared" si="0"/>
        <v>146.96</v>
      </c>
      <c r="G19" s="265" t="s">
        <v>141</v>
      </c>
      <c r="H19" s="266">
        <v>139</v>
      </c>
      <c r="I19" s="275">
        <f t="shared" si="3"/>
        <v>15650.639999999998</v>
      </c>
      <c r="K19" s="122"/>
      <c r="L19" s="83">
        <f t="shared" si="4"/>
        <v>469</v>
      </c>
      <c r="M19" s="15">
        <v>5</v>
      </c>
      <c r="N19" s="264">
        <v>134.71</v>
      </c>
      <c r="O19" s="293">
        <v>44702</v>
      </c>
      <c r="P19" s="264">
        <f t="shared" si="1"/>
        <v>134.71</v>
      </c>
      <c r="Q19" s="265" t="s">
        <v>555</v>
      </c>
      <c r="R19" s="266">
        <v>134</v>
      </c>
      <c r="S19" s="275">
        <f t="shared" si="5"/>
        <v>13360.279999999999</v>
      </c>
    </row>
    <row r="20" spans="1:19" x14ac:dyDescent="0.25">
      <c r="A20" s="122"/>
      <c r="B20" s="83">
        <f t="shared" si="2"/>
        <v>499</v>
      </c>
      <c r="C20" s="15">
        <v>30</v>
      </c>
      <c r="D20" s="264">
        <v>830.24</v>
      </c>
      <c r="E20" s="293">
        <v>44660</v>
      </c>
      <c r="F20" s="264">
        <f t="shared" si="0"/>
        <v>830.24</v>
      </c>
      <c r="G20" s="265" t="s">
        <v>142</v>
      </c>
      <c r="H20" s="266">
        <v>139</v>
      </c>
      <c r="I20" s="275">
        <f t="shared" si="3"/>
        <v>14820.399999999998</v>
      </c>
      <c r="K20" s="122"/>
      <c r="L20" s="83">
        <f t="shared" si="4"/>
        <v>469</v>
      </c>
      <c r="M20" s="15"/>
      <c r="N20" s="264"/>
      <c r="O20" s="293"/>
      <c r="P20" s="264">
        <f t="shared" si="1"/>
        <v>0</v>
      </c>
      <c r="Q20" s="265"/>
      <c r="R20" s="266"/>
      <c r="S20" s="275">
        <f t="shared" si="5"/>
        <v>13360.279999999999</v>
      </c>
    </row>
    <row r="21" spans="1:19" x14ac:dyDescent="0.25">
      <c r="A21" s="122"/>
      <c r="B21" s="83">
        <f t="shared" si="2"/>
        <v>498</v>
      </c>
      <c r="C21" s="15">
        <v>1</v>
      </c>
      <c r="D21" s="264">
        <v>25.54</v>
      </c>
      <c r="E21" s="293">
        <v>44660</v>
      </c>
      <c r="F21" s="264">
        <f t="shared" si="0"/>
        <v>25.54</v>
      </c>
      <c r="G21" s="265" t="s">
        <v>143</v>
      </c>
      <c r="H21" s="266">
        <v>139</v>
      </c>
      <c r="I21" s="275">
        <f t="shared" si="3"/>
        <v>14794.859999999997</v>
      </c>
      <c r="K21" s="122"/>
      <c r="L21" s="83">
        <f t="shared" si="4"/>
        <v>469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5"/>
        <v>13360.279999999999</v>
      </c>
    </row>
    <row r="22" spans="1:19" x14ac:dyDescent="0.25">
      <c r="A22" s="122"/>
      <c r="B22" s="83">
        <f t="shared" si="2"/>
        <v>468</v>
      </c>
      <c r="C22" s="15">
        <v>30</v>
      </c>
      <c r="D22" s="264">
        <v>917.41</v>
      </c>
      <c r="E22" s="293">
        <v>44663</v>
      </c>
      <c r="F22" s="264">
        <f t="shared" si="0"/>
        <v>917.41</v>
      </c>
      <c r="G22" s="265" t="s">
        <v>150</v>
      </c>
      <c r="H22" s="266">
        <v>139</v>
      </c>
      <c r="I22" s="275">
        <f t="shared" si="3"/>
        <v>13877.449999999997</v>
      </c>
      <c r="K22" s="122"/>
      <c r="L22" s="83">
        <f t="shared" si="4"/>
        <v>469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5"/>
        <v>13360.279999999999</v>
      </c>
    </row>
    <row r="23" spans="1:19" x14ac:dyDescent="0.25">
      <c r="A23" s="122"/>
      <c r="B23" s="83">
        <f t="shared" si="2"/>
        <v>466</v>
      </c>
      <c r="C23" s="15">
        <v>2</v>
      </c>
      <c r="D23" s="264">
        <v>58.88</v>
      </c>
      <c r="E23" s="293">
        <v>44665</v>
      </c>
      <c r="F23" s="264">
        <f t="shared" si="0"/>
        <v>58.88</v>
      </c>
      <c r="G23" s="265" t="s">
        <v>162</v>
      </c>
      <c r="H23" s="266">
        <v>139</v>
      </c>
      <c r="I23" s="275">
        <f t="shared" si="3"/>
        <v>13818.569999999998</v>
      </c>
      <c r="K23" s="122"/>
      <c r="L23" s="83">
        <f t="shared" si="4"/>
        <v>469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5"/>
        <v>13360.279999999999</v>
      </c>
    </row>
    <row r="24" spans="1:19" x14ac:dyDescent="0.25">
      <c r="A24" s="123"/>
      <c r="B24" s="83">
        <f t="shared" si="2"/>
        <v>436</v>
      </c>
      <c r="C24" s="15">
        <v>30</v>
      </c>
      <c r="D24" s="264">
        <v>857.68</v>
      </c>
      <c r="E24" s="293">
        <v>44665</v>
      </c>
      <c r="F24" s="264">
        <f t="shared" si="0"/>
        <v>857.68</v>
      </c>
      <c r="G24" s="265" t="s">
        <v>145</v>
      </c>
      <c r="H24" s="266">
        <v>139</v>
      </c>
      <c r="I24" s="275">
        <f t="shared" si="3"/>
        <v>12960.889999999998</v>
      </c>
      <c r="K24" s="123"/>
      <c r="L24" s="83">
        <f t="shared" si="4"/>
        <v>469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5"/>
        <v>13360.279999999999</v>
      </c>
    </row>
    <row r="25" spans="1:19" x14ac:dyDescent="0.25">
      <c r="A25" s="122"/>
      <c r="B25" s="83">
        <f t="shared" si="2"/>
        <v>406</v>
      </c>
      <c r="C25" s="15">
        <v>30</v>
      </c>
      <c r="D25" s="264">
        <v>839.78</v>
      </c>
      <c r="E25" s="293">
        <v>44665</v>
      </c>
      <c r="F25" s="264">
        <f t="shared" si="0"/>
        <v>839.78</v>
      </c>
      <c r="G25" s="265" t="s">
        <v>145</v>
      </c>
      <c r="H25" s="266">
        <v>139</v>
      </c>
      <c r="I25" s="275">
        <f t="shared" si="3"/>
        <v>12121.109999999997</v>
      </c>
      <c r="K25" s="122"/>
      <c r="L25" s="83">
        <f t="shared" si="4"/>
        <v>469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5"/>
        <v>13360.279999999999</v>
      </c>
    </row>
    <row r="26" spans="1:19" x14ac:dyDescent="0.25">
      <c r="A26" s="122"/>
      <c r="B26" s="83">
        <f t="shared" si="2"/>
        <v>405</v>
      </c>
      <c r="C26" s="15">
        <v>1</v>
      </c>
      <c r="D26" s="264">
        <v>27.31</v>
      </c>
      <c r="E26" s="293">
        <v>44667</v>
      </c>
      <c r="F26" s="264">
        <f t="shared" si="0"/>
        <v>27.31</v>
      </c>
      <c r="G26" s="265" t="s">
        <v>166</v>
      </c>
      <c r="H26" s="266">
        <v>139</v>
      </c>
      <c r="I26" s="275">
        <f t="shared" si="3"/>
        <v>12093.799999999997</v>
      </c>
      <c r="K26" s="122"/>
      <c r="L26" s="83">
        <f t="shared" si="4"/>
        <v>469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5"/>
        <v>13360.279999999999</v>
      </c>
    </row>
    <row r="27" spans="1:19" x14ac:dyDescent="0.25">
      <c r="A27" s="122"/>
      <c r="B27" s="83">
        <f t="shared" si="2"/>
        <v>390</v>
      </c>
      <c r="C27" s="15">
        <v>15</v>
      </c>
      <c r="D27" s="264">
        <v>443.15</v>
      </c>
      <c r="E27" s="293">
        <v>44667</v>
      </c>
      <c r="F27" s="264">
        <f t="shared" si="0"/>
        <v>443.15</v>
      </c>
      <c r="G27" s="265" t="s">
        <v>167</v>
      </c>
      <c r="H27" s="266">
        <v>139</v>
      </c>
      <c r="I27" s="275">
        <f t="shared" si="3"/>
        <v>11650.649999999998</v>
      </c>
      <c r="K27" s="122"/>
      <c r="L27" s="83">
        <f t="shared" si="4"/>
        <v>469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5"/>
        <v>13360.279999999999</v>
      </c>
    </row>
    <row r="28" spans="1:19" x14ac:dyDescent="0.25">
      <c r="A28" s="122"/>
      <c r="B28" s="83">
        <f t="shared" si="2"/>
        <v>360</v>
      </c>
      <c r="C28" s="15">
        <v>30</v>
      </c>
      <c r="D28" s="264">
        <v>905.99</v>
      </c>
      <c r="E28" s="293">
        <v>44667</v>
      </c>
      <c r="F28" s="264">
        <f t="shared" si="0"/>
        <v>905.99</v>
      </c>
      <c r="G28" s="265" t="s">
        <v>168</v>
      </c>
      <c r="H28" s="266">
        <v>139</v>
      </c>
      <c r="I28" s="275">
        <f t="shared" si="3"/>
        <v>10744.659999999998</v>
      </c>
      <c r="K28" s="122"/>
      <c r="L28" s="83">
        <f t="shared" si="4"/>
        <v>469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5"/>
        <v>13360.279999999999</v>
      </c>
    </row>
    <row r="29" spans="1:19" x14ac:dyDescent="0.25">
      <c r="A29" s="122"/>
      <c r="B29" s="83">
        <f t="shared" si="2"/>
        <v>346</v>
      </c>
      <c r="C29" s="15">
        <v>14</v>
      </c>
      <c r="D29" s="264">
        <v>426.89</v>
      </c>
      <c r="E29" s="293">
        <v>44667</v>
      </c>
      <c r="F29" s="264">
        <f t="shared" si="0"/>
        <v>426.89</v>
      </c>
      <c r="G29" s="265" t="s">
        <v>168</v>
      </c>
      <c r="H29" s="266">
        <v>139</v>
      </c>
      <c r="I29" s="275">
        <f t="shared" si="3"/>
        <v>10317.769999999999</v>
      </c>
      <c r="K29" s="122"/>
      <c r="L29" s="83">
        <f t="shared" si="4"/>
        <v>469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5"/>
        <v>13360.279999999999</v>
      </c>
    </row>
    <row r="30" spans="1:19" x14ac:dyDescent="0.25">
      <c r="A30" s="122"/>
      <c r="B30" s="83">
        <f t="shared" si="2"/>
        <v>316</v>
      </c>
      <c r="C30" s="15">
        <v>30</v>
      </c>
      <c r="D30" s="264">
        <v>844.28</v>
      </c>
      <c r="E30" s="293">
        <v>44667</v>
      </c>
      <c r="F30" s="264">
        <f t="shared" si="0"/>
        <v>844.28</v>
      </c>
      <c r="G30" s="265" t="s">
        <v>144</v>
      </c>
      <c r="H30" s="266">
        <v>139</v>
      </c>
      <c r="I30" s="275">
        <f t="shared" si="3"/>
        <v>9473.489999999998</v>
      </c>
      <c r="K30" s="122"/>
      <c r="L30" s="83">
        <f t="shared" si="4"/>
        <v>469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5"/>
        <v>13360.279999999999</v>
      </c>
    </row>
    <row r="31" spans="1:19" x14ac:dyDescent="0.25">
      <c r="A31" s="122"/>
      <c r="B31" s="83">
        <f t="shared" si="2"/>
        <v>311</v>
      </c>
      <c r="C31" s="15">
        <v>5</v>
      </c>
      <c r="D31" s="264">
        <v>134.76</v>
      </c>
      <c r="E31" s="293">
        <v>44670</v>
      </c>
      <c r="F31" s="264">
        <f t="shared" si="0"/>
        <v>134.76</v>
      </c>
      <c r="G31" s="265" t="s">
        <v>163</v>
      </c>
      <c r="H31" s="266">
        <v>139</v>
      </c>
      <c r="I31" s="275">
        <f t="shared" si="3"/>
        <v>9338.7299999999977</v>
      </c>
      <c r="K31" s="122"/>
      <c r="L31" s="83">
        <f t="shared" si="4"/>
        <v>469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5"/>
        <v>13360.279999999999</v>
      </c>
    </row>
    <row r="32" spans="1:19" x14ac:dyDescent="0.25">
      <c r="A32" s="122"/>
      <c r="B32" s="83">
        <f t="shared" si="2"/>
        <v>310</v>
      </c>
      <c r="C32" s="15">
        <v>1</v>
      </c>
      <c r="D32" s="264">
        <v>25.99</v>
      </c>
      <c r="E32" s="293">
        <v>44673</v>
      </c>
      <c r="F32" s="264">
        <f t="shared" si="0"/>
        <v>25.99</v>
      </c>
      <c r="G32" s="265" t="s">
        <v>180</v>
      </c>
      <c r="H32" s="266">
        <v>139</v>
      </c>
      <c r="I32" s="275">
        <f t="shared" si="3"/>
        <v>9312.739999999998</v>
      </c>
      <c r="K32" s="122"/>
      <c r="L32" s="83">
        <f t="shared" si="4"/>
        <v>469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5"/>
        <v>13360.279999999999</v>
      </c>
    </row>
    <row r="33" spans="1:19" x14ac:dyDescent="0.25">
      <c r="A33" s="122"/>
      <c r="B33" s="83">
        <f t="shared" si="2"/>
        <v>305</v>
      </c>
      <c r="C33" s="15">
        <v>5</v>
      </c>
      <c r="D33" s="264">
        <v>135.53</v>
      </c>
      <c r="E33" s="293">
        <v>44673</v>
      </c>
      <c r="F33" s="264">
        <f t="shared" si="0"/>
        <v>135.53</v>
      </c>
      <c r="G33" s="265" t="s">
        <v>181</v>
      </c>
      <c r="H33" s="266">
        <v>139</v>
      </c>
      <c r="I33" s="275">
        <f t="shared" si="3"/>
        <v>9177.2099999999973</v>
      </c>
      <c r="K33" s="122"/>
      <c r="L33" s="83">
        <f t="shared" si="4"/>
        <v>469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5"/>
        <v>13360.279999999999</v>
      </c>
    </row>
    <row r="34" spans="1:19" x14ac:dyDescent="0.25">
      <c r="A34" s="122"/>
      <c r="B34" s="83">
        <f t="shared" si="2"/>
        <v>304</v>
      </c>
      <c r="C34" s="15">
        <v>1</v>
      </c>
      <c r="D34" s="264">
        <v>28.98</v>
      </c>
      <c r="E34" s="293">
        <v>44674</v>
      </c>
      <c r="F34" s="264">
        <f t="shared" si="0"/>
        <v>28.98</v>
      </c>
      <c r="G34" s="265" t="s">
        <v>184</v>
      </c>
      <c r="H34" s="266">
        <v>139</v>
      </c>
      <c r="I34" s="275">
        <f t="shared" si="3"/>
        <v>9148.2299999999977</v>
      </c>
      <c r="K34" s="122"/>
      <c r="L34" s="83">
        <f t="shared" si="4"/>
        <v>469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5"/>
        <v>13360.279999999999</v>
      </c>
    </row>
    <row r="35" spans="1:19" x14ac:dyDescent="0.25">
      <c r="A35" s="122"/>
      <c r="B35" s="83">
        <f t="shared" si="2"/>
        <v>274</v>
      </c>
      <c r="C35" s="15">
        <v>30</v>
      </c>
      <c r="D35" s="264">
        <v>915.71</v>
      </c>
      <c r="E35" s="293">
        <v>44675</v>
      </c>
      <c r="F35" s="264">
        <f t="shared" si="0"/>
        <v>915.71</v>
      </c>
      <c r="G35" s="265" t="s">
        <v>188</v>
      </c>
      <c r="H35" s="266">
        <v>139</v>
      </c>
      <c r="I35" s="275">
        <f t="shared" si="3"/>
        <v>8232.5199999999968</v>
      </c>
      <c r="K35" s="122"/>
      <c r="L35" s="83">
        <f t="shared" si="4"/>
        <v>469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5"/>
        <v>13360.279999999999</v>
      </c>
    </row>
    <row r="36" spans="1:19" x14ac:dyDescent="0.25">
      <c r="A36" s="122"/>
      <c r="B36" s="83">
        <f t="shared" si="2"/>
        <v>244</v>
      </c>
      <c r="C36" s="15">
        <v>30</v>
      </c>
      <c r="D36" s="264">
        <v>891.61</v>
      </c>
      <c r="E36" s="293">
        <v>44677</v>
      </c>
      <c r="F36" s="264">
        <f t="shared" si="0"/>
        <v>891.61</v>
      </c>
      <c r="G36" s="265" t="s">
        <v>195</v>
      </c>
      <c r="H36" s="266">
        <v>139</v>
      </c>
      <c r="I36" s="275">
        <f t="shared" si="3"/>
        <v>7340.9099999999971</v>
      </c>
      <c r="K36" s="122"/>
      <c r="L36" s="83">
        <f t="shared" si="4"/>
        <v>469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5"/>
        <v>13360.279999999999</v>
      </c>
    </row>
    <row r="37" spans="1:19" x14ac:dyDescent="0.25">
      <c r="A37" s="122" t="s">
        <v>22</v>
      </c>
      <c r="B37" s="83">
        <f t="shared" si="2"/>
        <v>242</v>
      </c>
      <c r="C37" s="15">
        <v>2</v>
      </c>
      <c r="D37" s="264">
        <v>56.84</v>
      </c>
      <c r="E37" s="293">
        <v>44677</v>
      </c>
      <c r="F37" s="264">
        <f t="shared" si="0"/>
        <v>56.84</v>
      </c>
      <c r="G37" s="265" t="s">
        <v>195</v>
      </c>
      <c r="H37" s="266">
        <v>139</v>
      </c>
      <c r="I37" s="275">
        <f t="shared" si="3"/>
        <v>7284.069999999997</v>
      </c>
      <c r="K37" s="122" t="s">
        <v>22</v>
      </c>
      <c r="L37" s="83">
        <f t="shared" si="4"/>
        <v>469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5"/>
        <v>13360.279999999999</v>
      </c>
    </row>
    <row r="38" spans="1:19" x14ac:dyDescent="0.25">
      <c r="A38" s="123"/>
      <c r="B38" s="83">
        <f t="shared" si="2"/>
        <v>212</v>
      </c>
      <c r="C38" s="15">
        <v>30</v>
      </c>
      <c r="D38" s="264">
        <v>886.59</v>
      </c>
      <c r="E38" s="293">
        <v>44679</v>
      </c>
      <c r="F38" s="264">
        <f t="shared" si="0"/>
        <v>886.59</v>
      </c>
      <c r="G38" s="265" t="s">
        <v>202</v>
      </c>
      <c r="H38" s="266">
        <v>139</v>
      </c>
      <c r="I38" s="275">
        <f t="shared" si="3"/>
        <v>6397.4799999999968</v>
      </c>
      <c r="K38" s="123"/>
      <c r="L38" s="83">
        <f t="shared" si="4"/>
        <v>469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5"/>
        <v>13360.279999999999</v>
      </c>
    </row>
    <row r="39" spans="1:19" x14ac:dyDescent="0.25">
      <c r="A39" s="122"/>
      <c r="B39" s="83">
        <f t="shared" si="2"/>
        <v>211</v>
      </c>
      <c r="C39" s="15">
        <v>1</v>
      </c>
      <c r="D39" s="264">
        <v>29.3</v>
      </c>
      <c r="E39" s="293">
        <v>44681</v>
      </c>
      <c r="F39" s="264">
        <f t="shared" si="0"/>
        <v>29.3</v>
      </c>
      <c r="G39" s="265" t="s">
        <v>196</v>
      </c>
      <c r="H39" s="266">
        <v>139</v>
      </c>
      <c r="I39" s="275">
        <f t="shared" si="3"/>
        <v>6368.1799999999967</v>
      </c>
      <c r="K39" s="122"/>
      <c r="L39" s="83">
        <f t="shared" si="4"/>
        <v>469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5"/>
        <v>13360.279999999999</v>
      </c>
    </row>
    <row r="40" spans="1:19" x14ac:dyDescent="0.25">
      <c r="A40" s="122"/>
      <c r="B40" s="83">
        <f t="shared" si="2"/>
        <v>181</v>
      </c>
      <c r="C40" s="15">
        <v>30</v>
      </c>
      <c r="D40" s="264">
        <v>869.47</v>
      </c>
      <c r="E40" s="293">
        <v>44681</v>
      </c>
      <c r="F40" s="264">
        <f t="shared" si="0"/>
        <v>869.47</v>
      </c>
      <c r="G40" s="265" t="s">
        <v>210</v>
      </c>
      <c r="H40" s="266">
        <v>139</v>
      </c>
      <c r="I40" s="275">
        <f t="shared" si="3"/>
        <v>5498.7099999999964</v>
      </c>
      <c r="K40" s="122"/>
      <c r="L40" s="83">
        <f t="shared" si="4"/>
        <v>469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5"/>
        <v>13360.279999999999</v>
      </c>
    </row>
    <row r="41" spans="1:19" x14ac:dyDescent="0.25">
      <c r="A41" s="122"/>
      <c r="B41" s="83">
        <f t="shared" si="2"/>
        <v>151</v>
      </c>
      <c r="C41" s="15">
        <v>30</v>
      </c>
      <c r="D41" s="1043">
        <v>887.88</v>
      </c>
      <c r="E41" s="1044">
        <v>44684</v>
      </c>
      <c r="F41" s="1043">
        <f t="shared" si="0"/>
        <v>887.88</v>
      </c>
      <c r="G41" s="1037" t="s">
        <v>370</v>
      </c>
      <c r="H41" s="1038">
        <v>139</v>
      </c>
      <c r="I41" s="275">
        <f t="shared" si="3"/>
        <v>4610.8299999999963</v>
      </c>
      <c r="K41" s="122"/>
      <c r="L41" s="83">
        <f t="shared" si="4"/>
        <v>469</v>
      </c>
      <c r="M41" s="15"/>
      <c r="N41" s="264"/>
      <c r="O41" s="293"/>
      <c r="P41" s="264">
        <f t="shared" si="1"/>
        <v>0</v>
      </c>
      <c r="Q41" s="265"/>
      <c r="R41" s="266"/>
      <c r="S41" s="275">
        <f t="shared" si="5"/>
        <v>13360.279999999999</v>
      </c>
    </row>
    <row r="42" spans="1:19" x14ac:dyDescent="0.25">
      <c r="A42" s="122"/>
      <c r="B42" s="83">
        <f t="shared" si="2"/>
        <v>150</v>
      </c>
      <c r="C42" s="15">
        <v>1</v>
      </c>
      <c r="D42" s="1043">
        <v>30.75</v>
      </c>
      <c r="E42" s="1044">
        <v>44686</v>
      </c>
      <c r="F42" s="1043">
        <f t="shared" si="0"/>
        <v>30.75</v>
      </c>
      <c r="G42" s="1037" t="s">
        <v>389</v>
      </c>
      <c r="H42" s="1038">
        <v>139</v>
      </c>
      <c r="I42" s="275">
        <f t="shared" si="3"/>
        <v>4580.0799999999963</v>
      </c>
      <c r="K42" s="122"/>
      <c r="L42" s="83">
        <f t="shared" si="4"/>
        <v>469</v>
      </c>
      <c r="M42" s="15"/>
      <c r="N42" s="264"/>
      <c r="O42" s="293"/>
      <c r="P42" s="264">
        <f t="shared" si="1"/>
        <v>0</v>
      </c>
      <c r="Q42" s="265"/>
      <c r="R42" s="266"/>
      <c r="S42" s="275">
        <f t="shared" si="5"/>
        <v>13360.279999999999</v>
      </c>
    </row>
    <row r="43" spans="1:19" x14ac:dyDescent="0.25">
      <c r="A43" s="122"/>
      <c r="B43" s="83">
        <f t="shared" si="2"/>
        <v>120</v>
      </c>
      <c r="C43" s="15">
        <v>30</v>
      </c>
      <c r="D43" s="1043">
        <v>909.94</v>
      </c>
      <c r="E43" s="1044">
        <v>44687</v>
      </c>
      <c r="F43" s="1043">
        <f t="shared" si="0"/>
        <v>909.94</v>
      </c>
      <c r="G43" s="1037" t="s">
        <v>401</v>
      </c>
      <c r="H43" s="1038">
        <v>139</v>
      </c>
      <c r="I43" s="275">
        <f t="shared" si="3"/>
        <v>3670.1399999999962</v>
      </c>
      <c r="K43" s="122"/>
      <c r="L43" s="83">
        <f t="shared" si="4"/>
        <v>469</v>
      </c>
      <c r="M43" s="15"/>
      <c r="N43" s="264"/>
      <c r="O43" s="293"/>
      <c r="P43" s="264">
        <f t="shared" si="1"/>
        <v>0</v>
      </c>
      <c r="Q43" s="265"/>
      <c r="R43" s="266"/>
      <c r="S43" s="275">
        <f t="shared" si="5"/>
        <v>13360.279999999999</v>
      </c>
    </row>
    <row r="44" spans="1:19" x14ac:dyDescent="0.25">
      <c r="A44" s="122"/>
      <c r="B44" s="83">
        <f t="shared" si="2"/>
        <v>115</v>
      </c>
      <c r="C44" s="15">
        <v>5</v>
      </c>
      <c r="D44" s="1043">
        <v>147.41999999999999</v>
      </c>
      <c r="E44" s="1044">
        <v>44688</v>
      </c>
      <c r="F44" s="1043">
        <f t="shared" si="0"/>
        <v>147.41999999999999</v>
      </c>
      <c r="G44" s="1037" t="s">
        <v>407</v>
      </c>
      <c r="H44" s="1038">
        <v>139</v>
      </c>
      <c r="I44" s="275">
        <f t="shared" si="3"/>
        <v>3522.7199999999962</v>
      </c>
      <c r="K44" s="122"/>
      <c r="L44" s="83">
        <f t="shared" si="4"/>
        <v>469</v>
      </c>
      <c r="M44" s="15"/>
      <c r="N44" s="264"/>
      <c r="O44" s="293"/>
      <c r="P44" s="264">
        <f t="shared" si="1"/>
        <v>0</v>
      </c>
      <c r="Q44" s="265"/>
      <c r="R44" s="266"/>
      <c r="S44" s="275">
        <f t="shared" si="5"/>
        <v>13360.279999999999</v>
      </c>
    </row>
    <row r="45" spans="1:19" x14ac:dyDescent="0.25">
      <c r="A45" s="122"/>
      <c r="B45" s="83">
        <f t="shared" si="2"/>
        <v>110</v>
      </c>
      <c r="C45" s="15">
        <v>5</v>
      </c>
      <c r="D45" s="1043">
        <v>162.19999999999999</v>
      </c>
      <c r="E45" s="1044">
        <v>44688</v>
      </c>
      <c r="F45" s="1043">
        <f t="shared" si="0"/>
        <v>162.19999999999999</v>
      </c>
      <c r="G45" s="1037" t="s">
        <v>414</v>
      </c>
      <c r="H45" s="1038">
        <v>139</v>
      </c>
      <c r="I45" s="275">
        <f t="shared" si="3"/>
        <v>3360.5199999999963</v>
      </c>
      <c r="K45" s="122"/>
      <c r="L45" s="83">
        <f t="shared" si="4"/>
        <v>469</v>
      </c>
      <c r="M45" s="15"/>
      <c r="N45" s="264"/>
      <c r="O45" s="293"/>
      <c r="P45" s="264">
        <f t="shared" si="1"/>
        <v>0</v>
      </c>
      <c r="Q45" s="265"/>
      <c r="R45" s="266"/>
      <c r="S45" s="275">
        <f t="shared" si="5"/>
        <v>13360.279999999999</v>
      </c>
    </row>
    <row r="46" spans="1:19" x14ac:dyDescent="0.25">
      <c r="A46" s="122"/>
      <c r="B46" s="83">
        <f t="shared" si="2"/>
        <v>109</v>
      </c>
      <c r="C46" s="15">
        <v>1</v>
      </c>
      <c r="D46" s="1043">
        <v>24.4</v>
      </c>
      <c r="E46" s="1044">
        <v>44688</v>
      </c>
      <c r="F46" s="1043">
        <f t="shared" si="0"/>
        <v>24.4</v>
      </c>
      <c r="G46" s="1037" t="s">
        <v>418</v>
      </c>
      <c r="H46" s="1038">
        <v>139</v>
      </c>
      <c r="I46" s="275">
        <f t="shared" si="3"/>
        <v>3336.1199999999963</v>
      </c>
      <c r="K46" s="122"/>
      <c r="L46" s="83">
        <f t="shared" si="4"/>
        <v>469</v>
      </c>
      <c r="M46" s="15"/>
      <c r="N46" s="264"/>
      <c r="O46" s="293"/>
      <c r="P46" s="264">
        <f t="shared" si="1"/>
        <v>0</v>
      </c>
      <c r="Q46" s="265"/>
      <c r="R46" s="266"/>
      <c r="S46" s="275">
        <f t="shared" si="5"/>
        <v>13360.279999999999</v>
      </c>
    </row>
    <row r="47" spans="1:19" x14ac:dyDescent="0.25">
      <c r="A47" s="122"/>
      <c r="B47" s="83">
        <f t="shared" si="2"/>
        <v>79</v>
      </c>
      <c r="C47" s="15">
        <v>30</v>
      </c>
      <c r="D47" s="1043">
        <v>929.72</v>
      </c>
      <c r="E47" s="1044">
        <v>44688</v>
      </c>
      <c r="F47" s="1043">
        <f t="shared" si="0"/>
        <v>929.72</v>
      </c>
      <c r="G47" s="1037" t="s">
        <v>421</v>
      </c>
      <c r="H47" s="1038">
        <v>139</v>
      </c>
      <c r="I47" s="275">
        <f t="shared" si="3"/>
        <v>2406.399999999996</v>
      </c>
      <c r="K47" s="122"/>
      <c r="L47" s="83">
        <f t="shared" si="4"/>
        <v>469</v>
      </c>
      <c r="M47" s="15"/>
      <c r="N47" s="264"/>
      <c r="O47" s="293"/>
      <c r="P47" s="264">
        <f t="shared" si="1"/>
        <v>0</v>
      </c>
      <c r="Q47" s="265"/>
      <c r="R47" s="266"/>
      <c r="S47" s="275">
        <f t="shared" si="5"/>
        <v>13360.279999999999</v>
      </c>
    </row>
    <row r="48" spans="1:19" x14ac:dyDescent="0.25">
      <c r="A48" s="122"/>
      <c r="B48" s="83">
        <f t="shared" si="2"/>
        <v>75</v>
      </c>
      <c r="C48" s="15">
        <v>4</v>
      </c>
      <c r="D48" s="1043">
        <v>112.63</v>
      </c>
      <c r="E48" s="1044">
        <v>44690</v>
      </c>
      <c r="F48" s="1043">
        <f t="shared" si="0"/>
        <v>112.63</v>
      </c>
      <c r="G48" s="1037" t="s">
        <v>423</v>
      </c>
      <c r="H48" s="1038">
        <v>139</v>
      </c>
      <c r="I48" s="275">
        <f t="shared" si="3"/>
        <v>2293.7699999999959</v>
      </c>
      <c r="K48" s="122"/>
      <c r="L48" s="83">
        <f t="shared" si="4"/>
        <v>469</v>
      </c>
      <c r="M48" s="15"/>
      <c r="N48" s="264"/>
      <c r="O48" s="293"/>
      <c r="P48" s="264">
        <f t="shared" si="1"/>
        <v>0</v>
      </c>
      <c r="Q48" s="265"/>
      <c r="R48" s="266"/>
      <c r="S48" s="275">
        <f t="shared" si="5"/>
        <v>13360.279999999999</v>
      </c>
    </row>
    <row r="49" spans="1:20" x14ac:dyDescent="0.25">
      <c r="A49" s="122"/>
      <c r="B49" s="83">
        <f t="shared" si="2"/>
        <v>73</v>
      </c>
      <c r="C49" s="15">
        <v>2</v>
      </c>
      <c r="D49" s="1043">
        <v>52.2</v>
      </c>
      <c r="E49" s="1044">
        <v>44690</v>
      </c>
      <c r="F49" s="1043">
        <f t="shared" si="0"/>
        <v>52.2</v>
      </c>
      <c r="G49" s="1037" t="s">
        <v>425</v>
      </c>
      <c r="H49" s="1038">
        <v>139</v>
      </c>
      <c r="I49" s="275">
        <f t="shared" si="3"/>
        <v>2241.5699999999961</v>
      </c>
      <c r="K49" s="122"/>
      <c r="L49" s="83">
        <f t="shared" si="4"/>
        <v>469</v>
      </c>
      <c r="M49" s="15"/>
      <c r="N49" s="264"/>
      <c r="O49" s="293"/>
      <c r="P49" s="264">
        <f t="shared" si="1"/>
        <v>0</v>
      </c>
      <c r="Q49" s="265"/>
      <c r="R49" s="266"/>
      <c r="S49" s="275">
        <f t="shared" si="5"/>
        <v>13360.279999999999</v>
      </c>
    </row>
    <row r="50" spans="1:20" x14ac:dyDescent="0.25">
      <c r="A50" s="122"/>
      <c r="B50" s="83">
        <f t="shared" si="2"/>
        <v>43</v>
      </c>
      <c r="C50" s="15">
        <v>30</v>
      </c>
      <c r="D50" s="1043">
        <v>899.1</v>
      </c>
      <c r="E50" s="1044">
        <v>44690</v>
      </c>
      <c r="F50" s="1043">
        <f t="shared" si="0"/>
        <v>899.1</v>
      </c>
      <c r="G50" s="1037" t="s">
        <v>431</v>
      </c>
      <c r="H50" s="1038">
        <v>139</v>
      </c>
      <c r="I50" s="275">
        <f t="shared" si="3"/>
        <v>1342.4699999999962</v>
      </c>
      <c r="K50" s="122"/>
      <c r="L50" s="83">
        <f t="shared" si="4"/>
        <v>469</v>
      </c>
      <c r="M50" s="15"/>
      <c r="N50" s="264"/>
      <c r="O50" s="293"/>
      <c r="P50" s="264">
        <f t="shared" si="1"/>
        <v>0</v>
      </c>
      <c r="Q50" s="265"/>
      <c r="R50" s="266"/>
      <c r="S50" s="275">
        <f t="shared" si="5"/>
        <v>13360.279999999999</v>
      </c>
    </row>
    <row r="51" spans="1:20" x14ac:dyDescent="0.25">
      <c r="A51" s="122"/>
      <c r="B51" s="83">
        <f t="shared" si="2"/>
        <v>13</v>
      </c>
      <c r="C51" s="15">
        <v>30</v>
      </c>
      <c r="D51" s="1043">
        <v>945.87</v>
      </c>
      <c r="E51" s="1044">
        <v>44690</v>
      </c>
      <c r="F51" s="1043">
        <f t="shared" si="0"/>
        <v>945.87</v>
      </c>
      <c r="G51" s="1037" t="s">
        <v>431</v>
      </c>
      <c r="H51" s="1038">
        <v>139</v>
      </c>
      <c r="I51" s="275">
        <f t="shared" si="3"/>
        <v>396.59999999999616</v>
      </c>
      <c r="K51" s="122"/>
      <c r="L51" s="83">
        <f t="shared" si="4"/>
        <v>469</v>
      </c>
      <c r="M51" s="15"/>
      <c r="N51" s="264"/>
      <c r="O51" s="293"/>
      <c r="P51" s="264">
        <f t="shared" si="1"/>
        <v>0</v>
      </c>
      <c r="Q51" s="265"/>
      <c r="R51" s="266"/>
      <c r="S51" s="275">
        <f t="shared" si="5"/>
        <v>13360.279999999999</v>
      </c>
    </row>
    <row r="52" spans="1:20" x14ac:dyDescent="0.25">
      <c r="A52" s="122"/>
      <c r="B52" s="83">
        <f t="shared" si="2"/>
        <v>8</v>
      </c>
      <c r="C52" s="15">
        <v>5</v>
      </c>
      <c r="D52" s="1043">
        <v>147.83000000000001</v>
      </c>
      <c r="E52" s="1044">
        <v>44694</v>
      </c>
      <c r="F52" s="1043">
        <f t="shared" si="0"/>
        <v>147.83000000000001</v>
      </c>
      <c r="G52" s="1037" t="s">
        <v>476</v>
      </c>
      <c r="H52" s="1038">
        <v>139</v>
      </c>
      <c r="I52" s="275">
        <f t="shared" si="3"/>
        <v>248.76999999999614</v>
      </c>
      <c r="K52" s="122"/>
      <c r="L52" s="83">
        <f t="shared" si="4"/>
        <v>469</v>
      </c>
      <c r="M52" s="15"/>
      <c r="N52" s="264"/>
      <c r="O52" s="293"/>
      <c r="P52" s="264">
        <f t="shared" si="1"/>
        <v>0</v>
      </c>
      <c r="Q52" s="265"/>
      <c r="R52" s="266"/>
      <c r="S52" s="275">
        <f t="shared" si="5"/>
        <v>13360.279999999999</v>
      </c>
    </row>
    <row r="53" spans="1:20" x14ac:dyDescent="0.25">
      <c r="A53" s="122"/>
      <c r="B53" s="83">
        <f t="shared" si="2"/>
        <v>5</v>
      </c>
      <c r="C53" s="15">
        <v>3</v>
      </c>
      <c r="D53" s="1043">
        <v>96.52</v>
      </c>
      <c r="E53" s="1044">
        <v>44694</v>
      </c>
      <c r="F53" s="1043">
        <f t="shared" si="0"/>
        <v>96.52</v>
      </c>
      <c r="G53" s="1037" t="s">
        <v>455</v>
      </c>
      <c r="H53" s="1038">
        <v>139</v>
      </c>
      <c r="I53" s="275">
        <f t="shared" si="3"/>
        <v>152.24999999999613</v>
      </c>
      <c r="K53" s="122"/>
      <c r="L53" s="83">
        <f t="shared" si="4"/>
        <v>469</v>
      </c>
      <c r="M53" s="15"/>
      <c r="N53" s="264"/>
      <c r="O53" s="293"/>
      <c r="P53" s="264">
        <f t="shared" si="1"/>
        <v>0</v>
      </c>
      <c r="Q53" s="265"/>
      <c r="R53" s="266"/>
      <c r="S53" s="275">
        <f t="shared" si="5"/>
        <v>13360.279999999999</v>
      </c>
    </row>
    <row r="54" spans="1:20" x14ac:dyDescent="0.25">
      <c r="A54" s="122"/>
      <c r="B54" s="83">
        <f t="shared" si="2"/>
        <v>0</v>
      </c>
      <c r="C54" s="15">
        <v>5</v>
      </c>
      <c r="D54" s="1043">
        <v>152.54</v>
      </c>
      <c r="E54" s="1044">
        <v>44695</v>
      </c>
      <c r="F54" s="1043">
        <f t="shared" si="0"/>
        <v>152.54</v>
      </c>
      <c r="G54" s="1037" t="s">
        <v>478</v>
      </c>
      <c r="H54" s="1038">
        <v>139</v>
      </c>
      <c r="I54" s="275">
        <f t="shared" si="3"/>
        <v>-0.29000000000385739</v>
      </c>
      <c r="K54" s="122"/>
      <c r="L54" s="83">
        <f t="shared" si="4"/>
        <v>469</v>
      </c>
      <c r="M54" s="15"/>
      <c r="N54" s="264"/>
      <c r="O54" s="293"/>
      <c r="P54" s="264">
        <f t="shared" si="1"/>
        <v>0</v>
      </c>
      <c r="Q54" s="265"/>
      <c r="R54" s="266"/>
      <c r="S54" s="275">
        <f t="shared" si="5"/>
        <v>13360.279999999999</v>
      </c>
    </row>
    <row r="55" spans="1:20" x14ac:dyDescent="0.25">
      <c r="A55" s="122"/>
      <c r="B55" s="83">
        <f t="shared" si="2"/>
        <v>0</v>
      </c>
      <c r="C55" s="15"/>
      <c r="D55" s="1043"/>
      <c r="E55" s="1044"/>
      <c r="F55" s="1061">
        <f t="shared" si="0"/>
        <v>0</v>
      </c>
      <c r="G55" s="1062"/>
      <c r="H55" s="1063"/>
      <c r="I55" s="1075">
        <f t="shared" si="3"/>
        <v>-0.29000000000385739</v>
      </c>
      <c r="J55" s="240"/>
      <c r="K55" s="122"/>
      <c r="L55" s="83">
        <f t="shared" si="4"/>
        <v>469</v>
      </c>
      <c r="M55" s="15"/>
      <c r="N55" s="264"/>
      <c r="O55" s="293"/>
      <c r="P55" s="264">
        <f t="shared" si="1"/>
        <v>0</v>
      </c>
      <c r="Q55" s="265"/>
      <c r="R55" s="266"/>
      <c r="S55" s="275">
        <f t="shared" si="5"/>
        <v>13360.279999999999</v>
      </c>
      <c r="T55" s="240"/>
    </row>
    <row r="56" spans="1:20" x14ac:dyDescent="0.25">
      <c r="A56" s="122"/>
      <c r="B56" s="83">
        <f t="shared" si="2"/>
        <v>0</v>
      </c>
      <c r="C56" s="15"/>
      <c r="D56" s="1043"/>
      <c r="E56" s="1044"/>
      <c r="F56" s="1061">
        <f t="shared" si="0"/>
        <v>0</v>
      </c>
      <c r="G56" s="1062"/>
      <c r="H56" s="1063"/>
      <c r="I56" s="1075">
        <f t="shared" si="3"/>
        <v>-0.29000000000385739</v>
      </c>
      <c r="J56" s="240"/>
      <c r="K56" s="122"/>
      <c r="L56" s="83">
        <f t="shared" si="4"/>
        <v>469</v>
      </c>
      <c r="M56" s="15"/>
      <c r="N56" s="264"/>
      <c r="O56" s="293"/>
      <c r="P56" s="264">
        <f t="shared" si="1"/>
        <v>0</v>
      </c>
      <c r="Q56" s="265"/>
      <c r="R56" s="266"/>
      <c r="S56" s="275">
        <f t="shared" si="5"/>
        <v>13360.279999999999</v>
      </c>
      <c r="T56" s="240"/>
    </row>
    <row r="57" spans="1:20" x14ac:dyDescent="0.25">
      <c r="A57" s="122"/>
      <c r="B57" s="83">
        <f t="shared" si="2"/>
        <v>0</v>
      </c>
      <c r="C57" s="15"/>
      <c r="D57" s="1043"/>
      <c r="E57" s="1044"/>
      <c r="F57" s="1061">
        <f t="shared" si="0"/>
        <v>0</v>
      </c>
      <c r="G57" s="1062"/>
      <c r="H57" s="1063"/>
      <c r="I57" s="1075">
        <f t="shared" si="3"/>
        <v>-0.29000000000385739</v>
      </c>
      <c r="J57" s="240"/>
      <c r="K57" s="122"/>
      <c r="L57" s="83">
        <f t="shared" si="4"/>
        <v>469</v>
      </c>
      <c r="M57" s="15"/>
      <c r="N57" s="264"/>
      <c r="O57" s="293"/>
      <c r="P57" s="264">
        <f t="shared" si="1"/>
        <v>0</v>
      </c>
      <c r="Q57" s="265"/>
      <c r="R57" s="266"/>
      <c r="S57" s="275">
        <f t="shared" si="5"/>
        <v>13360.279999999999</v>
      </c>
      <c r="T57" s="240"/>
    </row>
    <row r="58" spans="1:20" x14ac:dyDescent="0.25">
      <c r="A58" s="122"/>
      <c r="B58" s="296">
        <f t="shared" si="2"/>
        <v>0</v>
      </c>
      <c r="C58" s="15"/>
      <c r="D58" s="1043"/>
      <c r="E58" s="1044"/>
      <c r="F58" s="1061">
        <v>0</v>
      </c>
      <c r="G58" s="1062"/>
      <c r="H58" s="1063"/>
      <c r="I58" s="1075">
        <f t="shared" si="3"/>
        <v>-0.29000000000385739</v>
      </c>
      <c r="J58" s="240"/>
      <c r="K58" s="122"/>
      <c r="L58" s="296">
        <f t="shared" si="4"/>
        <v>469</v>
      </c>
      <c r="M58" s="15"/>
      <c r="N58" s="264"/>
      <c r="O58" s="293"/>
      <c r="P58" s="264">
        <v>0</v>
      </c>
      <c r="Q58" s="265"/>
      <c r="R58" s="266"/>
      <c r="S58" s="275">
        <f t="shared" si="5"/>
        <v>13360.279999999999</v>
      </c>
      <c r="T58" s="240"/>
    </row>
    <row r="59" spans="1:20" x14ac:dyDescent="0.25">
      <c r="A59" s="122"/>
      <c r="B59" s="296">
        <f t="shared" si="2"/>
        <v>0</v>
      </c>
      <c r="C59" s="15"/>
      <c r="D59" s="1043"/>
      <c r="E59" s="1044"/>
      <c r="F59" s="1043">
        <f t="shared" si="0"/>
        <v>0</v>
      </c>
      <c r="G59" s="1037"/>
      <c r="H59" s="1038"/>
      <c r="I59" s="275">
        <f t="shared" si="3"/>
        <v>-0.29000000000385739</v>
      </c>
      <c r="J59" s="240"/>
      <c r="K59" s="122"/>
      <c r="L59" s="296">
        <f t="shared" si="4"/>
        <v>469</v>
      </c>
      <c r="M59" s="15"/>
      <c r="N59" s="264"/>
      <c r="O59" s="293"/>
      <c r="P59" s="264">
        <f t="shared" ref="P59:P74" si="6">N59</f>
        <v>0</v>
      </c>
      <c r="Q59" s="265"/>
      <c r="R59" s="266"/>
      <c r="S59" s="275">
        <f t="shared" si="5"/>
        <v>13360.279999999999</v>
      </c>
      <c r="T59" s="240"/>
    </row>
    <row r="60" spans="1:20" x14ac:dyDescent="0.25">
      <c r="A60" s="122"/>
      <c r="B60" s="296">
        <f t="shared" si="2"/>
        <v>0</v>
      </c>
      <c r="C60" s="15"/>
      <c r="D60" s="1043"/>
      <c r="E60" s="1044"/>
      <c r="F60" s="1043">
        <f t="shared" si="0"/>
        <v>0</v>
      </c>
      <c r="G60" s="1037"/>
      <c r="H60" s="1038"/>
      <c r="I60" s="275">
        <f t="shared" si="3"/>
        <v>-0.29000000000385739</v>
      </c>
      <c r="J60" s="240"/>
      <c r="K60" s="122"/>
      <c r="L60" s="296">
        <f t="shared" si="4"/>
        <v>469</v>
      </c>
      <c r="M60" s="15"/>
      <c r="N60" s="264"/>
      <c r="O60" s="293"/>
      <c r="P60" s="264">
        <f t="shared" si="6"/>
        <v>0</v>
      </c>
      <c r="Q60" s="265"/>
      <c r="R60" s="266"/>
      <c r="S60" s="275">
        <f t="shared" si="5"/>
        <v>13360.279999999999</v>
      </c>
      <c r="T60" s="240"/>
    </row>
    <row r="61" spans="1:20" x14ac:dyDescent="0.25">
      <c r="A61" s="122"/>
      <c r="B61" s="296">
        <f t="shared" si="2"/>
        <v>0</v>
      </c>
      <c r="C61" s="15"/>
      <c r="D61" s="1043"/>
      <c r="E61" s="1044"/>
      <c r="F61" s="1043">
        <f t="shared" si="0"/>
        <v>0</v>
      </c>
      <c r="G61" s="1037"/>
      <c r="H61" s="1038"/>
      <c r="I61" s="275">
        <f t="shared" si="3"/>
        <v>-0.29000000000385739</v>
      </c>
      <c r="J61" s="240"/>
      <c r="K61" s="122"/>
      <c r="L61" s="296">
        <f t="shared" si="4"/>
        <v>469</v>
      </c>
      <c r="M61" s="15"/>
      <c r="N61" s="264"/>
      <c r="O61" s="293"/>
      <c r="P61" s="264">
        <f t="shared" si="6"/>
        <v>0</v>
      </c>
      <c r="Q61" s="265"/>
      <c r="R61" s="266"/>
      <c r="S61" s="275">
        <f t="shared" si="5"/>
        <v>13360.279999999999</v>
      </c>
      <c r="T61" s="240"/>
    </row>
    <row r="62" spans="1:20" x14ac:dyDescent="0.25">
      <c r="A62" s="122"/>
      <c r="B62" s="296">
        <f t="shared" si="2"/>
        <v>0</v>
      </c>
      <c r="C62" s="15"/>
      <c r="D62" s="1043"/>
      <c r="E62" s="1044"/>
      <c r="F62" s="1043">
        <f t="shared" si="0"/>
        <v>0</v>
      </c>
      <c r="G62" s="1037"/>
      <c r="H62" s="1038"/>
      <c r="I62" s="275">
        <f t="shared" si="3"/>
        <v>-0.29000000000385739</v>
      </c>
      <c r="K62" s="122"/>
      <c r="L62" s="296">
        <f t="shared" si="4"/>
        <v>469</v>
      </c>
      <c r="M62" s="15"/>
      <c r="N62" s="264"/>
      <c r="O62" s="293"/>
      <c r="P62" s="264">
        <f t="shared" si="6"/>
        <v>0</v>
      </c>
      <c r="Q62" s="265"/>
      <c r="R62" s="266"/>
      <c r="S62" s="275">
        <f t="shared" si="5"/>
        <v>13360.279999999999</v>
      </c>
    </row>
    <row r="63" spans="1:20" x14ac:dyDescent="0.25">
      <c r="A63" s="122"/>
      <c r="B63" s="296">
        <f t="shared" si="2"/>
        <v>0</v>
      </c>
      <c r="C63" s="15"/>
      <c r="D63" s="1043"/>
      <c r="E63" s="1044"/>
      <c r="F63" s="1043">
        <f t="shared" si="0"/>
        <v>0</v>
      </c>
      <c r="G63" s="1037"/>
      <c r="H63" s="1038"/>
      <c r="I63" s="275">
        <f t="shared" si="3"/>
        <v>-0.29000000000385739</v>
      </c>
      <c r="K63" s="122"/>
      <c r="L63" s="296">
        <f t="shared" si="4"/>
        <v>469</v>
      </c>
      <c r="M63" s="15"/>
      <c r="N63" s="264"/>
      <c r="O63" s="293"/>
      <c r="P63" s="264">
        <f t="shared" si="6"/>
        <v>0</v>
      </c>
      <c r="Q63" s="265"/>
      <c r="R63" s="266"/>
      <c r="S63" s="275">
        <f t="shared" si="5"/>
        <v>13360.279999999999</v>
      </c>
    </row>
    <row r="64" spans="1:20" x14ac:dyDescent="0.25">
      <c r="A64" s="122"/>
      <c r="B64" s="296">
        <f t="shared" si="2"/>
        <v>0</v>
      </c>
      <c r="C64" s="15"/>
      <c r="D64" s="1043"/>
      <c r="E64" s="1044"/>
      <c r="F64" s="1043">
        <f t="shared" si="0"/>
        <v>0</v>
      </c>
      <c r="G64" s="1037"/>
      <c r="H64" s="1038"/>
      <c r="I64" s="275">
        <f t="shared" si="3"/>
        <v>-0.29000000000385739</v>
      </c>
      <c r="K64" s="122"/>
      <c r="L64" s="296">
        <f t="shared" si="4"/>
        <v>469</v>
      </c>
      <c r="M64" s="15"/>
      <c r="N64" s="264"/>
      <c r="O64" s="293"/>
      <c r="P64" s="264">
        <f t="shared" si="6"/>
        <v>0</v>
      </c>
      <c r="Q64" s="265"/>
      <c r="R64" s="266"/>
      <c r="S64" s="275">
        <f t="shared" si="5"/>
        <v>13360.279999999999</v>
      </c>
    </row>
    <row r="65" spans="1:19" x14ac:dyDescent="0.25">
      <c r="A65" s="122"/>
      <c r="B65" s="296">
        <f t="shared" si="2"/>
        <v>0</v>
      </c>
      <c r="C65" s="15"/>
      <c r="D65" s="1043"/>
      <c r="E65" s="1044"/>
      <c r="F65" s="1043">
        <f t="shared" si="0"/>
        <v>0</v>
      </c>
      <c r="G65" s="1037"/>
      <c r="H65" s="1038"/>
      <c r="I65" s="275">
        <f t="shared" si="3"/>
        <v>-0.29000000000385739</v>
      </c>
      <c r="K65" s="122"/>
      <c r="L65" s="296">
        <f t="shared" si="4"/>
        <v>469</v>
      </c>
      <c r="M65" s="15"/>
      <c r="N65" s="264"/>
      <c r="O65" s="293"/>
      <c r="P65" s="264">
        <f t="shared" si="6"/>
        <v>0</v>
      </c>
      <c r="Q65" s="265"/>
      <c r="R65" s="266"/>
      <c r="S65" s="275">
        <f t="shared" si="5"/>
        <v>13360.279999999999</v>
      </c>
    </row>
    <row r="66" spans="1:19" x14ac:dyDescent="0.25">
      <c r="A66" s="122"/>
      <c r="B66" s="296">
        <f t="shared" si="2"/>
        <v>0</v>
      </c>
      <c r="C66" s="15"/>
      <c r="D66" s="1043"/>
      <c r="E66" s="1044"/>
      <c r="F66" s="1043">
        <f t="shared" si="0"/>
        <v>0</v>
      </c>
      <c r="G66" s="1037"/>
      <c r="H66" s="1038"/>
      <c r="I66" s="275">
        <f t="shared" si="3"/>
        <v>-0.29000000000385739</v>
      </c>
      <c r="K66" s="122"/>
      <c r="L66" s="296">
        <f t="shared" si="4"/>
        <v>469</v>
      </c>
      <c r="M66" s="15"/>
      <c r="N66" s="264"/>
      <c r="O66" s="293"/>
      <c r="P66" s="264">
        <f t="shared" si="6"/>
        <v>0</v>
      </c>
      <c r="Q66" s="265"/>
      <c r="R66" s="266"/>
      <c r="S66" s="275">
        <f t="shared" si="5"/>
        <v>13360.279999999999</v>
      </c>
    </row>
    <row r="67" spans="1:19" x14ac:dyDescent="0.25">
      <c r="A67" s="122"/>
      <c r="B67" s="296">
        <f t="shared" si="2"/>
        <v>0</v>
      </c>
      <c r="C67" s="15"/>
      <c r="D67" s="1043"/>
      <c r="E67" s="1044"/>
      <c r="F67" s="1043">
        <f t="shared" si="0"/>
        <v>0</v>
      </c>
      <c r="G67" s="1037"/>
      <c r="H67" s="1038"/>
      <c r="I67" s="275">
        <f t="shared" si="3"/>
        <v>-0.29000000000385739</v>
      </c>
      <c r="K67" s="122"/>
      <c r="L67" s="296">
        <f t="shared" si="4"/>
        <v>469</v>
      </c>
      <c r="M67" s="15"/>
      <c r="N67" s="264"/>
      <c r="O67" s="293"/>
      <c r="P67" s="264">
        <f t="shared" si="6"/>
        <v>0</v>
      </c>
      <c r="Q67" s="265"/>
      <c r="R67" s="266"/>
      <c r="S67" s="275">
        <f t="shared" si="5"/>
        <v>13360.279999999999</v>
      </c>
    </row>
    <row r="68" spans="1:19" x14ac:dyDescent="0.25">
      <c r="A68" s="122"/>
      <c r="B68" s="296">
        <f t="shared" si="2"/>
        <v>0</v>
      </c>
      <c r="C68" s="15"/>
      <c r="D68" s="1033"/>
      <c r="E68" s="1054"/>
      <c r="F68" s="1033">
        <f t="shared" si="0"/>
        <v>0</v>
      </c>
      <c r="G68" s="1034"/>
      <c r="H68" s="1035"/>
      <c r="I68" s="275">
        <f t="shared" si="3"/>
        <v>-0.29000000000385739</v>
      </c>
      <c r="K68" s="122"/>
      <c r="L68" s="296">
        <f t="shared" si="4"/>
        <v>469</v>
      </c>
      <c r="M68" s="15"/>
      <c r="N68" s="69"/>
      <c r="O68" s="216"/>
      <c r="P68" s="69">
        <f t="shared" si="6"/>
        <v>0</v>
      </c>
      <c r="Q68" s="70"/>
      <c r="R68" s="71"/>
      <c r="S68" s="275">
        <f t="shared" si="5"/>
        <v>13360.279999999999</v>
      </c>
    </row>
    <row r="69" spans="1:19" x14ac:dyDescent="0.25">
      <c r="A69" s="122"/>
      <c r="B69" s="296">
        <f t="shared" si="2"/>
        <v>0</v>
      </c>
      <c r="C69" s="15"/>
      <c r="D69" s="1033"/>
      <c r="E69" s="1054"/>
      <c r="F69" s="1033">
        <f t="shared" si="0"/>
        <v>0</v>
      </c>
      <c r="G69" s="1034"/>
      <c r="H69" s="1035"/>
      <c r="I69" s="275">
        <f t="shared" si="3"/>
        <v>-0.29000000000385739</v>
      </c>
      <c r="K69" s="122"/>
      <c r="L69" s="296">
        <f t="shared" si="4"/>
        <v>469</v>
      </c>
      <c r="M69" s="15"/>
      <c r="N69" s="69"/>
      <c r="O69" s="216"/>
      <c r="P69" s="69">
        <f t="shared" si="6"/>
        <v>0</v>
      </c>
      <c r="Q69" s="70"/>
      <c r="R69" s="71"/>
      <c r="S69" s="275">
        <f t="shared" si="5"/>
        <v>13360.279999999999</v>
      </c>
    </row>
    <row r="70" spans="1:19" x14ac:dyDescent="0.25">
      <c r="A70" s="122"/>
      <c r="B70" s="296">
        <f t="shared" si="2"/>
        <v>0</v>
      </c>
      <c r="C70" s="15"/>
      <c r="D70" s="1033"/>
      <c r="E70" s="1054"/>
      <c r="F70" s="1033">
        <f t="shared" si="0"/>
        <v>0</v>
      </c>
      <c r="G70" s="1034"/>
      <c r="H70" s="1035"/>
      <c r="I70" s="275">
        <f t="shared" si="3"/>
        <v>-0.29000000000385739</v>
      </c>
      <c r="K70" s="122"/>
      <c r="L70" s="296">
        <f t="shared" si="4"/>
        <v>469</v>
      </c>
      <c r="M70" s="15"/>
      <c r="N70" s="69"/>
      <c r="O70" s="216"/>
      <c r="P70" s="69">
        <f t="shared" si="6"/>
        <v>0</v>
      </c>
      <c r="Q70" s="70"/>
      <c r="R70" s="71"/>
      <c r="S70" s="275">
        <f t="shared" si="5"/>
        <v>13360.279999999999</v>
      </c>
    </row>
    <row r="71" spans="1:19" x14ac:dyDescent="0.25">
      <c r="A71" s="122"/>
      <c r="B71" s="296">
        <f t="shared" si="2"/>
        <v>0</v>
      </c>
      <c r="C71" s="15"/>
      <c r="D71" s="1033"/>
      <c r="E71" s="1054"/>
      <c r="F71" s="1033">
        <f t="shared" si="0"/>
        <v>0</v>
      </c>
      <c r="G71" s="1034"/>
      <c r="H71" s="1035"/>
      <c r="I71" s="275">
        <f t="shared" si="3"/>
        <v>-0.29000000000385739</v>
      </c>
      <c r="K71" s="122"/>
      <c r="L71" s="296">
        <f t="shared" si="4"/>
        <v>469</v>
      </c>
      <c r="M71" s="15"/>
      <c r="N71" s="69"/>
      <c r="O71" s="216"/>
      <c r="P71" s="69">
        <f t="shared" si="6"/>
        <v>0</v>
      </c>
      <c r="Q71" s="70"/>
      <c r="R71" s="71"/>
      <c r="S71" s="275">
        <f t="shared" si="5"/>
        <v>13360.279999999999</v>
      </c>
    </row>
    <row r="72" spans="1:19" x14ac:dyDescent="0.25">
      <c r="A72" s="122"/>
      <c r="B72" s="296">
        <f t="shared" si="2"/>
        <v>0</v>
      </c>
      <c r="C72" s="15"/>
      <c r="D72" s="1033"/>
      <c r="E72" s="1054"/>
      <c r="F72" s="1033">
        <f t="shared" si="0"/>
        <v>0</v>
      </c>
      <c r="G72" s="1034"/>
      <c r="H72" s="1035"/>
      <c r="I72" s="275">
        <f t="shared" si="3"/>
        <v>-0.29000000000385739</v>
      </c>
      <c r="K72" s="122"/>
      <c r="L72" s="296">
        <f t="shared" si="4"/>
        <v>469</v>
      </c>
      <c r="M72" s="15"/>
      <c r="N72" s="69"/>
      <c r="O72" s="216"/>
      <c r="P72" s="69">
        <f t="shared" si="6"/>
        <v>0</v>
      </c>
      <c r="Q72" s="70"/>
      <c r="R72" s="71"/>
      <c r="S72" s="275">
        <f t="shared" si="5"/>
        <v>13360.279999999999</v>
      </c>
    </row>
    <row r="73" spans="1:19" x14ac:dyDescent="0.25">
      <c r="A73" s="122"/>
      <c r="B73" s="296">
        <f t="shared" si="2"/>
        <v>0</v>
      </c>
      <c r="C73" s="15"/>
      <c r="D73" s="1033"/>
      <c r="E73" s="1054"/>
      <c r="F73" s="1033">
        <f t="shared" si="0"/>
        <v>0</v>
      </c>
      <c r="G73" s="1034"/>
      <c r="H73" s="1035"/>
      <c r="I73" s="275">
        <f t="shared" si="3"/>
        <v>-0.29000000000385739</v>
      </c>
      <c r="K73" s="122"/>
      <c r="L73" s="296">
        <f t="shared" si="4"/>
        <v>469</v>
      </c>
      <c r="M73" s="15"/>
      <c r="N73" s="69"/>
      <c r="O73" s="216"/>
      <c r="P73" s="69">
        <f t="shared" si="6"/>
        <v>0</v>
      </c>
      <c r="Q73" s="70"/>
      <c r="R73" s="71"/>
      <c r="S73" s="275">
        <f t="shared" si="5"/>
        <v>13360.279999999999</v>
      </c>
    </row>
    <row r="74" spans="1:19" x14ac:dyDescent="0.25">
      <c r="A74" s="122"/>
      <c r="B74" s="296">
        <f t="shared" si="2"/>
        <v>0</v>
      </c>
      <c r="C74" s="15"/>
      <c r="D74" s="1033"/>
      <c r="E74" s="1054"/>
      <c r="F74" s="1033">
        <f t="shared" ref="F74" si="7">D74</f>
        <v>0</v>
      </c>
      <c r="G74" s="1034"/>
      <c r="H74" s="1035"/>
      <c r="I74" s="275">
        <f t="shared" si="3"/>
        <v>-0.29000000000385739</v>
      </c>
      <c r="K74" s="122"/>
      <c r="L74" s="296">
        <f t="shared" si="4"/>
        <v>469</v>
      </c>
      <c r="M74" s="15"/>
      <c r="N74" s="69"/>
      <c r="O74" s="216"/>
      <c r="P74" s="69">
        <f t="shared" si="6"/>
        <v>0</v>
      </c>
      <c r="Q74" s="70"/>
      <c r="R74" s="71"/>
      <c r="S74" s="275">
        <f t="shared" si="5"/>
        <v>13360.279999999999</v>
      </c>
    </row>
    <row r="75" spans="1:19" x14ac:dyDescent="0.25">
      <c r="A75" s="122"/>
      <c r="B75" s="83">
        <f t="shared" si="2"/>
        <v>0</v>
      </c>
      <c r="C75" s="15"/>
      <c r="D75" s="1033"/>
      <c r="E75" s="1054"/>
      <c r="F75" s="1033">
        <f>D75</f>
        <v>0</v>
      </c>
      <c r="G75" s="1034"/>
      <c r="H75" s="1035"/>
      <c r="I75" s="275">
        <f t="shared" si="3"/>
        <v>-0.29000000000385739</v>
      </c>
      <c r="K75" s="122"/>
      <c r="L75" s="83">
        <f t="shared" si="4"/>
        <v>469</v>
      </c>
      <c r="M75" s="15"/>
      <c r="N75" s="69"/>
      <c r="O75" s="216"/>
      <c r="P75" s="69">
        <f>N75</f>
        <v>0</v>
      </c>
      <c r="Q75" s="70"/>
      <c r="R75" s="71"/>
      <c r="S75" s="275">
        <f t="shared" si="5"/>
        <v>13360.279999999999</v>
      </c>
    </row>
    <row r="76" spans="1:19" x14ac:dyDescent="0.25">
      <c r="A76" s="122"/>
      <c r="B76" s="83">
        <f t="shared" ref="B76" si="8">B75-C76</f>
        <v>0</v>
      </c>
      <c r="C76" s="15"/>
      <c r="D76" s="1033"/>
      <c r="E76" s="1054"/>
      <c r="F76" s="1033">
        <f>D76</f>
        <v>0</v>
      </c>
      <c r="G76" s="1034"/>
      <c r="H76" s="1035"/>
      <c r="I76" s="275">
        <f t="shared" ref="I76:I77" si="9">I75-F76</f>
        <v>-0.29000000000385739</v>
      </c>
      <c r="K76" s="122"/>
      <c r="L76" s="83">
        <f t="shared" ref="L76" si="10">L75-M76</f>
        <v>469</v>
      </c>
      <c r="M76" s="15"/>
      <c r="N76" s="59"/>
      <c r="O76" s="223"/>
      <c r="P76" s="69">
        <f>N76</f>
        <v>0</v>
      </c>
      <c r="Q76" s="70"/>
      <c r="R76" s="71"/>
      <c r="S76" s="275">
        <f t="shared" ref="S76:S77" si="11">S75-P76</f>
        <v>13360.279999999999</v>
      </c>
    </row>
    <row r="77" spans="1:19" x14ac:dyDescent="0.25">
      <c r="A77" s="122"/>
      <c r="C77" s="15"/>
      <c r="D77" s="59"/>
      <c r="E77" s="223"/>
      <c r="F77" s="69">
        <f>D77</f>
        <v>0</v>
      </c>
      <c r="G77" s="70"/>
      <c r="H77" s="71"/>
      <c r="I77" s="275">
        <f t="shared" si="9"/>
        <v>-0.29000000000385739</v>
      </c>
      <c r="K77" s="122"/>
      <c r="M77" s="15"/>
      <c r="N77" s="59"/>
      <c r="O77" s="223"/>
      <c r="P77" s="69">
        <f>N77</f>
        <v>0</v>
      </c>
      <c r="Q77" s="70"/>
      <c r="R77" s="71"/>
      <c r="S77" s="275">
        <f t="shared" si="11"/>
        <v>13360.279999999999</v>
      </c>
    </row>
    <row r="78" spans="1:19" ht="15.75" thickBot="1" x14ac:dyDescent="0.3">
      <c r="A78" s="122"/>
      <c r="B78" s="16"/>
      <c r="C78" s="52"/>
      <c r="D78" s="107"/>
      <c r="E78" s="209"/>
      <c r="F78" s="103"/>
      <c r="G78" s="104"/>
      <c r="H78" s="60"/>
      <c r="K78" s="122"/>
      <c r="L78" s="16"/>
      <c r="M78" s="52"/>
      <c r="N78" s="107"/>
      <c r="O78" s="209"/>
      <c r="P78" s="103"/>
      <c r="Q78" s="104"/>
      <c r="R78" s="60"/>
    </row>
    <row r="79" spans="1:19" x14ac:dyDescent="0.25">
      <c r="C79" s="53">
        <f>SUM(C10:C78)</f>
        <v>590</v>
      </c>
      <c r="D79" s="6">
        <f>SUM(D10:D78)</f>
        <v>17458.96</v>
      </c>
      <c r="F79" s="6">
        <f>SUM(F10:F78)</f>
        <v>17458.96</v>
      </c>
      <c r="M79" s="53">
        <f>SUM(M10:M78)</f>
        <v>132</v>
      </c>
      <c r="N79" s="6">
        <f>SUM(N10:N78)</f>
        <v>3746.63</v>
      </c>
      <c r="P79" s="6">
        <f>SUM(P10:P78)</f>
        <v>3746.63</v>
      </c>
    </row>
    <row r="81" spans="3:16" ht="15.75" thickBot="1" x14ac:dyDescent="0.3"/>
    <row r="82" spans="3:16" ht="15.75" thickBot="1" x14ac:dyDescent="0.3">
      <c r="D82" s="45" t="s">
        <v>4</v>
      </c>
      <c r="E82" s="56">
        <f>F5+F6-C79+F7</f>
        <v>0</v>
      </c>
      <c r="N82" s="45" t="s">
        <v>4</v>
      </c>
      <c r="O82" s="56">
        <f>P5+P6-M79+P7</f>
        <v>469</v>
      </c>
    </row>
    <row r="83" spans="3:16" ht="15.75" thickBot="1" x14ac:dyDescent="0.3"/>
    <row r="84" spans="3:16" ht="15.75" thickBot="1" x14ac:dyDescent="0.3">
      <c r="C84" s="1200" t="s">
        <v>11</v>
      </c>
      <c r="D84" s="1201"/>
      <c r="E84" s="57">
        <f>E5+E6-F79+E7</f>
        <v>-0.29000000000087311</v>
      </c>
      <c r="F84" s="73"/>
      <c r="M84" s="1200" t="s">
        <v>11</v>
      </c>
      <c r="N84" s="1201"/>
      <c r="O84" s="57">
        <f>O5+O6-P79+O7</f>
        <v>13360.279999999999</v>
      </c>
      <c r="P84" s="73"/>
    </row>
  </sheetData>
  <mergeCells count="6">
    <mergeCell ref="A1:G1"/>
    <mergeCell ref="B4:B6"/>
    <mergeCell ref="C84:D84"/>
    <mergeCell ref="K1:Q1"/>
    <mergeCell ref="L4:L6"/>
    <mergeCell ref="M84:N8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02"/>
      <c r="B1" s="1202"/>
      <c r="C1" s="1202"/>
      <c r="D1" s="1202"/>
      <c r="E1" s="1202"/>
      <c r="F1" s="1202"/>
      <c r="G1" s="120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0"/>
      <c r="H4" s="160"/>
    </row>
    <row r="5" spans="1:9" x14ac:dyDescent="0.25">
      <c r="A5" s="1192"/>
      <c r="B5" s="1206" t="s">
        <v>84</v>
      </c>
      <c r="C5" s="271"/>
      <c r="D5" s="248"/>
      <c r="E5" s="259"/>
      <c r="F5" s="253"/>
      <c r="G5" s="260"/>
    </row>
    <row r="6" spans="1:9" x14ac:dyDescent="0.25">
      <c r="A6" s="1192"/>
      <c r="B6" s="1206"/>
      <c r="C6" s="566"/>
      <c r="D6" s="248"/>
      <c r="E6" s="267"/>
      <c r="F6" s="253"/>
      <c r="G6" s="262"/>
      <c r="H6" s="7">
        <f>E6-G6+E7+E5-G5</f>
        <v>0</v>
      </c>
    </row>
    <row r="7" spans="1:9" ht="15.75" thickBot="1" x14ac:dyDescent="0.3">
      <c r="A7" s="1192"/>
      <c r="B7" s="272"/>
      <c r="C7" s="273"/>
      <c r="D7" s="274"/>
      <c r="E7" s="259"/>
      <c r="F7" s="25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795"/>
      <c r="C9" s="678">
        <v>1</v>
      </c>
      <c r="D9" s="264"/>
      <c r="E9" s="293"/>
      <c r="F9" s="264">
        <f t="shared" ref="F9:F33" si="0">D9</f>
        <v>0</v>
      </c>
      <c r="G9" s="265"/>
      <c r="H9" s="266"/>
      <c r="I9" s="275">
        <f>E6-F9+E5+E7</f>
        <v>0</v>
      </c>
    </row>
    <row r="10" spans="1:9" x14ac:dyDescent="0.25">
      <c r="A10" s="207"/>
      <c r="B10" s="796"/>
      <c r="C10" s="678">
        <v>2</v>
      </c>
      <c r="D10" s="264"/>
      <c r="E10" s="293"/>
      <c r="F10" s="264">
        <f t="shared" si="0"/>
        <v>0</v>
      </c>
      <c r="G10" s="265"/>
      <c r="H10" s="266"/>
      <c r="I10" s="275">
        <f>I9-F10</f>
        <v>0</v>
      </c>
    </row>
    <row r="11" spans="1:9" x14ac:dyDescent="0.25">
      <c r="A11" s="195"/>
      <c r="B11" s="796"/>
      <c r="C11" s="678">
        <v>3</v>
      </c>
      <c r="D11" s="264"/>
      <c r="E11" s="293"/>
      <c r="F11" s="264">
        <f t="shared" si="0"/>
        <v>0</v>
      </c>
      <c r="G11" s="265"/>
      <c r="H11" s="266"/>
      <c r="I11" s="275">
        <f t="shared" ref="I11:I33" si="1">I10-F11</f>
        <v>0</v>
      </c>
    </row>
    <row r="12" spans="1:9" x14ac:dyDescent="0.25">
      <c r="A12" s="195"/>
      <c r="B12" s="796"/>
      <c r="C12" s="678">
        <v>4</v>
      </c>
      <c r="D12" s="264"/>
      <c r="E12" s="293"/>
      <c r="F12" s="264">
        <f t="shared" si="0"/>
        <v>0</v>
      </c>
      <c r="G12" s="265"/>
      <c r="H12" s="266"/>
      <c r="I12" s="275">
        <f t="shared" si="1"/>
        <v>0</v>
      </c>
    </row>
    <row r="13" spans="1:9" x14ac:dyDescent="0.25">
      <c r="A13" s="82" t="s">
        <v>33</v>
      </c>
      <c r="B13" s="796"/>
      <c r="C13" s="678">
        <v>5</v>
      </c>
      <c r="D13" s="264"/>
      <c r="E13" s="293"/>
      <c r="F13" s="264">
        <f t="shared" si="0"/>
        <v>0</v>
      </c>
      <c r="G13" s="265"/>
      <c r="H13" s="266"/>
      <c r="I13" s="275">
        <f t="shared" si="1"/>
        <v>0</v>
      </c>
    </row>
    <row r="14" spans="1:9" x14ac:dyDescent="0.25">
      <c r="A14" s="73"/>
      <c r="B14" s="796"/>
      <c r="C14" s="678">
        <v>6</v>
      </c>
      <c r="D14" s="264"/>
      <c r="E14" s="293"/>
      <c r="F14" s="264">
        <f t="shared" si="0"/>
        <v>0</v>
      </c>
      <c r="G14" s="265"/>
      <c r="H14" s="266"/>
      <c r="I14" s="275">
        <f t="shared" si="1"/>
        <v>0</v>
      </c>
    </row>
    <row r="15" spans="1:9" x14ac:dyDescent="0.25">
      <c r="A15" s="73"/>
      <c r="B15" s="796"/>
      <c r="C15" s="678">
        <v>7</v>
      </c>
      <c r="D15" s="264"/>
      <c r="E15" s="293"/>
      <c r="F15" s="264">
        <f t="shared" si="0"/>
        <v>0</v>
      </c>
      <c r="G15" s="265"/>
      <c r="H15" s="266"/>
      <c r="I15" s="275">
        <f t="shared" si="1"/>
        <v>0</v>
      </c>
    </row>
    <row r="16" spans="1:9" x14ac:dyDescent="0.25">
      <c r="B16" s="796"/>
      <c r="C16" s="678">
        <v>8</v>
      </c>
      <c r="D16" s="264"/>
      <c r="E16" s="293"/>
      <c r="F16" s="264">
        <f t="shared" si="0"/>
        <v>0</v>
      </c>
      <c r="G16" s="265"/>
      <c r="H16" s="266"/>
      <c r="I16" s="275">
        <f t="shared" si="1"/>
        <v>0</v>
      </c>
    </row>
    <row r="17" spans="1:9" x14ac:dyDescent="0.25">
      <c r="B17" s="796"/>
      <c r="C17" s="678">
        <v>9</v>
      </c>
      <c r="D17" s="264"/>
      <c r="E17" s="293"/>
      <c r="F17" s="264">
        <f t="shared" si="0"/>
        <v>0</v>
      </c>
      <c r="G17" s="265"/>
      <c r="H17" s="266"/>
      <c r="I17" s="275">
        <f t="shared" si="1"/>
        <v>0</v>
      </c>
    </row>
    <row r="18" spans="1:9" x14ac:dyDescent="0.25">
      <c r="A18" s="317"/>
      <c r="B18" s="796"/>
      <c r="C18" s="678">
        <v>10</v>
      </c>
      <c r="D18" s="264"/>
      <c r="E18" s="293"/>
      <c r="F18" s="264">
        <f t="shared" si="0"/>
        <v>0</v>
      </c>
      <c r="G18" s="265"/>
      <c r="H18" s="266"/>
      <c r="I18" s="275">
        <f t="shared" si="1"/>
        <v>0</v>
      </c>
    </row>
    <row r="19" spans="1:9" x14ac:dyDescent="0.25">
      <c r="A19" s="317"/>
      <c r="B19" s="796"/>
      <c r="C19" s="678">
        <v>11</v>
      </c>
      <c r="D19" s="264"/>
      <c r="E19" s="293"/>
      <c r="F19" s="264">
        <f t="shared" si="0"/>
        <v>0</v>
      </c>
      <c r="G19" s="265"/>
      <c r="H19" s="266"/>
      <c r="I19" s="275">
        <f t="shared" si="1"/>
        <v>0</v>
      </c>
    </row>
    <row r="20" spans="1:9" x14ac:dyDescent="0.25">
      <c r="A20" s="317"/>
      <c r="B20" s="796"/>
      <c r="C20" s="678">
        <v>12</v>
      </c>
      <c r="D20" s="264"/>
      <c r="E20" s="293"/>
      <c r="F20" s="264">
        <f t="shared" si="0"/>
        <v>0</v>
      </c>
      <c r="G20" s="265"/>
      <c r="H20" s="266"/>
      <c r="I20" s="275">
        <f t="shared" si="1"/>
        <v>0</v>
      </c>
    </row>
    <row r="21" spans="1:9" x14ac:dyDescent="0.25">
      <c r="A21" s="122"/>
      <c r="C21" s="794">
        <v>13</v>
      </c>
      <c r="D21" s="264"/>
      <c r="E21" s="293"/>
      <c r="F21" s="264">
        <f t="shared" si="0"/>
        <v>0</v>
      </c>
      <c r="G21" s="265"/>
      <c r="H21" s="266"/>
      <c r="I21" s="275">
        <f t="shared" si="1"/>
        <v>0</v>
      </c>
    </row>
    <row r="22" spans="1:9" x14ac:dyDescent="0.25">
      <c r="A22" s="122"/>
      <c r="C22" s="794">
        <v>14</v>
      </c>
      <c r="D22" s="264"/>
      <c r="E22" s="293"/>
      <c r="F22" s="264">
        <f t="shared" si="0"/>
        <v>0</v>
      </c>
      <c r="G22" s="265"/>
      <c r="H22" s="266"/>
      <c r="I22" s="275">
        <f t="shared" si="1"/>
        <v>0</v>
      </c>
    </row>
    <row r="23" spans="1:9" x14ac:dyDescent="0.25">
      <c r="A23" s="123"/>
      <c r="C23" s="794">
        <v>15</v>
      </c>
      <c r="D23" s="264"/>
      <c r="E23" s="293"/>
      <c r="F23" s="264">
        <f t="shared" si="0"/>
        <v>0</v>
      </c>
      <c r="G23" s="265"/>
      <c r="H23" s="266"/>
      <c r="I23" s="275">
        <f t="shared" si="1"/>
        <v>0</v>
      </c>
    </row>
    <row r="24" spans="1:9" x14ac:dyDescent="0.25">
      <c r="A24" s="122"/>
      <c r="C24" s="794">
        <v>16</v>
      </c>
      <c r="D24" s="264"/>
      <c r="E24" s="293"/>
      <c r="F24" s="264">
        <f t="shared" si="0"/>
        <v>0</v>
      </c>
      <c r="G24" s="265"/>
      <c r="H24" s="266"/>
      <c r="I24" s="275">
        <f t="shared" si="1"/>
        <v>0</v>
      </c>
    </row>
    <row r="25" spans="1:9" x14ac:dyDescent="0.25">
      <c r="A25" s="122"/>
      <c r="C25" s="794">
        <v>17</v>
      </c>
      <c r="D25" s="264"/>
      <c r="E25" s="293"/>
      <c r="F25" s="264">
        <f t="shared" si="0"/>
        <v>0</v>
      </c>
      <c r="G25" s="265"/>
      <c r="H25" s="266"/>
      <c r="I25" s="275">
        <f t="shared" si="1"/>
        <v>0</v>
      </c>
    </row>
    <row r="26" spans="1:9" x14ac:dyDescent="0.25">
      <c r="A26" s="122"/>
      <c r="C26" s="794">
        <v>18</v>
      </c>
      <c r="D26" s="264"/>
      <c r="E26" s="293"/>
      <c r="F26" s="264">
        <f t="shared" si="0"/>
        <v>0</v>
      </c>
      <c r="G26" s="265"/>
      <c r="H26" s="266"/>
      <c r="I26" s="275">
        <f t="shared" si="1"/>
        <v>0</v>
      </c>
    </row>
    <row r="27" spans="1:9" x14ac:dyDescent="0.25">
      <c r="A27" s="122"/>
      <c r="C27" s="794">
        <v>19</v>
      </c>
      <c r="D27" s="264"/>
      <c r="E27" s="293"/>
      <c r="F27" s="264">
        <f t="shared" si="0"/>
        <v>0</v>
      </c>
      <c r="G27" s="265"/>
      <c r="H27" s="266"/>
      <c r="I27" s="275">
        <f t="shared" si="1"/>
        <v>0</v>
      </c>
    </row>
    <row r="28" spans="1:9" x14ac:dyDescent="0.25">
      <c r="A28" s="122"/>
      <c r="C28" s="794">
        <v>20</v>
      </c>
      <c r="D28" s="264"/>
      <c r="E28" s="293"/>
      <c r="F28" s="264">
        <f t="shared" si="0"/>
        <v>0</v>
      </c>
      <c r="G28" s="265"/>
      <c r="H28" s="266"/>
      <c r="I28" s="275">
        <f t="shared" si="1"/>
        <v>0</v>
      </c>
    </row>
    <row r="29" spans="1:9" x14ac:dyDescent="0.25">
      <c r="A29" s="122"/>
      <c r="C29" s="794">
        <v>21</v>
      </c>
      <c r="D29" s="264"/>
      <c r="E29" s="293"/>
      <c r="F29" s="264">
        <f t="shared" si="0"/>
        <v>0</v>
      </c>
      <c r="G29" s="265"/>
      <c r="H29" s="266"/>
      <c r="I29" s="275">
        <f t="shared" si="1"/>
        <v>0</v>
      </c>
    </row>
    <row r="30" spans="1:9" x14ac:dyDescent="0.25">
      <c r="A30" s="122"/>
      <c r="C30" s="794">
        <v>22</v>
      </c>
      <c r="D30" s="264"/>
      <c r="E30" s="293"/>
      <c r="F30" s="264">
        <f t="shared" si="0"/>
        <v>0</v>
      </c>
      <c r="G30" s="265"/>
      <c r="H30" s="266"/>
      <c r="I30" s="275">
        <f t="shared" si="1"/>
        <v>0</v>
      </c>
    </row>
    <row r="31" spans="1:9" x14ac:dyDescent="0.25">
      <c r="A31" s="122"/>
      <c r="C31" s="794">
        <v>23</v>
      </c>
      <c r="D31" s="264"/>
      <c r="E31" s="293"/>
      <c r="F31" s="264">
        <f t="shared" si="0"/>
        <v>0</v>
      </c>
      <c r="G31" s="265"/>
      <c r="H31" s="266"/>
      <c r="I31" s="275">
        <f t="shared" si="1"/>
        <v>0</v>
      </c>
    </row>
    <row r="32" spans="1:9" x14ac:dyDescent="0.25">
      <c r="A32" s="122"/>
      <c r="C32" s="794">
        <v>24</v>
      </c>
      <c r="D32" s="264"/>
      <c r="E32" s="293"/>
      <c r="F32" s="264">
        <f t="shared" si="0"/>
        <v>0</v>
      </c>
      <c r="G32" s="265"/>
      <c r="H32" s="266"/>
      <c r="I32" s="275">
        <f t="shared" si="1"/>
        <v>0</v>
      </c>
    </row>
    <row r="33" spans="1:9" x14ac:dyDescent="0.25">
      <c r="A33" s="122"/>
      <c r="B33" s="794"/>
      <c r="C33" s="15"/>
      <c r="D33" s="264"/>
      <c r="E33" s="293"/>
      <c r="F33" s="264">
        <f t="shared" si="0"/>
        <v>0</v>
      </c>
      <c r="G33" s="265"/>
      <c r="H33" s="266"/>
      <c r="I33" s="275">
        <f t="shared" si="1"/>
        <v>0</v>
      </c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</row>
    <row r="35" spans="1:9" ht="15.75" x14ac:dyDescent="0.25">
      <c r="C35" s="53">
        <f>SUM(C9:C34)</f>
        <v>300</v>
      </c>
      <c r="D35" s="797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200" t="s">
        <v>11</v>
      </c>
      <c r="D40" s="1201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02"/>
      <c r="B1" s="1202"/>
      <c r="C1" s="1202"/>
      <c r="D1" s="1202"/>
      <c r="E1" s="1202"/>
      <c r="F1" s="1202"/>
      <c r="G1" s="1202"/>
      <c r="H1" s="11">
        <v>1</v>
      </c>
      <c r="I1" s="321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6"/>
    </row>
    <row r="4" spans="1:13" ht="15.75" thickTop="1" x14ac:dyDescent="0.25">
      <c r="A4" s="294"/>
      <c r="B4" s="294"/>
      <c r="C4" s="294"/>
      <c r="D4" s="243"/>
      <c r="E4" s="334"/>
      <c r="F4" s="253"/>
      <c r="G4" s="160"/>
      <c r="H4" s="160"/>
      <c r="I4" s="160"/>
    </row>
    <row r="5" spans="1:13" x14ac:dyDescent="0.25">
      <c r="A5" s="1192"/>
      <c r="B5" s="1207"/>
      <c r="C5" s="248"/>
      <c r="D5" s="248"/>
      <c r="E5" s="259"/>
      <c r="F5" s="253"/>
      <c r="G5" s="295"/>
      <c r="H5" t="s">
        <v>41</v>
      </c>
    </row>
    <row r="6" spans="1:13" ht="15.75" x14ac:dyDescent="0.25">
      <c r="A6" s="1192"/>
      <c r="B6" s="1207"/>
      <c r="C6" s="700"/>
      <c r="D6" s="261"/>
      <c r="E6" s="259"/>
      <c r="F6" s="253"/>
      <c r="G6" s="262"/>
      <c r="H6" s="7">
        <f>E6-G6+E7+E5-G5+E4+E8</f>
        <v>0</v>
      </c>
      <c r="I6" s="260"/>
    </row>
    <row r="7" spans="1:13" x14ac:dyDescent="0.25">
      <c r="A7" s="240"/>
      <c r="B7" s="282"/>
      <c r="C7" s="283"/>
      <c r="D7" s="248"/>
      <c r="E7" s="259"/>
      <c r="F7" s="253"/>
      <c r="G7" s="240"/>
      <c r="H7" s="240"/>
    </row>
    <row r="8" spans="1:13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17"/>
    </row>
    <row r="10" spans="1:13" ht="15.75" thickTop="1" x14ac:dyDescent="0.25">
      <c r="A10" s="80" t="s">
        <v>32</v>
      </c>
      <c r="B10" s="284">
        <f>F4+F5+F6+F7-C10+F8</f>
        <v>0</v>
      </c>
      <c r="C10" s="15"/>
      <c r="D10" s="264"/>
      <c r="E10" s="293"/>
      <c r="F10" s="264">
        <f t="shared" ref="F10:F33" si="0">D10</f>
        <v>0</v>
      </c>
      <c r="G10" s="265"/>
      <c r="H10" s="266"/>
      <c r="I10" s="318">
        <f>E4+E5+E6+E7-F10+E8</f>
        <v>0</v>
      </c>
      <c r="J10" s="240"/>
    </row>
    <row r="11" spans="1:13" x14ac:dyDescent="0.25">
      <c r="A11" s="207"/>
      <c r="B11" s="284">
        <f>B10-C11</f>
        <v>0</v>
      </c>
      <c r="C11" s="15"/>
      <c r="D11" s="264"/>
      <c r="E11" s="293"/>
      <c r="F11" s="264">
        <f t="shared" si="0"/>
        <v>0</v>
      </c>
      <c r="G11" s="265"/>
      <c r="H11" s="266"/>
      <c r="I11" s="318">
        <f>I10-F11</f>
        <v>0</v>
      </c>
      <c r="J11" s="240"/>
    </row>
    <row r="12" spans="1:13" x14ac:dyDescent="0.25">
      <c r="A12" s="195"/>
      <c r="B12" s="284">
        <f t="shared" ref="B12:B28" si="1">B11-C12</f>
        <v>0</v>
      </c>
      <c r="C12" s="15"/>
      <c r="D12" s="264"/>
      <c r="E12" s="293"/>
      <c r="F12" s="264">
        <f t="shared" si="0"/>
        <v>0</v>
      </c>
      <c r="G12" s="265"/>
      <c r="H12" s="266"/>
      <c r="I12" s="318">
        <f t="shared" ref="I12:I30" si="2">I11-F12</f>
        <v>0</v>
      </c>
      <c r="J12" s="240"/>
      <c r="K12" s="240"/>
      <c r="L12" s="240"/>
      <c r="M12" s="240"/>
    </row>
    <row r="13" spans="1:13" x14ac:dyDescent="0.25">
      <c r="A13" s="82" t="s">
        <v>33</v>
      </c>
      <c r="B13" s="284">
        <f t="shared" si="1"/>
        <v>0</v>
      </c>
      <c r="C13" s="15"/>
      <c r="D13" s="264"/>
      <c r="E13" s="293"/>
      <c r="F13" s="264">
        <f t="shared" si="0"/>
        <v>0</v>
      </c>
      <c r="G13" s="265"/>
      <c r="H13" s="266"/>
      <c r="I13" s="318">
        <f t="shared" si="2"/>
        <v>0</v>
      </c>
      <c r="J13" s="240"/>
      <c r="K13" s="240"/>
      <c r="L13" s="240"/>
      <c r="M13" s="240"/>
    </row>
    <row r="14" spans="1:13" x14ac:dyDescent="0.25">
      <c r="A14" s="73"/>
      <c r="B14" s="284">
        <f t="shared" si="1"/>
        <v>0</v>
      </c>
      <c r="C14" s="15"/>
      <c r="D14" s="264"/>
      <c r="E14" s="293"/>
      <c r="F14" s="264">
        <f t="shared" si="0"/>
        <v>0</v>
      </c>
      <c r="G14" s="265"/>
      <c r="H14" s="266"/>
      <c r="I14" s="318">
        <f t="shared" si="2"/>
        <v>0</v>
      </c>
      <c r="J14" s="240"/>
      <c r="K14" s="240"/>
      <c r="L14" s="240"/>
      <c r="M14" s="240"/>
    </row>
    <row r="15" spans="1:13" x14ac:dyDescent="0.25">
      <c r="A15" s="73"/>
      <c r="B15" s="284">
        <f t="shared" si="1"/>
        <v>0</v>
      </c>
      <c r="C15" s="15"/>
      <c r="D15" s="264"/>
      <c r="E15" s="293"/>
      <c r="F15" s="264">
        <f t="shared" si="0"/>
        <v>0</v>
      </c>
      <c r="G15" s="265"/>
      <c r="H15" s="266"/>
      <c r="I15" s="318">
        <f t="shared" si="2"/>
        <v>0</v>
      </c>
      <c r="J15" s="240"/>
      <c r="K15" s="240"/>
      <c r="L15" s="240"/>
      <c r="M15" s="240"/>
    </row>
    <row r="16" spans="1:13" x14ac:dyDescent="0.25">
      <c r="B16" s="284">
        <f t="shared" si="1"/>
        <v>0</v>
      </c>
      <c r="C16" s="15"/>
      <c r="D16" s="69"/>
      <c r="E16" s="293"/>
      <c r="F16" s="264">
        <f t="shared" si="0"/>
        <v>0</v>
      </c>
      <c r="G16" s="265"/>
      <c r="H16" s="266"/>
      <c r="I16" s="318">
        <f t="shared" si="2"/>
        <v>0</v>
      </c>
      <c r="J16" s="240"/>
      <c r="K16" s="240"/>
      <c r="L16" s="240"/>
      <c r="M16" s="240"/>
    </row>
    <row r="17" spans="1:13" x14ac:dyDescent="0.25">
      <c r="B17" s="284">
        <f t="shared" si="1"/>
        <v>0</v>
      </c>
      <c r="C17" s="15"/>
      <c r="D17" s="69"/>
      <c r="E17" s="293"/>
      <c r="F17" s="264">
        <f t="shared" si="0"/>
        <v>0</v>
      </c>
      <c r="G17" s="265"/>
      <c r="H17" s="266"/>
      <c r="I17" s="318">
        <f t="shared" si="2"/>
        <v>0</v>
      </c>
      <c r="J17" s="240"/>
      <c r="K17" s="240"/>
      <c r="L17" s="240"/>
      <c r="M17" s="240"/>
    </row>
    <row r="18" spans="1:13" x14ac:dyDescent="0.25">
      <c r="A18" s="122"/>
      <c r="B18" s="284">
        <f t="shared" si="1"/>
        <v>0</v>
      </c>
      <c r="C18" s="15"/>
      <c r="D18" s="69"/>
      <c r="E18" s="293"/>
      <c r="F18" s="264">
        <f t="shared" si="0"/>
        <v>0</v>
      </c>
      <c r="G18" s="265"/>
      <c r="H18" s="266"/>
      <c r="I18" s="318">
        <f t="shared" si="2"/>
        <v>0</v>
      </c>
      <c r="J18" s="240"/>
      <c r="K18" s="240"/>
      <c r="L18" s="240"/>
      <c r="M18" s="240"/>
    </row>
    <row r="19" spans="1:13" x14ac:dyDescent="0.25">
      <c r="A19" s="122"/>
      <c r="B19" s="284">
        <f t="shared" si="1"/>
        <v>0</v>
      </c>
      <c r="C19" s="15"/>
      <c r="D19" s="69"/>
      <c r="E19" s="293"/>
      <c r="F19" s="264">
        <f t="shared" si="0"/>
        <v>0</v>
      </c>
      <c r="G19" s="265"/>
      <c r="H19" s="266"/>
      <c r="I19" s="318">
        <f t="shared" si="2"/>
        <v>0</v>
      </c>
      <c r="J19" s="240"/>
      <c r="K19" s="240"/>
      <c r="L19" s="240"/>
      <c r="M19" s="240"/>
    </row>
    <row r="20" spans="1:13" x14ac:dyDescent="0.25">
      <c r="A20" s="122"/>
      <c r="B20" s="284">
        <f t="shared" si="1"/>
        <v>0</v>
      </c>
      <c r="C20" s="15"/>
      <c r="D20" s="69"/>
      <c r="E20" s="293"/>
      <c r="F20" s="264">
        <f t="shared" si="0"/>
        <v>0</v>
      </c>
      <c r="G20" s="265"/>
      <c r="H20" s="266"/>
      <c r="I20" s="318">
        <f t="shared" si="2"/>
        <v>0</v>
      </c>
      <c r="J20" s="240"/>
      <c r="K20" s="240"/>
      <c r="L20" s="240"/>
      <c r="M20" s="240"/>
    </row>
    <row r="21" spans="1:13" x14ac:dyDescent="0.25">
      <c r="A21" s="122"/>
      <c r="B21" s="284">
        <f t="shared" si="1"/>
        <v>0</v>
      </c>
      <c r="C21" s="15"/>
      <c r="D21" s="69"/>
      <c r="E21" s="293"/>
      <c r="F21" s="264">
        <f t="shared" si="0"/>
        <v>0</v>
      </c>
      <c r="G21" s="265"/>
      <c r="H21" s="266"/>
      <c r="I21" s="318">
        <f t="shared" si="2"/>
        <v>0</v>
      </c>
      <c r="J21" s="240"/>
    </row>
    <row r="22" spans="1:13" x14ac:dyDescent="0.25">
      <c r="A22" s="122"/>
      <c r="B22" s="284">
        <f t="shared" si="1"/>
        <v>0</v>
      </c>
      <c r="C22" s="15"/>
      <c r="D22" s="69"/>
      <c r="E22" s="216"/>
      <c r="F22" s="69">
        <f t="shared" si="0"/>
        <v>0</v>
      </c>
      <c r="G22" s="265"/>
      <c r="H22" s="266"/>
      <c r="I22" s="219">
        <f t="shared" si="2"/>
        <v>0</v>
      </c>
      <c r="J22" s="240"/>
    </row>
    <row r="23" spans="1:13" x14ac:dyDescent="0.25">
      <c r="A23" s="123"/>
      <c r="B23" s="284">
        <f t="shared" si="1"/>
        <v>0</v>
      </c>
      <c r="C23" s="15"/>
      <c r="D23" s="69"/>
      <c r="E23" s="216"/>
      <c r="F23" s="69">
        <f t="shared" si="0"/>
        <v>0</v>
      </c>
      <c r="G23" s="265"/>
      <c r="H23" s="266"/>
      <c r="I23" s="219">
        <f t="shared" si="2"/>
        <v>0</v>
      </c>
      <c r="J23" s="240"/>
    </row>
    <row r="24" spans="1:13" x14ac:dyDescent="0.25">
      <c r="A24" s="122"/>
      <c r="B24" s="284">
        <f t="shared" si="1"/>
        <v>0</v>
      </c>
      <c r="C24" s="15"/>
      <c r="D24" s="69"/>
      <c r="E24" s="216"/>
      <c r="F24" s="69">
        <f t="shared" si="0"/>
        <v>0</v>
      </c>
      <c r="G24" s="265"/>
      <c r="H24" s="266"/>
      <c r="I24" s="219">
        <f t="shared" si="2"/>
        <v>0</v>
      </c>
      <c r="J24" s="240"/>
    </row>
    <row r="25" spans="1:13" x14ac:dyDescent="0.25">
      <c r="A25" s="122"/>
      <c r="B25" s="284">
        <f t="shared" si="1"/>
        <v>0</v>
      </c>
      <c r="C25" s="15"/>
      <c r="D25" s="69"/>
      <c r="E25" s="216"/>
      <c r="F25" s="69">
        <f t="shared" si="0"/>
        <v>0</v>
      </c>
      <c r="G25" s="265"/>
      <c r="H25" s="266"/>
      <c r="I25" s="219">
        <f t="shared" si="2"/>
        <v>0</v>
      </c>
      <c r="J25" s="240"/>
    </row>
    <row r="26" spans="1:13" x14ac:dyDescent="0.25">
      <c r="A26" s="122"/>
      <c r="B26" s="284">
        <f t="shared" si="1"/>
        <v>0</v>
      </c>
      <c r="C26" s="15"/>
      <c r="D26" s="69"/>
      <c r="E26" s="216"/>
      <c r="F26" s="69">
        <f t="shared" si="0"/>
        <v>0</v>
      </c>
      <c r="G26" s="265"/>
      <c r="H26" s="266"/>
      <c r="I26" s="219">
        <f t="shared" si="2"/>
        <v>0</v>
      </c>
      <c r="J26" s="240"/>
    </row>
    <row r="27" spans="1:13" x14ac:dyDescent="0.25">
      <c r="A27" s="122"/>
      <c r="B27" s="284">
        <f t="shared" si="1"/>
        <v>0</v>
      </c>
      <c r="C27" s="15"/>
      <c r="D27" s="69"/>
      <c r="E27" s="216"/>
      <c r="F27" s="69">
        <v>0</v>
      </c>
      <c r="G27" s="265"/>
      <c r="H27" s="266"/>
      <c r="I27" s="318">
        <f t="shared" si="2"/>
        <v>0</v>
      </c>
      <c r="J27" s="240"/>
    </row>
    <row r="28" spans="1:13" x14ac:dyDescent="0.25">
      <c r="A28" s="122"/>
      <c r="B28" s="284">
        <f t="shared" si="1"/>
        <v>0</v>
      </c>
      <c r="C28" s="15"/>
      <c r="D28" s="69"/>
      <c r="E28" s="216"/>
      <c r="F28" s="69">
        <f t="shared" si="0"/>
        <v>0</v>
      </c>
      <c r="G28" s="265"/>
      <c r="H28" s="266"/>
      <c r="I28" s="318">
        <f t="shared" si="2"/>
        <v>0</v>
      </c>
    </row>
    <row r="29" spans="1:13" x14ac:dyDescent="0.25">
      <c r="A29" s="122"/>
      <c r="B29" s="284"/>
      <c r="C29" s="15"/>
      <c r="D29" s="69"/>
      <c r="E29" s="216"/>
      <c r="F29" s="69">
        <f t="shared" si="0"/>
        <v>0</v>
      </c>
      <c r="G29" s="265"/>
      <c r="H29" s="266"/>
      <c r="I29" s="318">
        <f t="shared" si="2"/>
        <v>0</v>
      </c>
    </row>
    <row r="30" spans="1:13" x14ac:dyDescent="0.25">
      <c r="A30" s="122"/>
      <c r="B30" s="284"/>
      <c r="C30" s="15"/>
      <c r="D30" s="69"/>
      <c r="E30" s="216"/>
      <c r="F30" s="69">
        <f t="shared" si="0"/>
        <v>0</v>
      </c>
      <c r="G30" s="265"/>
      <c r="H30" s="266"/>
      <c r="I30" s="318">
        <f t="shared" si="2"/>
        <v>0</v>
      </c>
    </row>
    <row r="31" spans="1:13" x14ac:dyDescent="0.25">
      <c r="A31" s="122"/>
      <c r="B31" s="284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4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5"/>
      <c r="H33" s="266"/>
      <c r="I33" s="266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00" t="s">
        <v>11</v>
      </c>
      <c r="D40" s="1201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40"/>
  <sheetViews>
    <sheetView workbookViewId="0">
      <selection activeCell="C25" sqref="C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1056"/>
  </cols>
  <sheetData>
    <row r="1" spans="1:9" ht="40.5" x14ac:dyDescent="0.55000000000000004">
      <c r="A1" s="1202" t="s">
        <v>556</v>
      </c>
      <c r="B1" s="1202"/>
      <c r="C1" s="1202"/>
      <c r="D1" s="1202"/>
      <c r="E1" s="1202"/>
      <c r="F1" s="1202"/>
      <c r="G1" s="1202"/>
      <c r="H1" s="11">
        <v>2</v>
      </c>
      <c r="I1" s="1055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057"/>
    </row>
    <row r="4" spans="1:9" ht="15.75" thickTop="1" x14ac:dyDescent="0.25">
      <c r="A4" s="294"/>
      <c r="B4" s="294"/>
      <c r="C4" s="294"/>
      <c r="D4" s="243"/>
      <c r="E4" s="334"/>
      <c r="F4" s="253"/>
      <c r="G4" s="160"/>
      <c r="H4" s="160"/>
      <c r="I4" s="1058"/>
    </row>
    <row r="5" spans="1:9" x14ac:dyDescent="0.25">
      <c r="A5" s="1196" t="s">
        <v>567</v>
      </c>
      <c r="B5" s="1208" t="s">
        <v>568</v>
      </c>
      <c r="C5" s="283">
        <v>150.93</v>
      </c>
      <c r="D5" s="248">
        <v>44704</v>
      </c>
      <c r="E5" s="259">
        <v>304.04000000000002</v>
      </c>
      <c r="F5" s="253">
        <v>10</v>
      </c>
      <c r="G5" s="295"/>
      <c r="H5" t="s">
        <v>41</v>
      </c>
    </row>
    <row r="6" spans="1:9" ht="15.75" x14ac:dyDescent="0.25">
      <c r="A6" s="1196"/>
      <c r="B6" s="1208"/>
      <c r="C6" s="700"/>
      <c r="D6" s="261"/>
      <c r="E6" s="259"/>
      <c r="F6" s="253"/>
      <c r="G6" s="262">
        <f>F35</f>
        <v>0</v>
      </c>
      <c r="H6" s="7">
        <f>E6-G6+E7+E5-G5+E4+E8</f>
        <v>304.04000000000002</v>
      </c>
      <c r="I6" s="1059"/>
    </row>
    <row r="7" spans="1:9" x14ac:dyDescent="0.25">
      <c r="A7" s="240"/>
      <c r="B7" s="282"/>
      <c r="C7" s="283"/>
      <c r="D7" s="248"/>
      <c r="E7" s="259"/>
      <c r="F7" s="253"/>
      <c r="G7" s="240"/>
      <c r="H7" s="240"/>
    </row>
    <row r="8" spans="1:9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1060"/>
    </row>
    <row r="10" spans="1:9" ht="15.75" thickTop="1" x14ac:dyDescent="0.25">
      <c r="A10" s="80" t="s">
        <v>32</v>
      </c>
      <c r="B10" s="284">
        <f>F4+F5+F6+F7-C10+F8</f>
        <v>10</v>
      </c>
      <c r="C10" s="15"/>
      <c r="D10" s="264"/>
      <c r="E10" s="293"/>
      <c r="F10" s="264">
        <f t="shared" ref="F10:F26" si="0">D10</f>
        <v>0</v>
      </c>
      <c r="G10" s="265"/>
      <c r="H10" s="266"/>
      <c r="I10" s="301">
        <f>E4+E5+E6+E7-F10+E8</f>
        <v>304.04000000000002</v>
      </c>
    </row>
    <row r="11" spans="1:9" x14ac:dyDescent="0.25">
      <c r="A11" s="207"/>
      <c r="B11" s="284">
        <f>B10-C11</f>
        <v>10</v>
      </c>
      <c r="C11" s="15"/>
      <c r="D11" s="264"/>
      <c r="E11" s="293"/>
      <c r="F11" s="264">
        <f t="shared" si="0"/>
        <v>0</v>
      </c>
      <c r="G11" s="265"/>
      <c r="H11" s="266"/>
      <c r="I11" s="301">
        <f>I10-F11</f>
        <v>304.04000000000002</v>
      </c>
    </row>
    <row r="12" spans="1:9" x14ac:dyDescent="0.25">
      <c r="A12" s="195"/>
      <c r="B12" s="284">
        <f t="shared" ref="B12:B28" si="1">B11-C12</f>
        <v>10</v>
      </c>
      <c r="C12" s="15"/>
      <c r="D12" s="264"/>
      <c r="E12" s="293"/>
      <c r="F12" s="264">
        <f t="shared" si="0"/>
        <v>0</v>
      </c>
      <c r="G12" s="265"/>
      <c r="H12" s="266"/>
      <c r="I12" s="301">
        <f t="shared" ref="I12:I30" si="2">I11-F12</f>
        <v>304.04000000000002</v>
      </c>
    </row>
    <row r="13" spans="1:9" x14ac:dyDescent="0.25">
      <c r="A13" s="82" t="s">
        <v>33</v>
      </c>
      <c r="B13" s="284">
        <f t="shared" si="1"/>
        <v>10</v>
      </c>
      <c r="C13" s="15"/>
      <c r="D13" s="264"/>
      <c r="E13" s="293"/>
      <c r="F13" s="264">
        <f t="shared" si="0"/>
        <v>0</v>
      </c>
      <c r="G13" s="265"/>
      <c r="H13" s="266"/>
      <c r="I13" s="301">
        <f t="shared" si="2"/>
        <v>304.04000000000002</v>
      </c>
    </row>
    <row r="14" spans="1:9" x14ac:dyDescent="0.25">
      <c r="A14" s="73"/>
      <c r="B14" s="284">
        <f t="shared" si="1"/>
        <v>10</v>
      </c>
      <c r="C14" s="15"/>
      <c r="D14" s="264"/>
      <c r="E14" s="293"/>
      <c r="F14" s="264">
        <f t="shared" si="0"/>
        <v>0</v>
      </c>
      <c r="G14" s="265"/>
      <c r="H14" s="266"/>
      <c r="I14" s="301">
        <f t="shared" si="2"/>
        <v>304.04000000000002</v>
      </c>
    </row>
    <row r="15" spans="1:9" x14ac:dyDescent="0.25">
      <c r="A15" s="73"/>
      <c r="B15" s="284">
        <f t="shared" si="1"/>
        <v>10</v>
      </c>
      <c r="C15" s="15"/>
      <c r="D15" s="264"/>
      <c r="E15" s="293"/>
      <c r="F15" s="264">
        <f t="shared" si="0"/>
        <v>0</v>
      </c>
      <c r="G15" s="265"/>
      <c r="H15" s="266"/>
      <c r="I15" s="301">
        <f t="shared" si="2"/>
        <v>304.04000000000002</v>
      </c>
    </row>
    <row r="16" spans="1:9" x14ac:dyDescent="0.25">
      <c r="B16" s="284">
        <f t="shared" si="1"/>
        <v>10</v>
      </c>
      <c r="C16" s="15"/>
      <c r="D16" s="69"/>
      <c r="E16" s="293"/>
      <c r="F16" s="264">
        <f t="shared" si="0"/>
        <v>0</v>
      </c>
      <c r="G16" s="265"/>
      <c r="H16" s="266"/>
      <c r="I16" s="301">
        <f t="shared" si="2"/>
        <v>304.04000000000002</v>
      </c>
    </row>
    <row r="17" spans="1:9" x14ac:dyDescent="0.25">
      <c r="B17" s="284">
        <f t="shared" si="1"/>
        <v>10</v>
      </c>
      <c r="C17" s="15"/>
      <c r="D17" s="69"/>
      <c r="E17" s="293"/>
      <c r="F17" s="264">
        <f t="shared" si="0"/>
        <v>0</v>
      </c>
      <c r="G17" s="265"/>
      <c r="H17" s="266"/>
      <c r="I17" s="301">
        <f t="shared" si="2"/>
        <v>304.04000000000002</v>
      </c>
    </row>
    <row r="18" spans="1:9" x14ac:dyDescent="0.25">
      <c r="A18" s="122"/>
      <c r="B18" s="284">
        <f t="shared" si="1"/>
        <v>10</v>
      </c>
      <c r="C18" s="15"/>
      <c r="D18" s="69"/>
      <c r="E18" s="293"/>
      <c r="F18" s="264">
        <f t="shared" si="0"/>
        <v>0</v>
      </c>
      <c r="G18" s="265"/>
      <c r="H18" s="266"/>
      <c r="I18" s="301">
        <f t="shared" si="2"/>
        <v>304.04000000000002</v>
      </c>
    </row>
    <row r="19" spans="1:9" x14ac:dyDescent="0.25">
      <c r="A19" s="122"/>
      <c r="B19" s="284">
        <f t="shared" si="1"/>
        <v>10</v>
      </c>
      <c r="C19" s="15"/>
      <c r="D19" s="69"/>
      <c r="E19" s="293"/>
      <c r="F19" s="264">
        <f t="shared" si="0"/>
        <v>0</v>
      </c>
      <c r="G19" s="265"/>
      <c r="H19" s="266"/>
      <c r="I19" s="301">
        <f t="shared" si="2"/>
        <v>304.04000000000002</v>
      </c>
    </row>
    <row r="20" spans="1:9" x14ac:dyDescent="0.25">
      <c r="A20" s="122"/>
      <c r="B20" s="284">
        <f t="shared" si="1"/>
        <v>10</v>
      </c>
      <c r="C20" s="15"/>
      <c r="D20" s="69"/>
      <c r="E20" s="293"/>
      <c r="F20" s="264">
        <f t="shared" si="0"/>
        <v>0</v>
      </c>
      <c r="G20" s="265"/>
      <c r="H20" s="266"/>
      <c r="I20" s="301">
        <f t="shared" si="2"/>
        <v>304.04000000000002</v>
      </c>
    </row>
    <row r="21" spans="1:9" x14ac:dyDescent="0.25">
      <c r="A21" s="122"/>
      <c r="B21" s="284">
        <f t="shared" si="1"/>
        <v>10</v>
      </c>
      <c r="C21" s="15"/>
      <c r="D21" s="69"/>
      <c r="E21" s="293"/>
      <c r="F21" s="264">
        <f t="shared" si="0"/>
        <v>0</v>
      </c>
      <c r="G21" s="265"/>
      <c r="H21" s="266"/>
      <c r="I21" s="301">
        <f t="shared" si="2"/>
        <v>304.04000000000002</v>
      </c>
    </row>
    <row r="22" spans="1:9" x14ac:dyDescent="0.25">
      <c r="A22" s="122"/>
      <c r="B22" s="284">
        <f t="shared" si="1"/>
        <v>10</v>
      </c>
      <c r="C22" s="15"/>
      <c r="D22" s="69"/>
      <c r="E22" s="216"/>
      <c r="F22" s="69">
        <f t="shared" si="0"/>
        <v>0</v>
      </c>
      <c r="G22" s="265"/>
      <c r="H22" s="266"/>
      <c r="I22" s="60">
        <f t="shared" si="2"/>
        <v>304.04000000000002</v>
      </c>
    </row>
    <row r="23" spans="1:9" x14ac:dyDescent="0.25">
      <c r="A23" s="123"/>
      <c r="B23" s="284">
        <f t="shared" si="1"/>
        <v>10</v>
      </c>
      <c r="C23" s="15"/>
      <c r="D23" s="69"/>
      <c r="E23" s="216"/>
      <c r="F23" s="69">
        <f t="shared" si="0"/>
        <v>0</v>
      </c>
      <c r="G23" s="265"/>
      <c r="H23" s="266"/>
      <c r="I23" s="60">
        <f t="shared" si="2"/>
        <v>304.04000000000002</v>
      </c>
    </row>
    <row r="24" spans="1:9" x14ac:dyDescent="0.25">
      <c r="A24" s="122"/>
      <c r="B24" s="284">
        <f t="shared" si="1"/>
        <v>10</v>
      </c>
      <c r="C24" s="15"/>
      <c r="D24" s="69"/>
      <c r="E24" s="216"/>
      <c r="F24" s="69">
        <f t="shared" si="0"/>
        <v>0</v>
      </c>
      <c r="G24" s="265"/>
      <c r="H24" s="266"/>
      <c r="I24" s="60">
        <f t="shared" si="2"/>
        <v>304.04000000000002</v>
      </c>
    </row>
    <row r="25" spans="1:9" x14ac:dyDescent="0.25">
      <c r="A25" s="122"/>
      <c r="B25" s="284">
        <f t="shared" si="1"/>
        <v>10</v>
      </c>
      <c r="C25" s="15"/>
      <c r="D25" s="69"/>
      <c r="E25" s="216"/>
      <c r="F25" s="69">
        <f t="shared" si="0"/>
        <v>0</v>
      </c>
      <c r="G25" s="265"/>
      <c r="H25" s="266"/>
      <c r="I25" s="60">
        <f t="shared" si="2"/>
        <v>304.04000000000002</v>
      </c>
    </row>
    <row r="26" spans="1:9" x14ac:dyDescent="0.25">
      <c r="A26" s="122"/>
      <c r="B26" s="284">
        <f t="shared" si="1"/>
        <v>10</v>
      </c>
      <c r="C26" s="15"/>
      <c r="D26" s="69"/>
      <c r="E26" s="216"/>
      <c r="F26" s="69">
        <f t="shared" si="0"/>
        <v>0</v>
      </c>
      <c r="G26" s="265"/>
      <c r="H26" s="266"/>
      <c r="I26" s="60">
        <f t="shared" si="2"/>
        <v>304.04000000000002</v>
      </c>
    </row>
    <row r="27" spans="1:9" x14ac:dyDescent="0.25">
      <c r="A27" s="122"/>
      <c r="B27" s="284">
        <f t="shared" si="1"/>
        <v>10</v>
      </c>
      <c r="C27" s="15"/>
      <c r="D27" s="69"/>
      <c r="E27" s="216"/>
      <c r="F27" s="69">
        <v>0</v>
      </c>
      <c r="G27" s="265"/>
      <c r="H27" s="266"/>
      <c r="I27" s="301">
        <f t="shared" si="2"/>
        <v>304.04000000000002</v>
      </c>
    </row>
    <row r="28" spans="1:9" x14ac:dyDescent="0.25">
      <c r="A28" s="122"/>
      <c r="B28" s="284">
        <f t="shared" si="1"/>
        <v>10</v>
      </c>
      <c r="C28" s="15"/>
      <c r="D28" s="69"/>
      <c r="E28" s="216"/>
      <c r="F28" s="69">
        <f t="shared" ref="F28:F33" si="3">D28</f>
        <v>0</v>
      </c>
      <c r="G28" s="265"/>
      <c r="H28" s="266"/>
      <c r="I28" s="301">
        <f t="shared" si="2"/>
        <v>304.04000000000002</v>
      </c>
    </row>
    <row r="29" spans="1:9" x14ac:dyDescent="0.25">
      <c r="A29" s="122"/>
      <c r="B29" s="284"/>
      <c r="C29" s="15"/>
      <c r="D29" s="69"/>
      <c r="E29" s="216"/>
      <c r="F29" s="69">
        <f t="shared" si="3"/>
        <v>0</v>
      </c>
      <c r="G29" s="265"/>
      <c r="H29" s="266"/>
      <c r="I29" s="301">
        <f t="shared" si="2"/>
        <v>304.04000000000002</v>
      </c>
    </row>
    <row r="30" spans="1:9" x14ac:dyDescent="0.25">
      <c r="A30" s="122"/>
      <c r="B30" s="284"/>
      <c r="C30" s="15"/>
      <c r="D30" s="69"/>
      <c r="E30" s="216"/>
      <c r="F30" s="69">
        <f t="shared" si="3"/>
        <v>0</v>
      </c>
      <c r="G30" s="265"/>
      <c r="H30" s="266"/>
      <c r="I30" s="301">
        <f t="shared" si="2"/>
        <v>304.04000000000002</v>
      </c>
    </row>
    <row r="31" spans="1:9" x14ac:dyDescent="0.25">
      <c r="A31" s="122"/>
      <c r="B31" s="284"/>
      <c r="C31" s="15"/>
      <c r="D31" s="69"/>
      <c r="E31" s="216"/>
      <c r="F31" s="69">
        <f t="shared" si="3"/>
        <v>0</v>
      </c>
      <c r="G31" s="70"/>
      <c r="H31" s="71"/>
      <c r="I31" s="60"/>
    </row>
    <row r="32" spans="1:9" x14ac:dyDescent="0.25">
      <c r="A32" s="122"/>
      <c r="B32" s="284"/>
      <c r="C32" s="15"/>
      <c r="D32" s="69"/>
      <c r="E32" s="216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16"/>
      <c r="F33" s="69">
        <f t="shared" si="3"/>
        <v>0</v>
      </c>
      <c r="G33" s="265"/>
      <c r="H33" s="266"/>
      <c r="I33" s="301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10</v>
      </c>
    </row>
    <row r="39" spans="1:9" ht="15.75" thickBot="1" x14ac:dyDescent="0.3"/>
    <row r="40" spans="1:9" ht="15.75" thickBot="1" x14ac:dyDescent="0.3">
      <c r="C40" s="1200" t="s">
        <v>11</v>
      </c>
      <c r="D40" s="1201"/>
      <c r="E40" s="57">
        <f>E4+E5+E6+E7-F35</f>
        <v>304.04000000000002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43</vt:i4>
      </vt:variant>
      <vt:variant>
        <vt:lpstr>Gráficos</vt:lpstr>
      </vt:variant>
      <vt:variant>
        <vt:i4>1</vt:i4>
      </vt:variant>
    </vt:vector>
  </HeadingPairs>
  <TitlesOfParts>
    <vt:vector size="44" baseType="lpstr">
      <vt:lpstr>COMPRAS DEL MES </vt:lpstr>
      <vt:lpstr>PIERNA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PULPA BLANCA S-CUETE       </vt:lpstr>
      <vt:lpstr>PULPAS DE PIERNA  </vt:lpstr>
      <vt:lpstr>PULPA    NEGRA    </vt:lpstr>
      <vt:lpstr>B U CH E      </vt:lpstr>
      <vt:lpstr>   MANTECA      </vt:lpstr>
      <vt:lpstr>PULPA DE RES         </vt:lpstr>
      <vt:lpstr>QUESOS    GOUDA   AMERLAND  </vt:lpstr>
      <vt:lpstr>PULPA ESPALDILLA </vt:lpstr>
      <vt:lpstr>RECORTE   80--20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PUNTA      CHULETA      </vt:lpstr>
      <vt:lpstr>C A M A R O N E S      </vt:lpstr>
      <vt:lpstr>PUNTAS DE CAÑA DE LOMO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MAZOS    TRIPAS   </vt:lpstr>
      <vt:lpstr>TOCINO      NACIONAL        </vt:lpstr>
      <vt:lpstr>C O R B A T A        </vt:lpstr>
      <vt:lpstr>CUERO PANCETA    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2022-06-03T20:22:25Z</dcterms:modified>
</cp:coreProperties>
</file>