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9" i="38" l="1"/>
  <c r="T129" i="38" s="1"/>
  <c r="S122" i="38" l="1"/>
  <c r="T122" i="38" s="1"/>
  <c r="S123" i="38"/>
  <c r="T123" i="38" s="1"/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I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<sst xmlns="http://schemas.openxmlformats.org/spreadsheetml/2006/main" count="3978" uniqueCount="613">
  <si>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</si>
  <si>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</si>
  <si>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</si>
  <si>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</si>
  <si>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</si>
  <si>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</si>
  <si>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</si>
  <si>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</si>
  <si>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</si>
  <si>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</si>
  <si>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</si>
  <si>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</si>
  <si>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</si>
  <si>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</si>
  <si>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</si>
  <si>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</si>
  <si>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</si>
  <si>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</si>
  <si>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</si>
  <si>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</si>
  <si>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</si>
  <si>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</si>
  <si>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</si>
  <si>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</si>
  <si>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</si>
  <si>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</si>
  <si>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</si>
  <si>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</si>
  <si>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</si>
  <si>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</si>
  <si>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</si>
  <si>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</si>
  <si>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</si>
  <si>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</si>
  <si>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</si>
  <si>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</si>
  <si>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</si>
  <si>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</si>
  <si>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</si>
  <si>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</si>
  <si>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</si>
  <si>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</si>
  <si>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</si>
  <si>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</si>
  <si>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</si>
  <si>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</si>
  <si>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</si>
  <si>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</si>
  <si>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</si>
  <si>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</si>
  <si>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</si>
  <si>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</si>
  <si>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</si>
  <si>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</si>
  <si>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</si>
  <si>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</si>
  <si>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</si>
  <si>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</si>
  <si>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</si>
  <si>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</si>
  <si>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</si>
  <si>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</si>
  <si>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</si>
  <si>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</si>
  <si>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</si>
  <si>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</si>
  <si>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</si>
  <si>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</si>
  <si>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</si>
  <si>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</si>
  <si>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</si>
  <si>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</si>
  <si>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</si>
  <si>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</si>
  <si>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</si>
  <si>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</si>
  <si>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</si>
  <si>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</si>
  <si>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</si>
  <si>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</si>
  <si>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</si>
  <si>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</si>
  <si>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</si>
  <si>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</si>
  <si>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</si>
  <si>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</si>
  <si>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</si>
  <si>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</si>
  <si>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</si>
  <si>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</si>
  <si>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</si>
  <si>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</si>
  <si>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</si>
  <si>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</si>
  <si>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</si>
  <si>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</si>
  <si>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</si>
  <si>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</si>
  <si>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</si>
  <si>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</si>
  <si>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</si>
  <si>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</si>
  <si>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</si>
  <si>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</si>
  <si>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</si>
  <si>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</si>
  <si>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</si>
  <si>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</si>
  <si>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</si>
  <si>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</si>
  <si>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</si>
  <si>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</si>
  <si>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</si>
  <si>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</si>
  <si>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</si>
  <si>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</si>
  <si>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</si>
  <si>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</si>
  <si>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</si>
  <si>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</si>
  <si>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</si>
  <si>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</si>
  <si>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</si>
  <si>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</si>
  <si>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</si>
  <si>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</si>
  <si>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</si>
  <si>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</si>
  <si>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</si>
  <si>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</si>
  <si>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</si>
  <si>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</si>
  <si>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</si>
  <si>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</si>
  <si>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</si>
  <si>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</si>
  <si>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</si>
  <si>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</si>
  <si>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</si>
  <si>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</si>
  <si>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</si>
  <si>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</si>
  <si>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</si>
  <si>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</si>
  <si>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</si>
  <si>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</si>
  <si>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</si>
  <si>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</si>
  <si>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</si>
  <si>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</si>
  <si>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</si>
  <si>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</si>
  <si>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</si>
  <si>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</si>
  <si>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</si>
  <si>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</si>
  <si>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</si>
  <si>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</si>
  <si>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</si>
  <si>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</si>
  <si>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</si>
  <si>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</si>
  <si>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</si>
  <si>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</si>
  <si>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</si>
  <si>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</si>
  <si>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</si>
  <si>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</si>
  <si>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</si>
  <si>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</si>
  <si>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</si>
  <si>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</si>
  <si>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</si>
  <si>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</si>
  <si>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</si>
  <si>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</si>
  <si>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</si>
  <si>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</si>
  <si>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</si>
  <si>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</si>
  <si>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</si>
  <si>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</si>
  <si>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</si>
  <si>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</si>
  <si>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</si>
  <si>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</si>
  <si>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</si>
  <si>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</si>
  <si>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</si>
  <si>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</si>
  <si>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</si>
  <si>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</si>
  <si>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</si>
  <si>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</si>
  <si>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</si>
  <si>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</si>
  <si>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</si>
  <si>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</si>
  <si>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</si>
  <si>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</si>
  <si>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</si>
  <si>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</si>
  <si>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</si>
  <si>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</si>
  <si>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</si>
  <si>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</si>
  <si>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</si>
  <si>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</si>
  <si>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</si>
  <si>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</si>
  <si>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</si>
  <si>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</si>
  <si>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</si>
  <si>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</si>
  <si>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</si>
  <si>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</si>
  <si>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</si>
  <si>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</si>
  <si>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</si>
  <si>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</si>
  <si>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</si>
  <si>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</si>
  <si>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</si>
  <si>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</si>
  <si>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</si>
  <si>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</si>
  <si>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</si>
  <si>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</si>
  <si>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</si>
  <si>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</si>
  <si>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</si>
  <si>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</si>
  <si>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</si>
  <si>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</si>
  <si>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</si>
  <si>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</si>
  <si>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</si>
  <si>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</si>
  <si>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</si>
  <si>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</si>
  <si>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</si>
  <si>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</si>
  <si>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</si>
  <si>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</si>
  <si>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</si>
  <si>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</si>
  <si>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</si>
  <si>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</si>
  <si>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</si>
  <si>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</si>
  <si>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</si>
  <si>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</si>
  <si>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</si>
  <si>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</si>
  <si>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</si>
  <si>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</si>
  <si>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</si>
  <si>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</si>
  <si>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</si>
  <si>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</si>
  <si>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</si>
  <si>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</si>
  <si>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</si>
  <si>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</si>
  <si>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</si>
  <si>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</si>
  <si>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</si>
  <si>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</si>
  <si>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</si>
  <si>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</si>
  <si>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</si>
  <si>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</si>
  <si>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</si>
  <si>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</si>
  <si>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</si>
  <si>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</si>
  <si>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</si>
  <si>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</si>
  <si>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</si>
  <si>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</si>
  <si>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</si>
  <si>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</si>
  <si>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</si>
  <si>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</si>
  <si>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</si>
  <si>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</si>
  <si>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</si>
  <si>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</si>
  <si>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</si>
  <si>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</si>
  <si>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</si>
  <si>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</si>
  <si>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</si>
  <si>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</si>
  <si>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</si>
  <si>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</si>
  <si>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</si>
  <si>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</si>
  <si>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</si>
  <si>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</si>
  <si>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</si>
  <si>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</si>
  <si>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</si>
  <si>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</si>
  <si>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</si>
  <si>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</si>
  <si>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</si>
  <si>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</si>
  <si>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</si>
  <si>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</si>
  <si>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</si>
  <si>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</si>
  <si>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</si>
  <si>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</si>
  <si>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</si>
  <si>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</si>
  <si>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</si>
  <si>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</si>
  <si>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</si>
  <si>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</si>
  <si>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</si>
  <si>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</si>
  <si>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</si>
  <si>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</si>
  <si>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</si>
  <si>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</si>
  <si>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</si>
  <si>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</si>
  <si>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</si>
  <si>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</si>
  <si>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</si>
  <si>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</si>
  <si>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</si>
  <si>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</si>
  <si>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</si>
  <si>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</si>
  <si>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</si>
  <si>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</si>
  <si>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</si>
  <si>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</si>
  <si>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</si>
  <si>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</si>
  <si>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</si>
  <si>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</si>
  <si>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</si>
  <si>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</si>
  <si>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</si>
  <si>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</si>
  <si>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</si>
  <si>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</si>
  <si>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</si>
  <si>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</si>
  <si>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</si>
  <si>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</si>
  <si>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</si>
  <si>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</si>
  <si>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</si>
  <si>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</si>
  <si>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</si>
  <si>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</si>
  <si>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</si>
  <si>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</si>
  <si>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</si>
  <si>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</si>
  <si>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</si>
  <si>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</si>
  <si>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</si>
  <si>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</si>
  <si>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</si>
  <si>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</si>
  <si>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</si>
  <si>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</si>
  <si>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</si>
  <si>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</si>
  <si>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</si>
  <si>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</si>
  <si>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</si>
  <si>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</si>
  <si>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</si>
  <si>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</si>
  <si>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</si>
  <si>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</si>
  <si>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</si>
  <si>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</si>
  <si>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</si>
  <si>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</si>
  <si>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</si>
  <si>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</si>
  <si>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</si>
  <si>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</si>
  <si>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</si>
  <si>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</si>
  <si>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</si>
  <si>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</si>
  <si>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</si>
  <si>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</si>
  <si>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</si>
  <si>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</si>
  <si>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</si>
  <si>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</si>
  <si>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</si>
  <si>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</si>
  <si>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</si>
  <si>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</si>
  <si>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</si>
  <si>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</si>
  <si>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</si>
  <si>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</si>
  <si>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</si>
  <si>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</si>
  <si>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</si>
  <si>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</si>
  <si>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</si>
  <si>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</si>
  <si>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</si>
  <si>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</si>
  <si>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</si>
  <si>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</si>
  <si>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</si>
  <si>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</si>
  <si>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</si>
  <si>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</si>
  <si>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</si>
  <si>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</si>
  <si>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</si>
  <si>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</si>
  <si>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</si>
  <si>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</si>
  <si>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</si>
  <si>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</si>
  <si>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</si>
  <si>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</si>
  <si>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</si>
  <si>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</si>
  <si>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</si>
  <si>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</si>
  <si>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</si>
  <si>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</si>
  <si>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</si>
  <si>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</si>
  <si>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</si>
  <si>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</si>
  <si>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</si>
  <si>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</si>
  <si>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</si>
  <si>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</si>
  <si>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</si>
  <si>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</si>
  <si>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</si>
  <si>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</si>
  <si>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</si>
  <si>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</si>
  <si>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</si>
  <si>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</si>
  <si>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</si>
  <si>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</si>
  <si>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</si>
  <si>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</si>
  <si>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</si>
  <si>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</si>
  <si>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</si>
  <si>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</si>
  <si>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</si>
  <si>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</si>
  <si>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</si>
  <si>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</si>
  <si>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</si>
  <si>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</si>
  <si>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</si>
  <si>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</si>
  <si>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</si>
  <si>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</si>
  <si>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</si>
  <si>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</si>
  <si>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</si>
  <si>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</si>
  <si>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</si>
  <si>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</si>
  <si>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</si>
  <si>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</si>
  <si>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</si>
  <si>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</si>
  <si>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</si>
  <si>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</si>
  <si>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</si>
  <si>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</si>
  <si>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</si>
  <si>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</si>
  <si>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</si>
  <si>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</si>
  <si>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</si>
  <si>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</si>
  <si>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</si>
  <si>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</si>
  <si>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</si>
  <si>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</si>
  <si>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</si>
  <si>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</si>
  <si>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</si>
  <si>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</si>
  <si>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</si>
  <si>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</si>
  <si>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</si>
  <si>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</si>
  <si>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</si>
  <si>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</si>
  <si>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</si>
  <si>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</si>
  <si>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</si>
  <si>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</si>
  <si>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</si>
  <si>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</si>
  <si>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</si>
  <si>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</si>
  <si>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</si>
  <si>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</si>
  <si>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</si>
  <si>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</si>
  <si>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</si>
  <si>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</si>
  <si>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</si>
  <si>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</si>
  <si>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</si>
  <si>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</si>
  <si>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</si>
  <si>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</si>
  <si>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</si>
  <si>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</si>
  <si>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</si>
  <si>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</si>
  <si>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</si>
  <si>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</si>
  <si>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</si>
  <si>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</si>
  <si>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</si>
  <si>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</si>
  <si>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</si>
  <si>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</si>
  <si>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</si>
  <si>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</si>
  <si>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</si>
  <si>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</si>
  <si>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</si>
  <si>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</si>
  <si>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</si>
  <si>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</si>
  <si>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</si>
  <si>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</si>
  <si>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</si>
  <si>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</si>
  <si>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</si>
  <si>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</si>
  <si>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</si>
  <si>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</si>
  <si>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</si>
  <si>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</si>
  <si>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</si>
  <si>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</si>
  <si>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</si>
  <si>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</si>
  <si>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</si>
  <si>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</si>
  <si>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</si>
  <si>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</si>
  <si>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</si>
  <si>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</si>
  <si>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</si>
  <si>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</si>
  <si>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</si>
  <si>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</si>
  <si>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</si>
  <si>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</si>
  <si>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</si>
  <si>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</si>
  <si>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</si>
  <si>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</si>
  <si>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</si>
  <si>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</si>
  <si>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</si>
  <si>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</si>
  <si>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</si>
  <si>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</si>
  <si>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</si>
  <si>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</si>
  <si>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</si>
  <si>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</si>
  <si>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</si>
  <si>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</si>
  <si>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</si>
  <si>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</si>
  <si>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</si>
  <si>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</si>
  <si>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</si>
  <si>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</si>
  <si>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</si>
  <si>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</si>
  <si>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</si>
  <si>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</si>
  <si>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</si>
  <si>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</si>
  <si>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</si>
  <si>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</si>
  <si>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</si>
  <si>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</si>
  <si>
    <t>Transfer S 4-Ago-22</t>
  </si>
  <si>
    <t>Transfer S 8-Ago-22</t>
  </si>
  <si>
    <t>Transfer B 5-Ago-22</t>
  </si>
  <si>
    <t>Transfer S 12-Ago-22</t>
  </si>
  <si>
    <t>Transfer S 15-Ago-22</t>
  </si>
  <si>
    <t>Transfer B 12-Ago-22</t>
  </si>
  <si>
    <t>Transfer S 19-Ago-22</t>
  </si>
  <si>
    <t>Transfer S 22-Ago-22</t>
  </si>
  <si>
    <t>Transfer S 29-Ago-22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</si>
</sst>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4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  <xf numFmtId="44" fontId="7" fillId="0" borderId="94" xfId="1" applyFont="1" applyFill="1" applyBorder="1" applyAlignment="1">
      <alignment vertical="center"/>
    </xf>
    <xf numFmtId="44" fontId="7" fillId="0" borderId="94" xfId="1" applyFont="1" applyFill="1" applyBorder="1" applyAlignment="1"/>
    <xf numFmtId="1" fontId="17" fillId="0" borderId="77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center"/>
    </xf>
    <xf numFmtId="44" fontId="10" fillId="2" borderId="33" xfId="1" applyFont="1" applyFill="1" applyBorder="1" applyAlignment="1"/>
    <xf numFmtId="164" fontId="10" fillId="2" borderId="69" xfId="0" applyNumberFormat="1" applyFont="1" applyFill="1" applyBorder="1" applyAlignment="1">
      <alignment horizontal="center"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 wrapText="1"/>
    </xf>
    <xf numFmtId="164" fontId="10" fillId="2" borderId="77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10" fillId="2" borderId="77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54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B133" activePane="bottomRight" state="frozen"/>
      <selection pane="topRight" activeCell="B1" sqref="B1"/>
      <selection pane="bottomLeft" activeCell="A3" sqref="A3"/>
      <selection pane="bottomRight" activeCell="R122" sqref="R12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8" t="s">
        <v>222</v>
      </c>
      <c r="C1" s="739"/>
      <c r="D1" s="740"/>
      <c r="E1" s="741"/>
      <c r="F1" s="742"/>
      <c r="G1" s="743"/>
      <c r="H1" s="742"/>
      <c r="I1" s="744"/>
      <c r="J1" s="745"/>
      <c r="K1" s="1227" t="s">
        <v>26</v>
      </c>
      <c r="L1" s="571"/>
      <c r="M1" s="1229" t="s">
        <v>27</v>
      </c>
      <c r="N1" s="429"/>
      <c r="P1" s="97" t="s">
        <v>38</v>
      </c>
      <c r="Q1" s="1225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28"/>
      <c r="L2" s="572" t="s">
        <v>29</v>
      </c>
      <c r="M2" s="1230"/>
      <c r="N2" s="430" t="s">
        <v>29</v>
      </c>
      <c r="O2" s="526" t="s">
        <v>30</v>
      </c>
      <c r="P2" s="98" t="s">
        <v>39</v>
      </c>
      <c r="Q2" s="1226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0" t="str">
        <f>PIERNA!B4</f>
        <v>SEABOARD FOODS</v>
      </c>
      <c r="C4" s="1071" t="str">
        <f>PIERNA!C4</f>
        <v>Seaboard</v>
      </c>
      <c r="D4" s="1072" t="str">
        <f>PIERNA!D4</f>
        <v>PED. 84209577</v>
      </c>
      <c r="E4" s="1073">
        <f>PIERNA!E4</f>
        <v>44745</v>
      </c>
      <c r="F4" s="1074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4" t="s">
        <v>354</v>
      </c>
      <c r="O4" s="529">
        <v>2056891</v>
      </c>
      <c r="P4" s="933"/>
      <c r="Q4" s="810">
        <f>44546.93*20.005</f>
        <v>891161.33464999998</v>
      </c>
      <c r="R4" s="859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75" t="str">
        <f>PIERNA!B5</f>
        <v>TYSON FRESH MEAT</v>
      </c>
      <c r="C5" s="1071" t="str">
        <f>PIERNA!C5</f>
        <v xml:space="preserve">I B P </v>
      </c>
      <c r="D5" s="1072" t="str">
        <f>PIERNA!D5</f>
        <v>PED. 84300661</v>
      </c>
      <c r="E5" s="1076">
        <f>PIERNA!E5</f>
        <v>44748</v>
      </c>
      <c r="F5" s="1074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251</v>
      </c>
      <c r="K5" s="521">
        <v>9851</v>
      </c>
      <c r="L5" s="516" t="s">
        <v>307</v>
      </c>
      <c r="M5" s="515">
        <v>33640</v>
      </c>
      <c r="N5" s="524" t="s">
        <v>353</v>
      </c>
      <c r="O5" s="529">
        <v>994734</v>
      </c>
      <c r="P5" s="933"/>
      <c r="Q5" s="760">
        <f>45557.88*20.445</f>
        <v>931430.85659999994</v>
      </c>
      <c r="R5" s="503" t="s">
        <v>260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77" t="str">
        <f>PIERNA!B6</f>
        <v>TYSON FRESH MEAT</v>
      </c>
      <c r="C6" s="1071" t="str">
        <f>PIERNA!C6</f>
        <v xml:space="preserve">I B P </v>
      </c>
      <c r="D6" s="1078" t="str">
        <f>PIERNA!D6</f>
        <v>PED. 84299280</v>
      </c>
      <c r="E6" s="1076">
        <f>PIERNA!E6</f>
        <v>44748</v>
      </c>
      <c r="F6" s="1074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4" t="s">
        <v>337</v>
      </c>
      <c r="O6" s="828">
        <v>994851</v>
      </c>
      <c r="P6" s="933"/>
      <c r="Q6" s="761">
        <f>46283.95*20.61</f>
        <v>953912.20949999988</v>
      </c>
      <c r="R6" s="558" t="s">
        <v>261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79" t="str">
        <f>PIERNA!B7</f>
        <v>SEABOARD FOODS</v>
      </c>
      <c r="C7" s="1071" t="str">
        <f>PIERNA!C7</f>
        <v>Seaboard</v>
      </c>
      <c r="D7" s="1078" t="str">
        <f>PIERNA!D7</f>
        <v>PED. 84338090</v>
      </c>
      <c r="E7" s="1076">
        <f>PIERNA!E7</f>
        <v>44749</v>
      </c>
      <c r="F7" s="1074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4" t="s">
        <v>355</v>
      </c>
      <c r="O7" s="828">
        <v>2057923</v>
      </c>
      <c r="P7" s="518"/>
      <c r="Q7" s="914">
        <f>46240.91*20.165</f>
        <v>932447.95015000005</v>
      </c>
      <c r="R7" s="859" t="s">
        <v>265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78" t="str">
        <f>PIERNA!D8</f>
        <v>PED. 84337318</v>
      </c>
      <c r="E8" s="1076">
        <f>PIERNA!E8</f>
        <v>44749</v>
      </c>
      <c r="F8" s="1074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8">
        <v>996652</v>
      </c>
      <c r="P8" s="518"/>
      <c r="Q8" s="521">
        <f>46080.03*20.76</f>
        <v>956621.42280000006</v>
      </c>
      <c r="R8" s="524" t="s">
        <v>302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75" t="str">
        <f>PIERNA!B9</f>
        <v>SEABOARD FOODS</v>
      </c>
      <c r="C9" s="1071" t="str">
        <f>PIERNA!C9</f>
        <v>Seaboard</v>
      </c>
      <c r="D9" s="1078" t="str">
        <f>PIERNA!D9</f>
        <v>PED. 84447171</v>
      </c>
      <c r="E9" s="1076">
        <f>PIERNA!E9</f>
        <v>44751</v>
      </c>
      <c r="F9" s="1074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255</v>
      </c>
      <c r="K9" s="515">
        <v>11151</v>
      </c>
      <c r="L9" s="915" t="s">
        <v>356</v>
      </c>
      <c r="M9" s="515">
        <v>33640</v>
      </c>
      <c r="N9" s="517" t="s">
        <v>356</v>
      </c>
      <c r="O9" s="520">
        <v>2058724</v>
      </c>
      <c r="P9" s="518"/>
      <c r="Q9" s="760">
        <f>45680.31*20.35</f>
        <v>929594.30850000004</v>
      </c>
      <c r="R9" s="519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71" t="str">
        <f>PIERNA!B10</f>
        <v>SEABOARD FOODS</v>
      </c>
      <c r="C10" s="1071" t="str">
        <f>PIERNA!C10</f>
        <v>Seaboard</v>
      </c>
      <c r="D10" s="1078" t="str">
        <f>PIERNA!D10</f>
        <v>PED. 84516359</v>
      </c>
      <c r="E10" s="1076">
        <f>PIERNA!E10</f>
        <v>44754</v>
      </c>
      <c r="F10" s="1074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276</v>
      </c>
      <c r="K10" s="515">
        <v>11151</v>
      </c>
      <c r="L10" s="915" t="s">
        <v>357</v>
      </c>
      <c r="M10" s="515">
        <v>33640</v>
      </c>
      <c r="N10" s="517" t="s">
        <v>358</v>
      </c>
      <c r="O10" s="520">
        <v>2060226</v>
      </c>
      <c r="P10" s="933"/>
      <c r="Q10" s="760">
        <f>47825.36*20.596</f>
        <v>985011.11456000002</v>
      </c>
      <c r="R10" s="519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71" t="str">
        <f>PIERNA!C11</f>
        <v>Seaboard</v>
      </c>
      <c r="D11" s="1078" t="str">
        <f>PIERNA!D11</f>
        <v>PED. 84516928</v>
      </c>
      <c r="E11" s="1076">
        <f>PIERNA!E11</f>
        <v>44754</v>
      </c>
      <c r="F11" s="1074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277</v>
      </c>
      <c r="K11" s="515">
        <v>12161</v>
      </c>
      <c r="L11" s="915" t="s">
        <v>357</v>
      </c>
      <c r="M11" s="515">
        <v>33640</v>
      </c>
      <c r="N11" s="517" t="s">
        <v>358</v>
      </c>
      <c r="O11" s="528">
        <v>2060227</v>
      </c>
      <c r="P11" s="933"/>
      <c r="Q11" s="760">
        <f>47615.9*20.596</f>
        <v>980697.07640000002</v>
      </c>
      <c r="R11" s="519" t="s">
        <v>307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71" t="str">
        <f>PIERNA!B12</f>
        <v>TYSON FRESH MEAT</v>
      </c>
      <c r="C12" s="1071" t="str">
        <f>PIERNA!C12</f>
        <v xml:space="preserve">I B P </v>
      </c>
      <c r="D12" s="1078" t="str">
        <f>PIERNA!D12</f>
        <v>PED. 84573169</v>
      </c>
      <c r="E12" s="1076">
        <f>PIERNA!E12</f>
        <v>44755</v>
      </c>
      <c r="F12" s="1074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278</v>
      </c>
      <c r="K12" s="515">
        <v>12161</v>
      </c>
      <c r="L12" s="915" t="s">
        <v>358</v>
      </c>
      <c r="M12" s="515">
        <v>33640</v>
      </c>
      <c r="N12" s="517" t="s">
        <v>360</v>
      </c>
      <c r="O12" s="528">
        <v>1003624</v>
      </c>
      <c r="P12" s="933"/>
      <c r="Q12" s="760">
        <f>49611.7*20.728</f>
        <v>1028351.3176000001</v>
      </c>
      <c r="R12" s="1011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9.25" customHeight="1" x14ac:dyDescent="0.25">
      <c r="A13" s="100">
        <v>10</v>
      </c>
      <c r="B13" s="1079" t="str">
        <f>PIERNA!B13</f>
        <v>SEABOARD FOODS</v>
      </c>
      <c r="C13" s="1071" t="str">
        <f>PIERNA!C13</f>
        <v>Seaboard</v>
      </c>
      <c r="D13" s="1078" t="str">
        <f>PIERNA!D13</f>
        <v>PED. 84574084</v>
      </c>
      <c r="E13" s="1076">
        <f>PIERNA!E13</f>
        <v>44755</v>
      </c>
      <c r="F13" s="1074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279</v>
      </c>
      <c r="K13" s="515">
        <v>9851</v>
      </c>
      <c r="L13" s="915" t="s">
        <v>358</v>
      </c>
      <c r="M13" s="515">
        <v>33640</v>
      </c>
      <c r="N13" s="517" t="s">
        <v>360</v>
      </c>
      <c r="O13" s="528">
        <v>2060225</v>
      </c>
      <c r="P13" s="933"/>
      <c r="Q13" s="521">
        <f>50476.9*20.69</f>
        <v>1044367.0610000001</v>
      </c>
      <c r="R13" s="519" t="s">
        <v>309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71" t="str">
        <f>PIERNA!C14</f>
        <v>Seaboard</v>
      </c>
      <c r="D14" s="1078" t="str">
        <f>PIERNA!D14</f>
        <v>PED. 84642567</v>
      </c>
      <c r="E14" s="1076">
        <f>PIERNA!E14</f>
        <v>44756</v>
      </c>
      <c r="F14" s="1074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280</v>
      </c>
      <c r="K14" s="515">
        <v>11151</v>
      </c>
      <c r="L14" s="915" t="s">
        <v>359</v>
      </c>
      <c r="M14" s="515">
        <v>33640</v>
      </c>
      <c r="N14" s="517" t="s">
        <v>361</v>
      </c>
      <c r="O14" s="520">
        <v>2060228</v>
      </c>
      <c r="P14" s="933"/>
      <c r="Q14" s="521">
        <f>49966.8*20.532</f>
        <v>1025918.3376000001</v>
      </c>
      <c r="R14" s="860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0" t="str">
        <f>PIERNA!B15</f>
        <v>TYSON FRESH MEAT</v>
      </c>
      <c r="C15" s="1071" t="str">
        <f>PIERNA!C15</f>
        <v xml:space="preserve">I B P </v>
      </c>
      <c r="D15" s="1078" t="str">
        <f>PIERNA!D15</f>
        <v>PED. 84642123</v>
      </c>
      <c r="E15" s="1076">
        <f>PIERNA!E15</f>
        <v>44756</v>
      </c>
      <c r="F15" s="1074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281</v>
      </c>
      <c r="K15" s="515">
        <v>12001</v>
      </c>
      <c r="L15" s="915" t="s">
        <v>359</v>
      </c>
      <c r="M15" s="515">
        <v>33640</v>
      </c>
      <c r="N15" s="523" t="s">
        <v>361</v>
      </c>
      <c r="O15" s="527">
        <v>1006845</v>
      </c>
      <c r="P15" s="933"/>
      <c r="Q15" s="521">
        <f>49285.2*20.545</f>
        <v>1012564.434</v>
      </c>
      <c r="R15" s="1010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79" t="str">
        <f>PIERNA!B16</f>
        <v>TYSON FRESH MEATS</v>
      </c>
      <c r="C16" s="350" t="str">
        <f>PIERNA!C16</f>
        <v xml:space="preserve">I B P </v>
      </c>
      <c r="D16" s="1078" t="str">
        <f>PIERNA!D16</f>
        <v>PED. 84694164</v>
      </c>
      <c r="E16" s="1076">
        <f>PIERNA!E16</f>
        <v>44757</v>
      </c>
      <c r="F16" s="1074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285</v>
      </c>
      <c r="K16" s="515">
        <v>9851</v>
      </c>
      <c r="L16" s="915" t="s">
        <v>361</v>
      </c>
      <c r="M16" s="515">
        <v>33640</v>
      </c>
      <c r="N16" s="523" t="s">
        <v>362</v>
      </c>
      <c r="O16" s="528">
        <v>1009475</v>
      </c>
      <c r="P16" s="518"/>
      <c r="Q16" s="760">
        <f>51167.48*20.42</f>
        <v>1044839.9416000001</v>
      </c>
      <c r="R16" s="1011" t="s">
        <v>348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75" t="str">
        <f>PIERNA!B17</f>
        <v>SEABOARD FOODS</v>
      </c>
      <c r="C17" s="350" t="str">
        <f>PIERNA!C17</f>
        <v>Seaboard</v>
      </c>
      <c r="D17" s="1078" t="str">
        <f>PIERNA!D17</f>
        <v>PED. 84698976</v>
      </c>
      <c r="E17" s="1076">
        <f>PIERNA!E17</f>
        <v>44758</v>
      </c>
      <c r="F17" s="1074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286</v>
      </c>
      <c r="K17" s="515">
        <v>11151</v>
      </c>
      <c r="L17" s="915" t="s">
        <v>361</v>
      </c>
      <c r="M17" s="515">
        <v>27840</v>
      </c>
      <c r="N17" s="523" t="s">
        <v>363</v>
      </c>
      <c r="O17" s="520">
        <v>2060776</v>
      </c>
      <c r="P17" s="518"/>
      <c r="Q17" s="760">
        <f>49623.64*20.76</f>
        <v>1030186.7664000001</v>
      </c>
      <c r="R17" s="1049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75" t="str">
        <f>PIERNA!B18</f>
        <v>SEABOARD FOODS</v>
      </c>
      <c r="C18" s="350" t="str">
        <f>PIERNA!C18</f>
        <v>Seaboard</v>
      </c>
      <c r="D18" s="1078" t="str">
        <f>PIERNA!D18</f>
        <v>PED. 84854153</v>
      </c>
      <c r="E18" s="1076">
        <f>PIERNA!E18</f>
        <v>44761</v>
      </c>
      <c r="F18" s="1074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324</v>
      </c>
      <c r="K18" s="521">
        <v>12161</v>
      </c>
      <c r="L18" s="915" t="s">
        <v>363</v>
      </c>
      <c r="M18" s="515">
        <v>33640</v>
      </c>
      <c r="N18" s="523" t="s">
        <v>364</v>
      </c>
      <c r="O18" s="529">
        <v>2062643</v>
      </c>
      <c r="P18" s="498"/>
      <c r="Q18" s="760">
        <f>49461.89*20.79</f>
        <v>1028312.6930999999</v>
      </c>
      <c r="R18" s="1011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75" t="str">
        <f>PIERNA!B19</f>
        <v>SEABOARD FOODS</v>
      </c>
      <c r="C19" s="350" t="str">
        <f>PIERNA!C19</f>
        <v>Seaboard</v>
      </c>
      <c r="D19" s="1078" t="str">
        <f>PIERNA!D19</f>
        <v>PED. 84836488</v>
      </c>
      <c r="E19" s="1076">
        <f>PIERNA!E19</f>
        <v>44761</v>
      </c>
      <c r="F19" s="1074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4" t="s">
        <v>325</v>
      </c>
      <c r="K19" s="515">
        <v>12001</v>
      </c>
      <c r="L19" s="915" t="s">
        <v>363</v>
      </c>
      <c r="M19" s="515">
        <v>33640</v>
      </c>
      <c r="N19" s="517" t="s">
        <v>364</v>
      </c>
      <c r="O19" s="520">
        <v>2062644</v>
      </c>
      <c r="P19" s="480"/>
      <c r="Q19" s="760">
        <f>49789.86*20.76</f>
        <v>1033637.4936</v>
      </c>
      <c r="R19" s="1046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79" t="str">
        <f>PIERNA!B20</f>
        <v>TYSON FRESH MEAT</v>
      </c>
      <c r="C20" s="350" t="str">
        <f>PIERNA!C20</f>
        <v xml:space="preserve">I B P </v>
      </c>
      <c r="D20" s="1078" t="str">
        <f>PIERNA!D20</f>
        <v>PED. 84872185</v>
      </c>
      <c r="E20" s="1076">
        <f>PIERNA!E20</f>
        <v>44762</v>
      </c>
      <c r="F20" s="1074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328</v>
      </c>
      <c r="K20" s="515">
        <v>9851</v>
      </c>
      <c r="L20" s="915" t="s">
        <v>364</v>
      </c>
      <c r="M20" s="515">
        <v>33640</v>
      </c>
      <c r="N20" s="517" t="s">
        <v>364</v>
      </c>
      <c r="O20" s="520">
        <v>1013353</v>
      </c>
      <c r="P20" s="518"/>
      <c r="Q20" s="760">
        <f>49390.34*20.56</f>
        <v>1015465.3903999999</v>
      </c>
      <c r="R20" s="1046" t="s">
        <v>351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78" t="str">
        <f>PIERNA!D21</f>
        <v>PED. 84932243</v>
      </c>
      <c r="E21" s="1076">
        <f>PIERNA!E21</f>
        <v>44763</v>
      </c>
      <c r="F21" s="1074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333</v>
      </c>
      <c r="K21" s="515">
        <v>12151</v>
      </c>
      <c r="L21" s="915" t="s">
        <v>365</v>
      </c>
      <c r="M21" s="515">
        <v>33640</v>
      </c>
      <c r="N21" s="517" t="s">
        <v>366</v>
      </c>
      <c r="O21" s="528">
        <v>1015646</v>
      </c>
      <c r="P21" s="518"/>
      <c r="Q21" s="760">
        <f>49740.13*20.46</f>
        <v>1017683.0598</v>
      </c>
      <c r="R21" s="1046" t="s">
        <v>352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71" t="str">
        <f>PIERNA!B22</f>
        <v>SEABOARD FOODS</v>
      </c>
      <c r="C22" s="350" t="str">
        <f>PIERNA!C22</f>
        <v>Seaboard</v>
      </c>
      <c r="D22" s="1072" t="str">
        <f>PIERNA!D22</f>
        <v>PED. 84952355</v>
      </c>
      <c r="E22" s="1073">
        <f>PIERNA!E22</f>
        <v>44763</v>
      </c>
      <c r="F22" s="1080">
        <f>PIERNA!F22</f>
        <v>19152.95</v>
      </c>
      <c r="G22" s="500">
        <f>PIERNA!G22</f>
        <v>21</v>
      </c>
      <c r="H22" s="1081">
        <f>PIERNA!H22</f>
        <v>19227.8</v>
      </c>
      <c r="I22" s="1082">
        <f>PIERNA!I22</f>
        <v>-74.849999999998545</v>
      </c>
      <c r="J22" s="480" t="s">
        <v>326</v>
      </c>
      <c r="K22" s="515">
        <v>11151</v>
      </c>
      <c r="L22" s="915" t="s">
        <v>365</v>
      </c>
      <c r="M22" s="515">
        <v>33640</v>
      </c>
      <c r="N22" s="517" t="s">
        <v>366</v>
      </c>
      <c r="O22" s="528">
        <v>2062645</v>
      </c>
      <c r="P22" s="498"/>
      <c r="Q22" s="760">
        <f>50556.7*20.78</f>
        <v>1050568.226</v>
      </c>
      <c r="R22" s="1046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71" t="str">
        <f>PIERNA!B23</f>
        <v>SEABOARD FOODS</v>
      </c>
      <c r="C23" s="350" t="str">
        <f>PIERNA!C23</f>
        <v>Seaboard</v>
      </c>
      <c r="D23" s="1072" t="str">
        <f>PIERNA!D23</f>
        <v>PED. 8495341</v>
      </c>
      <c r="E23" s="1073">
        <f>PIERNA!E23</f>
        <v>44764</v>
      </c>
      <c r="F23" s="1080">
        <f>PIERNA!F23</f>
        <v>18976.27</v>
      </c>
      <c r="G23" s="500">
        <f>PIERNA!G23</f>
        <v>21</v>
      </c>
      <c r="H23" s="1081">
        <f>PIERNA!H23</f>
        <v>18979.099999999999</v>
      </c>
      <c r="I23" s="1082">
        <f>PIERNA!I23</f>
        <v>-2.8299999999981083</v>
      </c>
      <c r="J23" s="480" t="s">
        <v>327</v>
      </c>
      <c r="K23" s="515">
        <v>11151</v>
      </c>
      <c r="L23" s="915" t="s">
        <v>366</v>
      </c>
      <c r="M23" s="515">
        <v>33640</v>
      </c>
      <c r="N23" s="517" t="s">
        <v>367</v>
      </c>
      <c r="O23" s="529">
        <v>2063364</v>
      </c>
      <c r="P23" s="518"/>
      <c r="Q23" s="760">
        <f>51750.19*20.42</f>
        <v>1056738.8798000002</v>
      </c>
      <c r="R23" s="1046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75" t="str">
        <f>PIERNA!B24</f>
        <v>SEABOARD FOODS</v>
      </c>
      <c r="C24" s="1071" t="str">
        <f>PIERNA!C24</f>
        <v>Seaboard</v>
      </c>
      <c r="D24" s="1083" t="str">
        <f>PIERNA!D24</f>
        <v>PED. 85117830</v>
      </c>
      <c r="E24" s="1073">
        <f>PIERNA!E24</f>
        <v>44768</v>
      </c>
      <c r="F24" s="1080">
        <f>PIERNA!F24</f>
        <v>19036.96</v>
      </c>
      <c r="G24" s="500">
        <f>PIERNA!G24</f>
        <v>21</v>
      </c>
      <c r="H24" s="1081">
        <f>PIERNA!H24</f>
        <v>19201.2</v>
      </c>
      <c r="I24" s="1082">
        <f>PIERNA!I24</f>
        <v>-164.2400000000016</v>
      </c>
      <c r="J24" s="480" t="s">
        <v>374</v>
      </c>
      <c r="K24" s="515">
        <v>12161</v>
      </c>
      <c r="L24" s="915" t="s">
        <v>391</v>
      </c>
      <c r="M24" s="515">
        <v>33640</v>
      </c>
      <c r="N24" s="1055" t="s">
        <v>390</v>
      </c>
      <c r="O24" s="520">
        <v>2065121</v>
      </c>
      <c r="P24" s="518"/>
      <c r="Q24" s="760">
        <f>54786.07*20.43</f>
        <v>1119279.4101</v>
      </c>
      <c r="R24" s="1046" t="s">
        <v>389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83" t="str">
        <f>PIERNA!HO5</f>
        <v>PED. 85170590</v>
      </c>
      <c r="E25" s="1073">
        <f>PIERNA!E25</f>
        <v>44769</v>
      </c>
      <c r="F25" s="1080">
        <f>PIERNA!HQ5</f>
        <v>18811.84</v>
      </c>
      <c r="G25" s="500">
        <f>PIERNA!HR5</f>
        <v>20</v>
      </c>
      <c r="H25" s="1081">
        <f>PIERNA!HS5</f>
        <v>18840.78</v>
      </c>
      <c r="I25" s="1082">
        <f>PIERNA!I25</f>
        <v>-28.93999999999869</v>
      </c>
      <c r="J25" s="480" t="s">
        <v>376</v>
      </c>
      <c r="K25" s="515">
        <v>12001</v>
      </c>
      <c r="L25" s="1054" t="s">
        <v>390</v>
      </c>
      <c r="M25" s="515">
        <v>33640</v>
      </c>
      <c r="N25" s="1046" t="s">
        <v>387</v>
      </c>
      <c r="O25" s="520">
        <v>1023492</v>
      </c>
      <c r="P25" s="498"/>
      <c r="Q25" s="1050">
        <f>53757.19*20.43</f>
        <v>1098259.3917</v>
      </c>
      <c r="R25" s="1102" t="s">
        <v>405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71" t="str">
        <f>PIERNA!HX5</f>
        <v xml:space="preserve">I B P </v>
      </c>
      <c r="D26" s="1083" t="str">
        <f>PIERNA!HY5</f>
        <v>PED. 85169286</v>
      </c>
      <c r="E26" s="1073">
        <f>PIERNA!HZ5</f>
        <v>44769</v>
      </c>
      <c r="F26" s="1080">
        <f>PIERNA!IA5</f>
        <v>18603.73</v>
      </c>
      <c r="G26" s="1084">
        <f>PIERNA!IB5</f>
        <v>20</v>
      </c>
      <c r="H26" s="1081">
        <f>PIERNA!IC5</f>
        <v>18648.88</v>
      </c>
      <c r="I26" s="1082">
        <f>PIERNA!I26</f>
        <v>-45.150000000001455</v>
      </c>
      <c r="J26" s="480" t="s">
        <v>377</v>
      </c>
      <c r="K26" s="515">
        <v>12151</v>
      </c>
      <c r="L26" s="1048" t="s">
        <v>390</v>
      </c>
      <c r="M26" s="515">
        <v>33640</v>
      </c>
      <c r="N26" s="1046" t="s">
        <v>387</v>
      </c>
      <c r="O26" s="520">
        <v>1024116</v>
      </c>
      <c r="P26" s="518"/>
      <c r="Q26" s="760">
        <f>53209.74*20.398</f>
        <v>1085372.2765199998</v>
      </c>
      <c r="R26" s="1046" t="s">
        <v>386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71" t="str">
        <f>PIERNA!IH5</f>
        <v xml:space="preserve">I B P </v>
      </c>
      <c r="D27" s="1083" t="str">
        <f>PIERNA!II5</f>
        <v>PED. 85233842</v>
      </c>
      <c r="E27" s="1073">
        <f>PIERNA!IJ5</f>
        <v>44770</v>
      </c>
      <c r="F27" s="1080">
        <f>PIERNA!IK5</f>
        <v>18630.84</v>
      </c>
      <c r="G27" s="1084">
        <f>PIERNA!IL5</f>
        <v>20</v>
      </c>
      <c r="H27" s="1081">
        <f>PIERNA!IM5</f>
        <v>18649.810000000001</v>
      </c>
      <c r="I27" s="1082">
        <f>PIERNA!I27</f>
        <v>-18.970000000001164</v>
      </c>
      <c r="J27" s="480" t="s">
        <v>380</v>
      </c>
      <c r="K27" s="515">
        <v>9851</v>
      </c>
      <c r="L27" s="1048" t="s">
        <v>387</v>
      </c>
      <c r="M27" s="515">
        <v>33640</v>
      </c>
      <c r="N27" s="1046" t="s">
        <v>388</v>
      </c>
      <c r="O27" s="520"/>
      <c r="P27" s="498"/>
      <c r="Q27" s="1050"/>
      <c r="R27" s="1051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71" t="str">
        <f>PIERNA!IQ5</f>
        <v>SEABOARD FOODS</v>
      </c>
      <c r="C28" s="1071" t="str">
        <f>PIERNA!IR5</f>
        <v>Seaboard</v>
      </c>
      <c r="D28" s="1083" t="str">
        <f>PIERNA!IS5</f>
        <v>PED. 85234046</v>
      </c>
      <c r="E28" s="1073">
        <f>PIERNA!IT5</f>
        <v>44770</v>
      </c>
      <c r="F28" s="1080">
        <f>PIERNA!IU5</f>
        <v>18972.63</v>
      </c>
      <c r="G28" s="1084">
        <f>PIERNA!IV5</f>
        <v>21</v>
      </c>
      <c r="H28" s="1081">
        <f>PIERNA!IW5</f>
        <v>19052.599999999999</v>
      </c>
      <c r="I28" s="1082">
        <f>PIERNA!I28</f>
        <v>-79.969999999997526</v>
      </c>
      <c r="J28" s="480" t="s">
        <v>381</v>
      </c>
      <c r="K28" s="515">
        <v>11151</v>
      </c>
      <c r="L28" s="1048" t="s">
        <v>387</v>
      </c>
      <c r="M28" s="515">
        <v>33640</v>
      </c>
      <c r="N28" s="1046" t="s">
        <v>388</v>
      </c>
      <c r="O28" s="520">
        <v>2065122</v>
      </c>
      <c r="P28" s="518"/>
      <c r="Q28" s="760">
        <f>54411.98*20.68</f>
        <v>1125239.7464000001</v>
      </c>
      <c r="R28" s="1047" t="s">
        <v>384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71" t="str">
        <f>PIERNA!JA5</f>
        <v>SEABOARD FOODS</v>
      </c>
      <c r="C29" s="1071" t="str">
        <f>PIERNA!JB5</f>
        <v>Seaboard</v>
      </c>
      <c r="D29" s="1083" t="str">
        <f>PIERNA!JC5</f>
        <v>PED. 85282570</v>
      </c>
      <c r="E29" s="1073">
        <f>PIERNA!JD5</f>
        <v>44771</v>
      </c>
      <c r="F29" s="1080">
        <f>PIERNA!JE5</f>
        <v>19047.259999999998</v>
      </c>
      <c r="G29" s="1084">
        <f>PIERNA!JF5</f>
        <v>21</v>
      </c>
      <c r="H29" s="1081">
        <f>PIERNA!JG5</f>
        <v>19055.5</v>
      </c>
      <c r="I29" s="1082">
        <f>PIERNA!I29</f>
        <v>-8.2400000000016007</v>
      </c>
      <c r="J29" s="480" t="s">
        <v>403</v>
      </c>
      <c r="K29" s="521">
        <v>11151</v>
      </c>
      <c r="L29" s="1048" t="s">
        <v>388</v>
      </c>
      <c r="M29" s="515">
        <v>33640</v>
      </c>
      <c r="N29" s="1046" t="s">
        <v>416</v>
      </c>
      <c r="O29" s="529">
        <v>2065822</v>
      </c>
      <c r="P29" s="518"/>
      <c r="Q29" s="760">
        <f>54369.34*20.51</f>
        <v>1115115.1634</v>
      </c>
      <c r="R29" s="1047" t="s">
        <v>418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71" t="str">
        <f>PIERNA!JK5</f>
        <v>SEABOARD FOODS</v>
      </c>
      <c r="C30" s="1071" t="str">
        <f>PIERNA!JL5</f>
        <v>Seaboard</v>
      </c>
      <c r="D30" s="1083" t="str">
        <f>PIERNA!JM5</f>
        <v>PED. 85276747</v>
      </c>
      <c r="E30" s="1085">
        <f>PIERNA!JN5</f>
        <v>44771</v>
      </c>
      <c r="F30" s="1086">
        <f>PIERNA!JO5</f>
        <v>18977.3</v>
      </c>
      <c r="G30" s="529">
        <f>PIERNA!JP5</f>
        <v>21</v>
      </c>
      <c r="H30" s="1087">
        <f>PIERNA!JQ5</f>
        <v>19031</v>
      </c>
      <c r="I30" s="1082">
        <f>PIERNA!I30</f>
        <v>-53.700000000000728</v>
      </c>
      <c r="J30" s="480" t="s">
        <v>404</v>
      </c>
      <c r="K30" s="515">
        <v>12161</v>
      </c>
      <c r="L30" s="1048" t="s">
        <v>388</v>
      </c>
      <c r="M30" s="515">
        <v>33640</v>
      </c>
      <c r="N30" s="1046" t="s">
        <v>417</v>
      </c>
      <c r="O30" s="529">
        <v>2065823</v>
      </c>
      <c r="P30" s="518"/>
      <c r="Q30" s="760">
        <f>55272.83*20.46</f>
        <v>1130882.1018000001</v>
      </c>
      <c r="R30" s="1047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71">
        <f>PIERNA!JU5</f>
        <v>0</v>
      </c>
      <c r="C31" s="1088">
        <f>PIERNA!JV5</f>
        <v>0</v>
      </c>
      <c r="D31" s="1083">
        <f>PIERNA!JW5</f>
        <v>0</v>
      </c>
      <c r="E31" s="1085">
        <f>PIERNA!JX5</f>
        <v>0</v>
      </c>
      <c r="F31" s="1086">
        <f>PIERNA!JY5</f>
        <v>0</v>
      </c>
      <c r="G31" s="529">
        <f>PIERNA!JZ5</f>
        <v>0</v>
      </c>
      <c r="H31" s="1087">
        <f>PIERNA!KA5</f>
        <v>0</v>
      </c>
      <c r="I31" s="1082">
        <f>PIERNA!I31</f>
        <v>0</v>
      </c>
      <c r="J31" s="480"/>
      <c r="K31" s="515"/>
      <c r="L31" s="516"/>
      <c r="M31" s="515"/>
      <c r="N31" s="524"/>
      <c r="O31" s="529"/>
      <c r="P31" s="518"/>
      <c r="Q31" s="760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71">
        <f>PIERNA!KE5</f>
        <v>0</v>
      </c>
      <c r="C32" s="1071">
        <f>PIERNA!KF5</f>
        <v>0</v>
      </c>
      <c r="D32" s="1083">
        <f>PIERNA!KG5</f>
        <v>0</v>
      </c>
      <c r="E32" s="1085">
        <f>PIERNA!KH5</f>
        <v>0</v>
      </c>
      <c r="F32" s="1086">
        <f>PIERNA!KI5</f>
        <v>0</v>
      </c>
      <c r="G32" s="529">
        <f>PIERNA!KJ5</f>
        <v>0</v>
      </c>
      <c r="H32" s="1087">
        <f>PIERNA!H32</f>
        <v>0</v>
      </c>
      <c r="I32" s="1082">
        <f>PIERNA!I32</f>
        <v>0</v>
      </c>
      <c r="J32" s="480"/>
      <c r="K32" s="515"/>
      <c r="L32" s="516"/>
      <c r="M32" s="515"/>
      <c r="N32" s="524"/>
      <c r="O32" s="529"/>
      <c r="P32" s="518"/>
      <c r="Q32" s="760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71">
        <f>PIERNA!KP5</f>
        <v>0</v>
      </c>
      <c r="D33" s="1083">
        <f>PIERNA!KQ5</f>
        <v>0</v>
      </c>
      <c r="E33" s="1085">
        <f>PIERNA!KR5</f>
        <v>0</v>
      </c>
      <c r="F33" s="1089">
        <f>PIERNA!KS5</f>
        <v>0</v>
      </c>
      <c r="G33" s="1090">
        <f>PIERNA!KT5</f>
        <v>0</v>
      </c>
      <c r="H33" s="1087">
        <f>PIERNA!KU5</f>
        <v>0</v>
      </c>
      <c r="I33" s="1091">
        <f>PIERNA!I33</f>
        <v>0</v>
      </c>
      <c r="J33" s="480"/>
      <c r="K33" s="521"/>
      <c r="L33" s="516"/>
      <c r="M33" s="515"/>
      <c r="N33" s="524"/>
      <c r="O33" s="529"/>
      <c r="P33" s="556"/>
      <c r="Q33" s="760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71">
        <f>PIERNA!B34</f>
        <v>0</v>
      </c>
      <c r="C34" s="504">
        <f>PIERNA!C34</f>
        <v>0</v>
      </c>
      <c r="D34" s="1083">
        <f>PIERNA!D34</f>
        <v>0</v>
      </c>
      <c r="E34" s="1085">
        <f>PIERNA!E34</f>
        <v>0</v>
      </c>
      <c r="F34" s="1089">
        <f>PIERNA!F34</f>
        <v>0</v>
      </c>
      <c r="G34" s="1090">
        <f>PIERNA!G34</f>
        <v>0</v>
      </c>
      <c r="H34" s="1087">
        <f>PIERNA!H34</f>
        <v>0</v>
      </c>
      <c r="I34" s="1082">
        <f>PIERNA!I34</f>
        <v>0</v>
      </c>
      <c r="J34" s="480"/>
      <c r="K34" s="515"/>
      <c r="L34" s="516"/>
      <c r="M34" s="515"/>
      <c r="N34" s="524"/>
      <c r="O34" s="828"/>
      <c r="P34" s="518"/>
      <c r="Q34" s="761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83">
        <f>PIERNA!D35</f>
        <v>0</v>
      </c>
      <c r="E35" s="1085">
        <f>PIERNA!E35</f>
        <v>0</v>
      </c>
      <c r="F35" s="1089">
        <f>PIERNA!F35</f>
        <v>0</v>
      </c>
      <c r="G35" s="1092">
        <f>PIERNA!G35</f>
        <v>0</v>
      </c>
      <c r="H35" s="1087">
        <f>PIERNA!H35</f>
        <v>0</v>
      </c>
      <c r="I35" s="1082">
        <f>PIERNA!I35</f>
        <v>0</v>
      </c>
      <c r="J35" s="480"/>
      <c r="K35" s="515"/>
      <c r="L35" s="516"/>
      <c r="M35" s="515"/>
      <c r="N35" s="524"/>
      <c r="O35" s="828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83">
        <f>PIERNA!D36</f>
        <v>0</v>
      </c>
      <c r="E36" s="1085">
        <f>PIERNA!E36</f>
        <v>0</v>
      </c>
      <c r="F36" s="1089">
        <f>PIERNA!F36</f>
        <v>0</v>
      </c>
      <c r="G36" s="1092">
        <f>PIERNA!G36</f>
        <v>0</v>
      </c>
      <c r="H36" s="1087">
        <f>PIERNA!H36</f>
        <v>0</v>
      </c>
      <c r="I36" s="1082">
        <f>PIERNA!I36</f>
        <v>0</v>
      </c>
      <c r="J36" s="480"/>
      <c r="K36" s="515"/>
      <c r="L36" s="516"/>
      <c r="M36" s="515"/>
      <c r="N36" s="517"/>
      <c r="O36" s="828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93">
        <f>PIERNA!C37</f>
        <v>0</v>
      </c>
      <c r="D37" s="1072">
        <f>PIERNA!D37</f>
        <v>0</v>
      </c>
      <c r="E37" s="1073">
        <f>PIERNA!E37</f>
        <v>0</v>
      </c>
      <c r="F37" s="1080">
        <f>PIERNA!F37</f>
        <v>0</v>
      </c>
      <c r="G37" s="500">
        <f>PIERNA!G37</f>
        <v>0</v>
      </c>
      <c r="H37" s="1081">
        <f>PIERNA!H37</f>
        <v>0</v>
      </c>
      <c r="I37" s="1082">
        <f>PIERNA!I37</f>
        <v>0</v>
      </c>
      <c r="J37" s="480"/>
      <c r="K37" s="515"/>
      <c r="L37" s="516"/>
      <c r="M37" s="515"/>
      <c r="N37" s="524"/>
      <c r="O37" s="520"/>
      <c r="P37" s="518"/>
      <c r="Q37" s="760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93">
        <f>PIERNA!C38</f>
        <v>0</v>
      </c>
      <c r="D38" s="610">
        <f>PIERNA!D38</f>
        <v>0</v>
      </c>
      <c r="E38" s="1073">
        <f>PIERNA!E38</f>
        <v>0</v>
      </c>
      <c r="F38" s="1094">
        <f>PIERNA!F38</f>
        <v>0</v>
      </c>
      <c r="G38" s="500">
        <f>PIERNA!G38</f>
        <v>0</v>
      </c>
      <c r="H38" s="1082">
        <f>PIERNA!H38</f>
        <v>0</v>
      </c>
      <c r="I38" s="1082">
        <f>PIERNA!I38</f>
        <v>0</v>
      </c>
      <c r="J38" s="480"/>
      <c r="K38" s="515"/>
      <c r="L38" s="882"/>
      <c r="M38" s="515"/>
      <c r="N38" s="524"/>
      <c r="O38" s="520"/>
      <c r="P38" s="518"/>
      <c r="Q38" s="760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69"/>
      <c r="K39" s="521"/>
      <c r="L39" s="882"/>
      <c r="M39" s="515"/>
      <c r="N39" s="524"/>
      <c r="O39" s="529"/>
      <c r="P39" s="518"/>
      <c r="Q39" s="760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0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0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6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0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0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6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6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8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9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9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9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9"/>
      <c r="N51" s="517"/>
      <c r="O51" s="520"/>
      <c r="P51" s="950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9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9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9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9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9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9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9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9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1"/>
      <c r="L60" s="952"/>
      <c r="M60" s="949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9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9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9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9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9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9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9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9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9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49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49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49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49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49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49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49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49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49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49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49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49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49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49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49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49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49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49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49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49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49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49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49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49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3"/>
      <c r="L94" s="516"/>
      <c r="M94" s="949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59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59"/>
      <c r="R98" s="645"/>
      <c r="S98" s="65"/>
      <c r="T98" s="181"/>
    </row>
    <row r="99" spans="1:20" s="157" customFormat="1" ht="44.25" x14ac:dyDescent="0.3">
      <c r="A99" s="100">
        <v>61</v>
      </c>
      <c r="B99" s="979" t="s">
        <v>256</v>
      </c>
      <c r="C99" s="980" t="s">
        <v>257</v>
      </c>
      <c r="D99" s="963"/>
      <c r="E99" s="958"/>
      <c r="F99" s="959">
        <v>4027.9</v>
      </c>
      <c r="G99" s="960">
        <v>10</v>
      </c>
      <c r="H99" s="841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2" t="s">
        <v>259</v>
      </c>
      <c r="P99" s="858"/>
      <c r="Q99" s="762">
        <f>200000+188972.8</f>
        <v>388972.79999999999</v>
      </c>
      <c r="R99" s="981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79" t="s">
        <v>256</v>
      </c>
      <c r="C100" s="980" t="s">
        <v>257</v>
      </c>
      <c r="D100" s="1023" t="s">
        <v>330</v>
      </c>
      <c r="E100" s="958"/>
      <c r="F100" s="1014">
        <v>4095</v>
      </c>
      <c r="G100" s="1015">
        <v>10</v>
      </c>
      <c r="H100" s="1016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2" t="s">
        <v>329</v>
      </c>
      <c r="P100" s="858"/>
      <c r="Q100" s="1012">
        <f>200000+195644.8</f>
        <v>395644.8</v>
      </c>
      <c r="R100" s="1013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3" t="s">
        <v>289</v>
      </c>
      <c r="C101" s="502" t="s">
        <v>288</v>
      </c>
      <c r="D101" s="762"/>
      <c r="E101" s="854">
        <v>44746</v>
      </c>
      <c r="F101" s="961">
        <v>1050</v>
      </c>
      <c r="G101" s="960">
        <v>70</v>
      </c>
      <c r="H101" s="841">
        <v>1050</v>
      </c>
      <c r="I101" s="653">
        <f t="shared" si="18"/>
        <v>0</v>
      </c>
      <c r="J101" s="718"/>
      <c r="K101" s="513"/>
      <c r="L101" s="533"/>
      <c r="M101" s="513"/>
      <c r="N101" s="891"/>
      <c r="O101" s="990" t="s">
        <v>301</v>
      </c>
      <c r="P101" s="1005" t="s">
        <v>303</v>
      </c>
      <c r="Q101" s="762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231" t="s">
        <v>282</v>
      </c>
      <c r="C102" s="991" t="s">
        <v>283</v>
      </c>
      <c r="D102" s="491"/>
      <c r="E102" s="1208">
        <v>44748</v>
      </c>
      <c r="F102" s="841">
        <v>1003.34</v>
      </c>
      <c r="G102" s="913">
        <v>221</v>
      </c>
      <c r="H102" s="841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233" t="s">
        <v>291</v>
      </c>
      <c r="P102" s="514"/>
      <c r="Q102" s="762">
        <v>52173.68</v>
      </c>
      <c r="R102" s="1204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93"/>
      <c r="C103" s="992" t="s">
        <v>290</v>
      </c>
      <c r="D103" s="491"/>
      <c r="E103" s="1232"/>
      <c r="F103" s="841">
        <v>150</v>
      </c>
      <c r="G103" s="913">
        <v>15</v>
      </c>
      <c r="H103" s="841">
        <v>150</v>
      </c>
      <c r="I103" s="653">
        <f>H103-F103</f>
        <v>0</v>
      </c>
      <c r="J103" s="726"/>
      <c r="K103" s="513"/>
      <c r="L103" s="533"/>
      <c r="M103" s="513"/>
      <c r="N103" s="513"/>
      <c r="O103" s="1234"/>
      <c r="P103" s="513"/>
      <c r="Q103" s="762">
        <v>15000</v>
      </c>
      <c r="R103" s="1205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206" t="s">
        <v>292</v>
      </c>
      <c r="C104" s="962" t="s">
        <v>293</v>
      </c>
      <c r="D104" s="491"/>
      <c r="E104" s="1208">
        <v>44748</v>
      </c>
      <c r="F104" s="841">
        <v>5048.68</v>
      </c>
      <c r="G104" s="913">
        <v>188</v>
      </c>
      <c r="H104" s="841">
        <v>5048.68</v>
      </c>
      <c r="I104" s="653">
        <f t="shared" si="18"/>
        <v>0</v>
      </c>
      <c r="J104" s="610"/>
      <c r="K104" s="513"/>
      <c r="L104" s="533"/>
      <c r="M104" s="513"/>
      <c r="N104" s="994"/>
      <c r="O104" s="1210">
        <v>18266</v>
      </c>
      <c r="P104" s="996"/>
      <c r="Q104" s="762">
        <v>383699.68</v>
      </c>
      <c r="R104" s="1204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207"/>
      <c r="C105" s="491" t="s">
        <v>294</v>
      </c>
      <c r="D105" s="491"/>
      <c r="E105" s="1209"/>
      <c r="F105" s="841">
        <v>515.20000000000005</v>
      </c>
      <c r="G105" s="913">
        <v>21</v>
      </c>
      <c r="H105" s="841">
        <v>515.20000000000005</v>
      </c>
      <c r="I105" s="653">
        <f t="shared" si="18"/>
        <v>0</v>
      </c>
      <c r="J105" s="610"/>
      <c r="K105" s="513"/>
      <c r="L105" s="656"/>
      <c r="M105" s="513"/>
      <c r="N105" s="995"/>
      <c r="O105" s="1211"/>
      <c r="P105" s="997"/>
      <c r="Q105" s="762">
        <v>48944</v>
      </c>
      <c r="R105" s="1205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212" t="s">
        <v>295</v>
      </c>
      <c r="C106" s="998" t="s">
        <v>296</v>
      </c>
      <c r="D106" s="1001"/>
      <c r="E106" s="1214">
        <v>44751</v>
      </c>
      <c r="F106" s="1002">
        <v>1011.74</v>
      </c>
      <c r="G106" s="913">
        <v>85</v>
      </c>
      <c r="H106" s="841">
        <v>1011.74</v>
      </c>
      <c r="I106" s="653">
        <f t="shared" si="18"/>
        <v>0</v>
      </c>
      <c r="J106" s="610"/>
      <c r="K106" s="513"/>
      <c r="L106" s="656"/>
      <c r="M106" s="513"/>
      <c r="N106" s="995"/>
      <c r="O106" s="1215" t="s">
        <v>300</v>
      </c>
      <c r="P106" s="996"/>
      <c r="Q106" s="762">
        <v>95154.15</v>
      </c>
      <c r="R106" s="1204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213"/>
      <c r="C107" s="998" t="s">
        <v>64</v>
      </c>
      <c r="D107" s="1001"/>
      <c r="E107" s="1194"/>
      <c r="F107" s="1002">
        <v>511.72</v>
      </c>
      <c r="G107" s="913">
        <v>43</v>
      </c>
      <c r="H107" s="841">
        <v>511.72</v>
      </c>
      <c r="I107" s="701">
        <f t="shared" si="18"/>
        <v>0</v>
      </c>
      <c r="J107" s="610"/>
      <c r="K107" s="513"/>
      <c r="L107" s="533"/>
      <c r="M107" s="513"/>
      <c r="N107" s="994"/>
      <c r="O107" s="1216"/>
      <c r="P107" s="999"/>
      <c r="Q107" s="762">
        <v>48613.4</v>
      </c>
      <c r="R107" s="1218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213"/>
      <c r="C108" s="998" t="s">
        <v>297</v>
      </c>
      <c r="D108" s="1001"/>
      <c r="E108" s="1195"/>
      <c r="F108" s="1002">
        <v>207.78</v>
      </c>
      <c r="G108" s="913">
        <v>19</v>
      </c>
      <c r="H108" s="841">
        <v>207.78</v>
      </c>
      <c r="I108" s="671">
        <f t="shared" si="18"/>
        <v>0</v>
      </c>
      <c r="J108" s="610"/>
      <c r="K108" s="513"/>
      <c r="L108" s="533"/>
      <c r="M108" s="513"/>
      <c r="N108" s="994"/>
      <c r="O108" s="1217"/>
      <c r="P108" s="1000"/>
      <c r="Q108" s="759">
        <v>17661.3</v>
      </c>
      <c r="R108" s="1205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221" t="s">
        <v>114</v>
      </c>
      <c r="C109" s="998" t="s">
        <v>298</v>
      </c>
      <c r="D109" s="1001"/>
      <c r="E109" s="1223">
        <v>44751</v>
      </c>
      <c r="F109" s="1002">
        <v>4955.87</v>
      </c>
      <c r="G109" s="913">
        <v>180</v>
      </c>
      <c r="H109" s="841">
        <v>4955.87</v>
      </c>
      <c r="I109" s="273">
        <f t="shared" si="18"/>
        <v>0</v>
      </c>
      <c r="J109" s="610"/>
      <c r="K109" s="513"/>
      <c r="L109" s="533"/>
      <c r="M109" s="513"/>
      <c r="N109" s="994"/>
      <c r="O109" s="1235" t="s">
        <v>336</v>
      </c>
      <c r="P109" s="1219" t="s">
        <v>303</v>
      </c>
      <c r="Q109" s="759">
        <v>614527.88</v>
      </c>
      <c r="R109" s="1204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222"/>
      <c r="C110" s="998" t="s">
        <v>299</v>
      </c>
      <c r="D110" s="1001"/>
      <c r="E110" s="1224"/>
      <c r="F110" s="1002">
        <v>569.11</v>
      </c>
      <c r="G110" s="913">
        <v>20</v>
      </c>
      <c r="H110" s="841">
        <v>569.11</v>
      </c>
      <c r="I110" s="273">
        <f t="shared" si="18"/>
        <v>0</v>
      </c>
      <c r="J110" s="610"/>
      <c r="K110" s="513"/>
      <c r="L110" s="533"/>
      <c r="M110" s="513"/>
      <c r="N110" s="994"/>
      <c r="O110" s="1236"/>
      <c r="P110" s="1220"/>
      <c r="Q110" s="759">
        <v>32154.720000000001</v>
      </c>
      <c r="R110" s="1205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04" t="s">
        <v>114</v>
      </c>
      <c r="C111" s="491" t="s">
        <v>299</v>
      </c>
      <c r="D111" s="491"/>
      <c r="E111" s="1003">
        <v>44753</v>
      </c>
      <c r="F111" s="841">
        <v>479.03</v>
      </c>
      <c r="G111" s="913">
        <v>15</v>
      </c>
      <c r="H111" s="841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1" t="s">
        <v>334</v>
      </c>
      <c r="P111" s="1027" t="s">
        <v>303</v>
      </c>
      <c r="Q111" s="759">
        <v>27065.200000000001</v>
      </c>
      <c r="R111" s="881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37" t="s">
        <v>292</v>
      </c>
      <c r="C112" s="502" t="s">
        <v>95</v>
      </c>
      <c r="D112" s="762"/>
      <c r="E112" s="1208">
        <v>44755</v>
      </c>
      <c r="F112" s="961">
        <v>3011.22</v>
      </c>
      <c r="G112" s="960">
        <v>115</v>
      </c>
      <c r="H112" s="841">
        <v>3011.22</v>
      </c>
      <c r="I112" s="653">
        <f t="shared" si="22"/>
        <v>0</v>
      </c>
      <c r="J112" s="718"/>
      <c r="K112" s="513"/>
      <c r="L112" s="533"/>
      <c r="M112" s="513"/>
      <c r="N112" s="995"/>
      <c r="O112" s="1210">
        <v>18304</v>
      </c>
      <c r="P112" s="1020"/>
      <c r="Q112" s="1181">
        <v>246920.04</v>
      </c>
      <c r="R112" s="1187" t="s">
        <v>608</v>
      </c>
      <c r="S112" s="65">
        <f t="shared" ref="S112" si="23">Q112+M112+K112</f>
        <v>246920.04</v>
      </c>
      <c r="T112" s="181">
        <f>S112/H112</f>
        <v>82.000000000000014</v>
      </c>
    </row>
    <row r="113" spans="1:20" s="157" customFormat="1" ht="33" customHeight="1" thickBot="1" x14ac:dyDescent="0.35">
      <c r="A113" s="100">
        <v>75</v>
      </c>
      <c r="B113" s="1238"/>
      <c r="C113" s="491" t="s">
        <v>322</v>
      </c>
      <c r="D113" s="491"/>
      <c r="E113" s="1232"/>
      <c r="F113" s="841">
        <v>956.76</v>
      </c>
      <c r="G113" s="913">
        <v>34</v>
      </c>
      <c r="H113" s="841">
        <v>956.76</v>
      </c>
      <c r="I113" s="424">
        <f t="shared" si="22"/>
        <v>0</v>
      </c>
      <c r="J113" s="611"/>
      <c r="K113" s="513"/>
      <c r="L113" s="533"/>
      <c r="M113" s="513"/>
      <c r="N113" s="994"/>
      <c r="O113" s="1239"/>
      <c r="P113" s="1000"/>
      <c r="Q113" s="1183">
        <v>111940.92</v>
      </c>
      <c r="R113" s="1188"/>
      <c r="S113" s="674">
        <f t="shared" si="15"/>
        <v>111940.92</v>
      </c>
      <c r="T113" s="181">
        <f t="shared" si="21"/>
        <v>117</v>
      </c>
    </row>
    <row r="114" spans="1:20" s="157" customFormat="1" ht="33" customHeight="1" x14ac:dyDescent="0.3">
      <c r="A114" s="100">
        <v>76</v>
      </c>
      <c r="B114" s="1029" t="s">
        <v>341</v>
      </c>
      <c r="C114" s="1032" t="s">
        <v>345</v>
      </c>
      <c r="D114" s="1031" t="s">
        <v>344</v>
      </c>
      <c r="E114" s="1028">
        <v>44755</v>
      </c>
      <c r="F114" s="841">
        <v>19342</v>
      </c>
      <c r="G114" s="913">
        <v>1</v>
      </c>
      <c r="H114" s="841">
        <v>19342</v>
      </c>
      <c r="I114" s="424">
        <f t="shared" si="22"/>
        <v>0</v>
      </c>
      <c r="J114" s="611"/>
      <c r="K114" s="513"/>
      <c r="L114" s="533"/>
      <c r="M114" s="513"/>
      <c r="N114" s="994"/>
      <c r="O114" s="1030" t="s">
        <v>342</v>
      </c>
      <c r="P114" s="1000"/>
      <c r="Q114" s="759">
        <v>19342</v>
      </c>
      <c r="R114" s="881" t="s">
        <v>343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2"/>
      <c r="E115" s="854">
        <v>44756</v>
      </c>
      <c r="F115" s="961">
        <v>2002.14</v>
      </c>
      <c r="G115" s="960">
        <v>441</v>
      </c>
      <c r="H115" s="841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2" t="s">
        <v>284</v>
      </c>
      <c r="P115" s="645"/>
      <c r="Q115" s="759">
        <v>100107</v>
      </c>
      <c r="R115" s="512" t="s">
        <v>306</v>
      </c>
      <c r="S115" s="674">
        <f t="shared" ref="S115:S118" si="24">Q115+M115+K115</f>
        <v>100107</v>
      </c>
      <c r="T115" s="181">
        <f t="shared" ref="T115:T118" si="25">S115/H115</f>
        <v>50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4">
        <v>44756</v>
      </c>
      <c r="F116" s="841">
        <v>500</v>
      </c>
      <c r="G116" s="913">
        <v>50</v>
      </c>
      <c r="H116" s="841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4" t="s">
        <v>340</v>
      </c>
      <c r="P116" s="775"/>
      <c r="Q116" s="759">
        <v>43500</v>
      </c>
      <c r="R116" s="881" t="s">
        <v>335</v>
      </c>
      <c r="S116" s="674">
        <f t="shared" si="24"/>
        <v>43500</v>
      </c>
      <c r="T116" s="181">
        <f t="shared" si="25"/>
        <v>87</v>
      </c>
    </row>
    <row r="117" spans="1:20" s="157" customFormat="1" ht="31.5" customHeight="1" x14ac:dyDescent="0.25">
      <c r="A117" s="100">
        <v>79</v>
      </c>
      <c r="B117" s="491" t="s">
        <v>312</v>
      </c>
      <c r="C117" s="491" t="s">
        <v>298</v>
      </c>
      <c r="D117" s="491"/>
      <c r="E117" s="854">
        <v>44760</v>
      </c>
      <c r="F117" s="841">
        <v>2023.62</v>
      </c>
      <c r="G117" s="913">
        <v>69</v>
      </c>
      <c r="H117" s="841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4" t="s">
        <v>323</v>
      </c>
      <c r="P117" s="645"/>
      <c r="Q117" s="759">
        <v>259023.35999999999</v>
      </c>
      <c r="R117" s="881" t="s">
        <v>405</v>
      </c>
      <c r="S117" s="674" t="s">
        <v>41</v>
      </c>
      <c r="T117" s="181" t="e">
        <f t="shared" si="25"/>
        <v>#VALUE!</v>
      </c>
    </row>
    <row r="118" spans="1:20" s="157" customFormat="1" ht="36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24">
        <v>44764</v>
      </c>
      <c r="F118" s="841">
        <v>2001.94</v>
      </c>
      <c r="G118" s="913">
        <v>69</v>
      </c>
      <c r="H118" s="841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26" t="s">
        <v>331</v>
      </c>
      <c r="P118" s="775"/>
      <c r="Q118" s="1183">
        <v>256248.32000000001</v>
      </c>
      <c r="R118" s="1184" t="s">
        <v>609</v>
      </c>
      <c r="S118" s="674">
        <f t="shared" si="24"/>
        <v>256248.32000000001</v>
      </c>
      <c r="T118" s="181">
        <f t="shared" si="25"/>
        <v>128</v>
      </c>
    </row>
    <row r="119" spans="1:20" s="157" customFormat="1" ht="24" customHeight="1" x14ac:dyDescent="0.25">
      <c r="A119" s="100">
        <v>81</v>
      </c>
      <c r="B119" s="1237" t="s">
        <v>292</v>
      </c>
      <c r="C119" s="491" t="s">
        <v>95</v>
      </c>
      <c r="D119" s="1001"/>
      <c r="E119" s="1214">
        <v>44764</v>
      </c>
      <c r="F119" s="1002">
        <v>4005.63</v>
      </c>
      <c r="G119" s="913">
        <v>160</v>
      </c>
      <c r="H119" s="841">
        <v>4005.63</v>
      </c>
      <c r="I119" s="105">
        <f t="shared" si="26"/>
        <v>0</v>
      </c>
      <c r="J119" s="612"/>
      <c r="K119" s="513"/>
      <c r="L119" s="533"/>
      <c r="M119" s="513"/>
      <c r="N119" s="1025"/>
      <c r="O119" s="1240">
        <v>18352</v>
      </c>
      <c r="P119" s="1000"/>
      <c r="Q119" s="1183">
        <v>340478.55</v>
      </c>
      <c r="R119" s="1198" t="s">
        <v>611</v>
      </c>
      <c r="S119" s="65">
        <f t="shared" si="15"/>
        <v>340478.55</v>
      </c>
      <c r="T119" s="65">
        <f t="shared" ref="T119:T134" si="27">S119/H119</f>
        <v>85</v>
      </c>
    </row>
    <row r="120" spans="1:20" s="157" customFormat="1" ht="23.25" thickBot="1" x14ac:dyDescent="0.35">
      <c r="A120" s="100">
        <v>82</v>
      </c>
      <c r="B120" s="1238"/>
      <c r="C120" s="491" t="s">
        <v>332</v>
      </c>
      <c r="D120" s="1001"/>
      <c r="E120" s="1195"/>
      <c r="F120" s="1002">
        <v>3010.84</v>
      </c>
      <c r="G120" s="913">
        <v>101</v>
      </c>
      <c r="H120" s="841">
        <v>3010.84</v>
      </c>
      <c r="I120" s="105">
        <f t="shared" si="26"/>
        <v>0</v>
      </c>
      <c r="J120" s="922"/>
      <c r="K120" s="513"/>
      <c r="L120" s="533"/>
      <c r="M120" s="513"/>
      <c r="N120" s="1025"/>
      <c r="O120" s="1241"/>
      <c r="P120" s="1000"/>
      <c r="Q120" s="1183">
        <v>231834.68</v>
      </c>
      <c r="R120" s="1199"/>
      <c r="S120" s="65">
        <f t="shared" si="15"/>
        <v>231834.68</v>
      </c>
      <c r="T120" s="65">
        <f t="shared" si="27"/>
        <v>77</v>
      </c>
    </row>
    <row r="121" spans="1:20" s="157" customFormat="1" ht="42.75" x14ac:dyDescent="0.25">
      <c r="A121" s="100">
        <v>83</v>
      </c>
      <c r="B121" s="1042" t="s">
        <v>292</v>
      </c>
      <c r="C121" s="491" t="s">
        <v>80</v>
      </c>
      <c r="D121" s="491"/>
      <c r="E121" s="1041">
        <v>44765</v>
      </c>
      <c r="F121" s="841">
        <v>1299.99</v>
      </c>
      <c r="G121" s="913">
        <v>45</v>
      </c>
      <c r="H121" s="841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43"/>
      <c r="P121" s="645"/>
      <c r="Q121" s="1183">
        <v>101399.22</v>
      </c>
      <c r="R121" s="1186" t="s">
        <v>610</v>
      </c>
      <c r="S121" s="65">
        <f t="shared" si="15"/>
        <v>101399.22</v>
      </c>
      <c r="T121" s="65">
        <f t="shared" si="27"/>
        <v>78</v>
      </c>
    </row>
    <row r="122" spans="1:20" s="157" customFormat="1" ht="29.25" customHeight="1" x14ac:dyDescent="0.25">
      <c r="A122" s="100">
        <v>84</v>
      </c>
      <c r="B122" s="1058" t="s">
        <v>103</v>
      </c>
      <c r="C122" s="1059" t="s">
        <v>398</v>
      </c>
      <c r="D122" s="1060"/>
      <c r="E122" s="1057">
        <v>44767</v>
      </c>
      <c r="F122" s="1061">
        <v>18271.150000000001</v>
      </c>
      <c r="G122" s="1052">
        <v>23</v>
      </c>
      <c r="H122" s="1062">
        <v>18393.400000000001</v>
      </c>
      <c r="I122" s="105">
        <f t="shared" si="26"/>
        <v>122.25</v>
      </c>
      <c r="J122" s="612"/>
      <c r="K122" s="513"/>
      <c r="L122" s="533"/>
      <c r="M122" s="513"/>
      <c r="N122" s="1025"/>
      <c r="O122" s="955">
        <v>145475</v>
      </c>
      <c r="P122" s="1000"/>
      <c r="Q122" s="1183">
        <v>1149567.1299999999</v>
      </c>
      <c r="R122" s="1186" t="s">
        <v>612</v>
      </c>
      <c r="S122" s="65">
        <f t="shared" ref="S122:S123" si="28">Q122+M122+K122</f>
        <v>1149567.1299999999</v>
      </c>
      <c r="T122" s="65">
        <f t="shared" ref="T122:T123" si="29">S122/H122</f>
        <v>62.498892537540627</v>
      </c>
    </row>
    <row r="123" spans="1:20" s="157" customFormat="1" ht="29.25" customHeight="1" thickBot="1" x14ac:dyDescent="0.3">
      <c r="A123" s="100">
        <v>85</v>
      </c>
      <c r="B123" s="1067" t="s">
        <v>312</v>
      </c>
      <c r="C123" s="491" t="s">
        <v>298</v>
      </c>
      <c r="D123" s="491" t="s">
        <v>399</v>
      </c>
      <c r="E123" s="854">
        <v>44767</v>
      </c>
      <c r="F123" s="841">
        <v>1166.52</v>
      </c>
      <c r="G123" s="913">
        <v>40</v>
      </c>
      <c r="H123" s="841">
        <v>1166.52</v>
      </c>
      <c r="I123" s="565">
        <f t="shared" si="26"/>
        <v>0</v>
      </c>
      <c r="J123" s="612"/>
      <c r="K123" s="513"/>
      <c r="L123" s="533"/>
      <c r="M123" s="513"/>
      <c r="N123" s="1025"/>
      <c r="O123" s="955" t="s">
        <v>400</v>
      </c>
      <c r="P123" s="1000"/>
      <c r="Q123" s="759">
        <v>149314.56</v>
      </c>
      <c r="R123" s="1179" t="s">
        <v>606</v>
      </c>
      <c r="S123" s="65">
        <f t="shared" si="28"/>
        <v>149314.56</v>
      </c>
      <c r="T123" s="65">
        <f t="shared" si="29"/>
        <v>128</v>
      </c>
    </row>
    <row r="124" spans="1:20" s="157" customFormat="1" ht="25.5" customHeight="1" x14ac:dyDescent="0.25">
      <c r="A124" s="100">
        <v>86</v>
      </c>
      <c r="B124" s="1192" t="s">
        <v>295</v>
      </c>
      <c r="C124" s="1063" t="s">
        <v>296</v>
      </c>
      <c r="D124" s="1064"/>
      <c r="E124" s="1194">
        <v>44768</v>
      </c>
      <c r="F124" s="1065">
        <v>1001.6</v>
      </c>
      <c r="G124" s="1053">
        <v>86</v>
      </c>
      <c r="H124" s="1066">
        <v>1001.6</v>
      </c>
      <c r="I124" s="105">
        <f t="shared" si="26"/>
        <v>0</v>
      </c>
      <c r="J124" s="612"/>
      <c r="K124" s="513"/>
      <c r="L124" s="533"/>
      <c r="M124" s="513"/>
      <c r="N124" s="1025"/>
      <c r="O124" s="1196" t="s">
        <v>375</v>
      </c>
      <c r="P124" s="1000"/>
      <c r="Q124" s="1177">
        <v>94200.48</v>
      </c>
      <c r="R124" s="1189" t="s">
        <v>604</v>
      </c>
      <c r="S124" s="65">
        <f t="shared" si="15"/>
        <v>94200.48</v>
      </c>
      <c r="T124" s="65">
        <f t="shared" si="27"/>
        <v>94.05</v>
      </c>
    </row>
    <row r="125" spans="1:20" s="157" customFormat="1" ht="26.25" customHeight="1" x14ac:dyDescent="0.25">
      <c r="A125" s="100">
        <v>87</v>
      </c>
      <c r="B125" s="1192"/>
      <c r="C125" s="998" t="s">
        <v>64</v>
      </c>
      <c r="D125" s="1001"/>
      <c r="E125" s="1194"/>
      <c r="F125" s="1002">
        <v>504.02</v>
      </c>
      <c r="G125" s="913">
        <v>42</v>
      </c>
      <c r="H125" s="841">
        <v>504.02</v>
      </c>
      <c r="I125" s="105">
        <f t="shared" si="26"/>
        <v>0</v>
      </c>
      <c r="J125" s="612"/>
      <c r="K125" s="513"/>
      <c r="L125" s="533"/>
      <c r="M125" s="513"/>
      <c r="N125" s="1025"/>
      <c r="O125" s="1196"/>
      <c r="P125" s="1000"/>
      <c r="Q125" s="1177">
        <v>47881.9</v>
      </c>
      <c r="R125" s="1190"/>
      <c r="S125" s="65">
        <f t="shared" ref="S125:S130" si="30">Q125+M125+K125</f>
        <v>47881.9</v>
      </c>
      <c r="T125" s="65">
        <f t="shared" ref="T125:T130" si="31">S125/H125</f>
        <v>95</v>
      </c>
    </row>
    <row r="126" spans="1:20" s="157" customFormat="1" ht="18.75" customHeight="1" thickBot="1" x14ac:dyDescent="0.3">
      <c r="A126" s="100">
        <v>88</v>
      </c>
      <c r="B126" s="1193"/>
      <c r="C126" s="998" t="s">
        <v>297</v>
      </c>
      <c r="D126" s="1001"/>
      <c r="E126" s="1195"/>
      <c r="F126" s="1002">
        <v>204.68</v>
      </c>
      <c r="G126" s="913">
        <v>18</v>
      </c>
      <c r="H126" s="841">
        <v>204.68</v>
      </c>
      <c r="I126" s="105">
        <f t="shared" si="26"/>
        <v>0</v>
      </c>
      <c r="J126" s="612"/>
      <c r="K126" s="513"/>
      <c r="L126" s="533"/>
      <c r="M126" s="513"/>
      <c r="N126" s="1025"/>
      <c r="O126" s="1197"/>
      <c r="P126" s="1020"/>
      <c r="Q126" s="1178">
        <v>17397.8</v>
      </c>
      <c r="R126" s="1191"/>
      <c r="S126" s="65">
        <f t="shared" si="30"/>
        <v>17397.8</v>
      </c>
      <c r="T126" s="65">
        <f t="shared" si="31"/>
        <v>85</v>
      </c>
    </row>
    <row r="127" spans="1:20" s="157" customFormat="1" ht="24.75" customHeight="1" x14ac:dyDescent="0.25">
      <c r="A127" s="100">
        <v>89</v>
      </c>
      <c r="B127" s="1200" t="s">
        <v>282</v>
      </c>
      <c r="C127" s="998" t="s">
        <v>290</v>
      </c>
      <c r="D127" s="491"/>
      <c r="E127" s="1003">
        <v>44769</v>
      </c>
      <c r="F127" s="841">
        <v>100</v>
      </c>
      <c r="G127" s="913">
        <v>10</v>
      </c>
      <c r="H127" s="841">
        <v>100</v>
      </c>
      <c r="I127" s="105">
        <f t="shared" si="26"/>
        <v>0</v>
      </c>
      <c r="J127" s="612"/>
      <c r="K127" s="513"/>
      <c r="L127" s="533"/>
      <c r="M127" s="513"/>
      <c r="N127" s="1025"/>
      <c r="O127" s="1202" t="s">
        <v>379</v>
      </c>
      <c r="P127" s="1020"/>
      <c r="Q127" s="762">
        <v>10000</v>
      </c>
      <c r="R127" s="1218" t="s">
        <v>385</v>
      </c>
      <c r="S127" s="65">
        <f t="shared" si="30"/>
        <v>10000</v>
      </c>
      <c r="T127" s="65">
        <f t="shared" si="31"/>
        <v>100</v>
      </c>
    </row>
    <row r="128" spans="1:20" s="157" customFormat="1" ht="27" customHeight="1" thickBot="1" x14ac:dyDescent="0.3">
      <c r="A128" s="100">
        <v>90</v>
      </c>
      <c r="B128" s="1201"/>
      <c r="C128" s="998" t="s">
        <v>378</v>
      </c>
      <c r="D128" s="491"/>
      <c r="E128" s="854">
        <v>44769</v>
      </c>
      <c r="F128" s="841">
        <v>100</v>
      </c>
      <c r="G128" s="913">
        <v>10</v>
      </c>
      <c r="H128" s="841">
        <v>100</v>
      </c>
      <c r="I128" s="105">
        <f t="shared" si="26"/>
        <v>0</v>
      </c>
      <c r="J128" s="612"/>
      <c r="K128" s="513"/>
      <c r="L128" s="533"/>
      <c r="M128" s="513"/>
      <c r="N128" s="1025"/>
      <c r="O128" s="1203"/>
      <c r="P128" s="999"/>
      <c r="Q128" s="762">
        <v>8500</v>
      </c>
      <c r="R128" s="1205"/>
      <c r="S128" s="65">
        <f t="shared" si="30"/>
        <v>8500</v>
      </c>
      <c r="T128" s="65">
        <f t="shared" si="31"/>
        <v>85</v>
      </c>
    </row>
    <row r="129" spans="1:20" s="157" customFormat="1" ht="27" customHeight="1" x14ac:dyDescent="0.25">
      <c r="A129" s="100">
        <v>91</v>
      </c>
      <c r="B129" s="1180" t="s">
        <v>312</v>
      </c>
      <c r="C129" s="998" t="s">
        <v>401</v>
      </c>
      <c r="D129" s="491"/>
      <c r="E129" s="854">
        <v>44769</v>
      </c>
      <c r="F129" s="841">
        <v>5012.16</v>
      </c>
      <c r="G129" s="913">
        <v>184</v>
      </c>
      <c r="H129" s="841">
        <v>5012.16</v>
      </c>
      <c r="I129" s="105">
        <f t="shared" si="26"/>
        <v>0</v>
      </c>
      <c r="J129" s="612"/>
      <c r="K129" s="513"/>
      <c r="L129" s="533"/>
      <c r="M129" s="513"/>
      <c r="N129" s="1025"/>
      <c r="O129" s="1068" t="s">
        <v>402</v>
      </c>
      <c r="P129" s="999"/>
      <c r="Q129" s="1181">
        <v>325790.40000000002</v>
      </c>
      <c r="R129" s="1182" t="s">
        <v>607</v>
      </c>
      <c r="S129" s="65">
        <f t="shared" si="30"/>
        <v>325790.40000000002</v>
      </c>
      <c r="T129" s="65">
        <f t="shared" si="31"/>
        <v>65</v>
      </c>
    </row>
    <row r="130" spans="1:20" s="157" customFormat="1" ht="29.25" customHeight="1" x14ac:dyDescent="0.25">
      <c r="A130" s="100">
        <v>92</v>
      </c>
      <c r="B130" s="1045" t="s">
        <v>63</v>
      </c>
      <c r="C130" s="923" t="s">
        <v>84</v>
      </c>
      <c r="D130" s="491"/>
      <c r="E130" s="846">
        <v>44770</v>
      </c>
      <c r="F130" s="841">
        <v>650.54</v>
      </c>
      <c r="G130" s="913">
        <v>35</v>
      </c>
      <c r="H130" s="841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44" t="s">
        <v>382</v>
      </c>
      <c r="P130" s="858"/>
      <c r="Q130" s="762">
        <v>29274.3</v>
      </c>
      <c r="R130" s="855" t="s">
        <v>606</v>
      </c>
      <c r="S130" s="65">
        <f t="shared" si="30"/>
        <v>29274.3</v>
      </c>
      <c r="T130" s="65">
        <f t="shared" si="31"/>
        <v>45</v>
      </c>
    </row>
    <row r="131" spans="1:20" s="157" customFormat="1" ht="28.5" x14ac:dyDescent="0.25">
      <c r="A131" s="100">
        <v>93</v>
      </c>
      <c r="B131" s="491" t="s">
        <v>63</v>
      </c>
      <c r="C131" s="491" t="s">
        <v>85</v>
      </c>
      <c r="D131" s="491"/>
      <c r="E131" s="846">
        <v>44770</v>
      </c>
      <c r="F131" s="841">
        <v>700.77</v>
      </c>
      <c r="G131" s="913">
        <v>26</v>
      </c>
      <c r="H131" s="841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55" t="s">
        <v>383</v>
      </c>
      <c r="P131" s="514"/>
      <c r="Q131" s="762">
        <v>36440.04</v>
      </c>
      <c r="R131" s="512" t="s">
        <v>605</v>
      </c>
      <c r="S131" s="65">
        <f t="shared" si="15"/>
        <v>36440.04</v>
      </c>
      <c r="T131" s="65">
        <f t="shared" si="27"/>
        <v>52</v>
      </c>
    </row>
    <row r="132" spans="1:20" s="157" customFormat="1" ht="42.75" x14ac:dyDescent="0.25">
      <c r="A132" s="100">
        <v>94</v>
      </c>
      <c r="B132" s="1095" t="s">
        <v>292</v>
      </c>
      <c r="C132" s="491" t="s">
        <v>332</v>
      </c>
      <c r="D132" s="491"/>
      <c r="E132" s="846">
        <v>44771</v>
      </c>
      <c r="F132" s="841">
        <v>5000.12</v>
      </c>
      <c r="G132" s="913">
        <v>170</v>
      </c>
      <c r="H132" s="841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7"/>
      <c r="P132" s="514"/>
      <c r="Q132" s="1181"/>
      <c r="R132" s="1185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096" t="s">
        <v>103</v>
      </c>
      <c r="C133" s="491" t="s">
        <v>298</v>
      </c>
      <c r="D133" s="491"/>
      <c r="E133" s="846">
        <v>44772</v>
      </c>
      <c r="F133" s="841">
        <v>18309.66</v>
      </c>
      <c r="G133" s="913">
        <v>623</v>
      </c>
      <c r="H133" s="841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2"/>
      <c r="O133" s="857"/>
      <c r="P133" s="514"/>
      <c r="Q133" s="1181"/>
      <c r="R133" s="1185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3" t="s">
        <v>408</v>
      </c>
      <c r="C134" s="1095" t="s">
        <v>409</v>
      </c>
      <c r="D134" s="1095" t="s">
        <v>407</v>
      </c>
      <c r="E134" s="846">
        <v>44769</v>
      </c>
      <c r="F134" s="841">
        <v>1919.925</v>
      </c>
      <c r="G134" s="913"/>
      <c r="H134" s="841">
        <v>1919.925</v>
      </c>
      <c r="I134" s="105">
        <f t="shared" si="26"/>
        <v>0</v>
      </c>
      <c r="J134" s="623"/>
      <c r="K134" s="513"/>
      <c r="L134" s="533"/>
      <c r="M134" s="513"/>
      <c r="N134" s="893"/>
      <c r="O134" s="857" t="s">
        <v>406</v>
      </c>
      <c r="P134" s="514"/>
      <c r="Q134" s="762">
        <v>153594</v>
      </c>
      <c r="R134" s="1097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3" t="s">
        <v>408</v>
      </c>
      <c r="C135" s="1042" t="s">
        <v>410</v>
      </c>
      <c r="D135" s="993" t="s">
        <v>411</v>
      </c>
      <c r="E135" s="846">
        <v>44770</v>
      </c>
      <c r="F135" s="841">
        <v>347.82499999999999</v>
      </c>
      <c r="G135" s="913"/>
      <c r="H135" s="841">
        <v>347.82499999999999</v>
      </c>
      <c r="I135" s="105">
        <f t="shared" si="26"/>
        <v>0</v>
      </c>
      <c r="J135" s="623"/>
      <c r="K135" s="513"/>
      <c r="L135" s="533"/>
      <c r="M135" s="513"/>
      <c r="N135" s="894"/>
      <c r="O135" s="1100" t="s">
        <v>412</v>
      </c>
      <c r="P135" s="858"/>
      <c r="Q135" s="762">
        <v>27826</v>
      </c>
      <c r="R135" s="856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231" t="s">
        <v>408</v>
      </c>
      <c r="C136" s="1231" t="s">
        <v>413</v>
      </c>
      <c r="D136" s="1231" t="s">
        <v>414</v>
      </c>
      <c r="E136" s="1245">
        <v>44769</v>
      </c>
      <c r="F136" s="841">
        <v>85.8</v>
      </c>
      <c r="G136" s="913"/>
      <c r="H136" s="841">
        <v>85.8</v>
      </c>
      <c r="I136" s="273">
        <f t="shared" si="26"/>
        <v>0</v>
      </c>
      <c r="J136" s="480"/>
      <c r="K136" s="513"/>
      <c r="L136" s="533"/>
      <c r="M136" s="513"/>
      <c r="N136" s="995"/>
      <c r="O136" s="1240" t="s">
        <v>415</v>
      </c>
      <c r="P136" s="1020"/>
      <c r="Q136" s="762">
        <v>8600</v>
      </c>
      <c r="R136" s="1242" t="s">
        <v>405</v>
      </c>
      <c r="S136" s="65">
        <f t="shared" si="15"/>
        <v>8600</v>
      </c>
      <c r="T136" s="65">
        <f t="shared" ref="T136" si="32">S136/H136</f>
        <v>100.23310023310023</v>
      </c>
    </row>
    <row r="137" spans="1:20" s="157" customFormat="1" ht="32.25" customHeight="1" x14ac:dyDescent="0.25">
      <c r="A137" s="100">
        <v>99</v>
      </c>
      <c r="B137" s="1192"/>
      <c r="C137" s="1192"/>
      <c r="D137" s="1192"/>
      <c r="E137" s="1246"/>
      <c r="F137" s="841">
        <v>112.34699999999999</v>
      </c>
      <c r="G137" s="913"/>
      <c r="H137" s="841">
        <v>112.34699999999999</v>
      </c>
      <c r="I137" s="273">
        <f t="shared" si="26"/>
        <v>0</v>
      </c>
      <c r="J137" s="480"/>
      <c r="K137" s="513"/>
      <c r="L137" s="533"/>
      <c r="M137" s="513"/>
      <c r="N137" s="995"/>
      <c r="O137" s="1248"/>
      <c r="P137" s="1020"/>
      <c r="Q137" s="762">
        <v>4269.2</v>
      </c>
      <c r="R137" s="1243"/>
      <c r="S137" s="65">
        <f t="shared" ref="S137:S141" si="33">Q137+M137+K137</f>
        <v>4269.2</v>
      </c>
      <c r="T137" s="65">
        <f t="shared" ref="T137:T141" si="34">S137/H137</f>
        <v>38.000124613919375</v>
      </c>
    </row>
    <row r="138" spans="1:20" s="157" customFormat="1" ht="19.5" customHeight="1" x14ac:dyDescent="0.25">
      <c r="A138" s="100">
        <v>100</v>
      </c>
      <c r="B138" s="1192"/>
      <c r="C138" s="1192"/>
      <c r="D138" s="1192"/>
      <c r="E138" s="1246"/>
      <c r="F138" s="841">
        <v>51</v>
      </c>
      <c r="G138" s="913"/>
      <c r="H138" s="841">
        <v>51</v>
      </c>
      <c r="I138" s="273">
        <f t="shared" si="26"/>
        <v>0</v>
      </c>
      <c r="J138" s="480"/>
      <c r="K138" s="513"/>
      <c r="L138" s="533"/>
      <c r="M138" s="513"/>
      <c r="N138" s="995"/>
      <c r="O138" s="1248"/>
      <c r="P138" s="1020"/>
      <c r="Q138" s="762">
        <v>3468</v>
      </c>
      <c r="R138" s="1243"/>
      <c r="S138" s="65">
        <f t="shared" si="33"/>
        <v>3468</v>
      </c>
      <c r="T138" s="65">
        <f t="shared" si="34"/>
        <v>68</v>
      </c>
    </row>
    <row r="139" spans="1:20" s="157" customFormat="1" ht="19.5" customHeight="1" thickBot="1" x14ac:dyDescent="0.3">
      <c r="A139" s="100"/>
      <c r="B139" s="1193"/>
      <c r="C139" s="1193"/>
      <c r="D139" s="1193"/>
      <c r="E139" s="1247"/>
      <c r="F139" s="841">
        <v>68.22</v>
      </c>
      <c r="G139" s="913"/>
      <c r="H139" s="841">
        <v>68.22</v>
      </c>
      <c r="I139" s="273">
        <f t="shared" si="26"/>
        <v>0</v>
      </c>
      <c r="J139" s="480"/>
      <c r="K139" s="513"/>
      <c r="L139" s="533"/>
      <c r="M139" s="513"/>
      <c r="N139" s="995"/>
      <c r="O139" s="1241"/>
      <c r="P139" s="1020"/>
      <c r="Q139" s="762">
        <v>6139.8</v>
      </c>
      <c r="R139" s="1244"/>
      <c r="S139" s="65">
        <f t="shared" si="33"/>
        <v>6139.8</v>
      </c>
      <c r="T139" s="65">
        <f t="shared" si="34"/>
        <v>90</v>
      </c>
    </row>
    <row r="140" spans="1:20" s="157" customFormat="1" ht="19.5" customHeight="1" x14ac:dyDescent="0.25">
      <c r="A140" s="100"/>
      <c r="B140" s="1098"/>
      <c r="C140" s="1099"/>
      <c r="D140" s="1098"/>
      <c r="E140" s="846"/>
      <c r="F140" s="841"/>
      <c r="G140" s="913"/>
      <c r="H140" s="841"/>
      <c r="I140" s="273">
        <f t="shared" si="26"/>
        <v>0</v>
      </c>
      <c r="J140" s="480"/>
      <c r="K140" s="513"/>
      <c r="L140" s="533"/>
      <c r="M140" s="513"/>
      <c r="N140" s="891"/>
      <c r="O140" s="1101"/>
      <c r="P140" s="514"/>
      <c r="Q140" s="762"/>
      <c r="R140" s="855"/>
      <c r="S140" s="65">
        <f t="shared" si="33"/>
        <v>0</v>
      </c>
      <c r="T140" s="65" t="e">
        <f t="shared" si="34"/>
        <v>#DIV/0!</v>
      </c>
    </row>
    <row r="141" spans="1:20" s="157" customFormat="1" ht="19.5" customHeight="1" x14ac:dyDescent="0.25">
      <c r="A141" s="100"/>
      <c r="B141" s="491"/>
      <c r="C141" s="957"/>
      <c r="D141" s="491"/>
      <c r="E141" s="846"/>
      <c r="F141" s="841"/>
      <c r="G141" s="913"/>
      <c r="H141" s="840"/>
      <c r="I141" s="273">
        <f t="shared" si="26"/>
        <v>0</v>
      </c>
      <c r="J141" s="610"/>
      <c r="K141" s="513"/>
      <c r="L141" s="533"/>
      <c r="M141" s="513"/>
      <c r="N141" s="513"/>
      <c r="O141" s="857"/>
      <c r="P141" s="513"/>
      <c r="Q141" s="762"/>
      <c r="R141" s="855"/>
      <c r="S141" s="65">
        <f t="shared" si="33"/>
        <v>0</v>
      </c>
      <c r="T141" s="65" t="e">
        <f t="shared" si="34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56"/>
      <c r="P142" s="646"/>
      <c r="Q142" s="763"/>
      <c r="R142" s="647"/>
      <c r="S142" s="65">
        <f t="shared" ref="S142" si="35">Q142+M142+K142</f>
        <v>0</v>
      </c>
      <c r="T142" s="65" t="e">
        <f t="shared" ref="T142" si="36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3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3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3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3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3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3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3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3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3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4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4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4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4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4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4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4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5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5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5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6"/>
      <c r="R162" s="462"/>
      <c r="S162" s="65">
        <f t="shared" ref="S162:S167" si="37">Q162+M162+K162</f>
        <v>0</v>
      </c>
      <c r="T162" s="65" t="e">
        <f t="shared" ref="T162:T170" si="38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7"/>
      <c r="R163" s="175"/>
      <c r="S163" s="65">
        <f t="shared" si="37"/>
        <v>0</v>
      </c>
      <c r="T163" s="65" t="e">
        <f t="shared" si="38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7"/>
      <c r="R164" s="175"/>
      <c r="S164" s="65">
        <f t="shared" si="37"/>
        <v>0</v>
      </c>
      <c r="T164" s="65" t="e">
        <f t="shared" si="38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7"/>
      <c r="R165" s="176"/>
      <c r="S165" s="65">
        <f t="shared" si="37"/>
        <v>0</v>
      </c>
      <c r="T165" s="65" t="e">
        <f t="shared" si="38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7"/>
      <c r="R166" s="176"/>
      <c r="S166" s="65">
        <f t="shared" si="37"/>
        <v>0</v>
      </c>
      <c r="T166" s="65" t="e">
        <f t="shared" si="38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7"/>
        <v>0</v>
      </c>
      <c r="T167" s="65" t="e">
        <f t="shared" si="38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9">Q168+M168+K168</f>
        <v>0</v>
      </c>
      <c r="T168" s="65" t="e">
        <f t="shared" si="38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9"/>
        <v>0</v>
      </c>
      <c r="T169" s="65" t="e">
        <f t="shared" si="38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9"/>
        <v>0</v>
      </c>
      <c r="T170" s="65" t="e">
        <f t="shared" si="38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9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8"/>
      <c r="R172" s="174"/>
      <c r="S172" s="65">
        <f t="shared" si="39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8"/>
      <c r="R173" s="167"/>
      <c r="S173" s="65">
        <f t="shared" si="39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69">
        <f>SUM(Q5:Q174)</f>
        <v>31730715.939329989</v>
      </c>
      <c r="R175" s="152"/>
      <c r="S175" s="178">
        <f>Q175+M175+K175</f>
        <v>32894281.939329989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41">
    <mergeCell ref="R136:R139"/>
    <mergeCell ref="E136:E139"/>
    <mergeCell ref="C136:C139"/>
    <mergeCell ref="D136:D139"/>
    <mergeCell ref="B136:B139"/>
    <mergeCell ref="O136:O139"/>
    <mergeCell ref="O109:O110"/>
    <mergeCell ref="B112:B113"/>
    <mergeCell ref="E112:E113"/>
    <mergeCell ref="O112:O113"/>
    <mergeCell ref="B119:B120"/>
    <mergeCell ref="E119:E120"/>
    <mergeCell ref="O119:O120"/>
    <mergeCell ref="Q1:Q2"/>
    <mergeCell ref="K1:K2"/>
    <mergeCell ref="M1:M2"/>
    <mergeCell ref="B102:B103"/>
    <mergeCell ref="E102:E103"/>
    <mergeCell ref="O102:O103"/>
    <mergeCell ref="B127:B128"/>
    <mergeCell ref="O127:O128"/>
    <mergeCell ref="R102:R103"/>
    <mergeCell ref="R104:R105"/>
    <mergeCell ref="B104:B105"/>
    <mergeCell ref="E104:E105"/>
    <mergeCell ref="O104:O105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R112:R113"/>
    <mergeCell ref="R124:R126"/>
    <mergeCell ref="B124:B126"/>
    <mergeCell ref="E124:E126"/>
    <mergeCell ref="O124:O126"/>
    <mergeCell ref="R119:R12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51"/>
      <c r="B5" s="1270" t="s">
        <v>79</v>
      </c>
      <c r="C5" s="269"/>
      <c r="D5" s="248"/>
      <c r="E5" s="257"/>
      <c r="F5" s="253"/>
      <c r="G5" s="258"/>
    </row>
    <row r="6" spans="1:9" x14ac:dyDescent="0.25">
      <c r="A6" s="1251"/>
      <c r="B6" s="1270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51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1"/>
      <c r="B5" s="1271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51"/>
      <c r="B6" s="1271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0"/>
  </cols>
  <sheetData>
    <row r="1" spans="1:19" ht="40.5" x14ac:dyDescent="0.55000000000000004">
      <c r="A1" s="1260" t="s">
        <v>229</v>
      </c>
      <c r="B1" s="1260"/>
      <c r="C1" s="1260"/>
      <c r="D1" s="1260"/>
      <c r="E1" s="1260"/>
      <c r="F1" s="1260"/>
      <c r="G1" s="1260"/>
      <c r="H1" s="11">
        <v>1</v>
      </c>
      <c r="I1" s="869"/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  <c r="S1" s="86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1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1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2"/>
      <c r="K4" s="289"/>
      <c r="L4" s="289"/>
      <c r="M4" s="289"/>
      <c r="N4" s="243"/>
      <c r="O4" s="326"/>
      <c r="P4" s="253"/>
      <c r="Q4" s="160"/>
      <c r="R4" s="160"/>
      <c r="S4" s="872"/>
    </row>
    <row r="5" spans="1:19" ht="15" customHeight="1" x14ac:dyDescent="0.25">
      <c r="A5" s="1250" t="s">
        <v>119</v>
      </c>
      <c r="B5" s="1272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50" t="s">
        <v>119</v>
      </c>
      <c r="L5" s="1272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50"/>
      <c r="B6" s="1272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3"/>
      <c r="K6" s="1250"/>
      <c r="L6" s="1272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3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4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7">
        <v>44749</v>
      </c>
      <c r="F19" s="776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7">
        <v>44749</v>
      </c>
      <c r="F20" s="776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7">
        <v>44754</v>
      </c>
      <c r="F21" s="776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4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4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4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4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64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64"/>
      <c r="F27" s="1108">
        <v>0</v>
      </c>
      <c r="G27" s="1109"/>
      <c r="H27" s="1110"/>
      <c r="I27" s="1121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49">
        <f t="shared" ref="F28:F33" si="7">D28</f>
        <v>0</v>
      </c>
      <c r="G28" s="1122"/>
      <c r="H28" s="1123"/>
      <c r="I28" s="1121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49">
        <f t="shared" si="7"/>
        <v>0</v>
      </c>
      <c r="G29" s="1122"/>
      <c r="H29" s="1123"/>
      <c r="I29" s="1121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49">
        <f t="shared" si="7"/>
        <v>0</v>
      </c>
      <c r="G30" s="1122"/>
      <c r="H30" s="1123"/>
      <c r="I30" s="1121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62" t="s">
        <v>11</v>
      </c>
      <c r="D40" s="1263"/>
      <c r="E40" s="57">
        <f>E4+E5+E6+E7-F35</f>
        <v>46.8599999999999</v>
      </c>
      <c r="F40" s="73"/>
      <c r="M40" s="1262" t="s">
        <v>11</v>
      </c>
      <c r="N40" s="1263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0" t="s">
        <v>230</v>
      </c>
      <c r="B1" s="1260"/>
      <c r="C1" s="1260"/>
      <c r="D1" s="1260"/>
      <c r="E1" s="1260"/>
      <c r="F1" s="1260"/>
      <c r="G1" s="1260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0" t="s">
        <v>103</v>
      </c>
      <c r="B5" s="1273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50"/>
      <c r="B6" s="1273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6">
        <v>345.22</v>
      </c>
      <c r="E11" s="777">
        <v>44722</v>
      </c>
      <c r="F11" s="776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6">
        <v>234.23</v>
      </c>
      <c r="E12" s="777">
        <v>44732</v>
      </c>
      <c r="F12" s="776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6">
        <v>33.61</v>
      </c>
      <c r="E13" s="777">
        <v>44734</v>
      </c>
      <c r="F13" s="776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5">
        <v>44749</v>
      </c>
      <c r="F14" s="326">
        <f t="shared" si="0"/>
        <v>32.840000000000003</v>
      </c>
      <c r="G14" s="896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5"/>
      <c r="F15" s="326">
        <f t="shared" si="0"/>
        <v>0</v>
      </c>
      <c r="G15" s="896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5"/>
      <c r="F16" s="326">
        <f t="shared" si="0"/>
        <v>0</v>
      </c>
      <c r="G16" s="896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5"/>
      <c r="F17" s="326">
        <f t="shared" si="0"/>
        <v>0</v>
      </c>
      <c r="G17" s="896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5"/>
      <c r="F18" s="326">
        <f t="shared" si="0"/>
        <v>0</v>
      </c>
      <c r="G18" s="896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5"/>
      <c r="F19" s="326">
        <f t="shared" si="0"/>
        <v>0</v>
      </c>
      <c r="G19" s="896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5"/>
      <c r="F20" s="326">
        <f t="shared" si="0"/>
        <v>0</v>
      </c>
      <c r="G20" s="896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5"/>
      <c r="F21" s="326">
        <f t="shared" si="0"/>
        <v>0</v>
      </c>
      <c r="G21" s="896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60" t="s">
        <v>231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51" t="s">
        <v>83</v>
      </c>
      <c r="B5" s="1273" t="s">
        <v>84</v>
      </c>
      <c r="C5" s="708">
        <v>45</v>
      </c>
      <c r="D5" s="929">
        <v>44740</v>
      </c>
      <c r="E5" s="709">
        <v>516.39</v>
      </c>
      <c r="F5" s="710">
        <v>27</v>
      </c>
      <c r="G5" s="274">
        <f>F36</f>
        <v>514.98</v>
      </c>
      <c r="H5" s="7">
        <f>E5-G5+E4+E6</f>
        <v>-3.1752378504279477E-14</v>
      </c>
      <c r="K5" s="1251" t="s">
        <v>83</v>
      </c>
      <c r="L5" s="1273" t="s">
        <v>84</v>
      </c>
      <c r="M5" s="708">
        <v>45</v>
      </c>
      <c r="N5" s="929">
        <v>44770</v>
      </c>
      <c r="O5" s="709">
        <v>650.54</v>
      </c>
      <c r="P5" s="710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51"/>
      <c r="B6" s="1274"/>
      <c r="C6" s="275"/>
      <c r="D6" s="276"/>
      <c r="E6" s="268"/>
      <c r="F6" s="243"/>
      <c r="K6" s="1251"/>
      <c r="L6" s="1274"/>
      <c r="M6" s="275"/>
      <c r="N6" s="276"/>
      <c r="O6" s="268"/>
      <c r="P6" s="243"/>
    </row>
    <row r="7" spans="1:19" ht="16.5" customHeight="1" thickTop="1" thickBot="1" x14ac:dyDescent="0.3">
      <c r="A7" s="243"/>
      <c r="B7" s="7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2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3"/>
      <c r="L8" s="772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3">
        <f>B8-C9</f>
        <v>21</v>
      </c>
      <c r="C9" s="53">
        <v>5</v>
      </c>
      <c r="D9" s="227">
        <v>93.82</v>
      </c>
      <c r="E9" s="897">
        <v>44750</v>
      </c>
      <c r="F9" s="898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3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3">
        <f t="shared" ref="B10:B35" si="2">B9-C10</f>
        <v>18</v>
      </c>
      <c r="C10" s="15">
        <v>3</v>
      </c>
      <c r="D10" s="227">
        <v>58.71</v>
      </c>
      <c r="E10" s="897">
        <v>44757</v>
      </c>
      <c r="F10" s="898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3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3">
        <f t="shared" si="2"/>
        <v>17</v>
      </c>
      <c r="C11" s="15">
        <v>1</v>
      </c>
      <c r="D11" s="227">
        <v>19.260000000000002</v>
      </c>
      <c r="E11" s="897">
        <v>44760</v>
      </c>
      <c r="F11" s="898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3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3">
        <f t="shared" si="2"/>
        <v>16</v>
      </c>
      <c r="C12" s="53">
        <v>1</v>
      </c>
      <c r="D12" s="227">
        <v>19.03</v>
      </c>
      <c r="E12" s="897">
        <v>44763</v>
      </c>
      <c r="F12" s="898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3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3">
        <f t="shared" si="2"/>
        <v>13</v>
      </c>
      <c r="C13" s="53">
        <v>3</v>
      </c>
      <c r="D13" s="227">
        <v>59.29</v>
      </c>
      <c r="E13" s="897">
        <v>44764</v>
      </c>
      <c r="F13" s="898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3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3">
        <f t="shared" si="2"/>
        <v>10</v>
      </c>
      <c r="C14" s="15">
        <v>3</v>
      </c>
      <c r="D14" s="227">
        <v>57.58</v>
      </c>
      <c r="E14" s="897">
        <v>44765</v>
      </c>
      <c r="F14" s="898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3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3">
        <f t="shared" si="2"/>
        <v>0</v>
      </c>
      <c r="C15" s="15">
        <v>10</v>
      </c>
      <c r="D15" s="227">
        <v>188.49</v>
      </c>
      <c r="E15" s="897">
        <v>44767</v>
      </c>
      <c r="F15" s="898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3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3">
        <f t="shared" si="2"/>
        <v>0</v>
      </c>
      <c r="C16" s="15"/>
      <c r="D16" s="227">
        <v>0</v>
      </c>
      <c r="E16" s="897"/>
      <c r="F16" s="1147">
        <f t="shared" si="0"/>
        <v>0</v>
      </c>
      <c r="G16" s="1109"/>
      <c r="H16" s="1110"/>
      <c r="I16" s="1148">
        <f t="shared" si="4"/>
        <v>0</v>
      </c>
      <c r="L16" s="773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3">
        <f t="shared" si="2"/>
        <v>0</v>
      </c>
      <c r="C17" s="15"/>
      <c r="D17" s="227">
        <v>0</v>
      </c>
      <c r="E17" s="897"/>
      <c r="F17" s="1147">
        <f t="shared" si="0"/>
        <v>0</v>
      </c>
      <c r="G17" s="1109"/>
      <c r="H17" s="1110"/>
      <c r="I17" s="1148">
        <f t="shared" si="4"/>
        <v>0</v>
      </c>
      <c r="L17" s="773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3">
        <f t="shared" si="2"/>
        <v>0</v>
      </c>
      <c r="C18" s="15"/>
      <c r="D18" s="227">
        <v>0</v>
      </c>
      <c r="E18" s="897"/>
      <c r="F18" s="1147">
        <f t="shared" si="0"/>
        <v>0</v>
      </c>
      <c r="G18" s="1109"/>
      <c r="H18" s="1110"/>
      <c r="I18" s="1148">
        <f t="shared" si="4"/>
        <v>0</v>
      </c>
      <c r="L18" s="773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3">
        <f t="shared" si="2"/>
        <v>0</v>
      </c>
      <c r="C19" s="15"/>
      <c r="D19" s="227">
        <v>0</v>
      </c>
      <c r="E19" s="897"/>
      <c r="F19" s="1147">
        <f t="shared" si="0"/>
        <v>0</v>
      </c>
      <c r="G19" s="1109"/>
      <c r="H19" s="1110"/>
      <c r="I19" s="1148">
        <f t="shared" si="4"/>
        <v>0</v>
      </c>
      <c r="L19" s="773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3">
        <f t="shared" si="2"/>
        <v>0</v>
      </c>
      <c r="C20" s="15"/>
      <c r="D20" s="227">
        <v>0</v>
      </c>
      <c r="E20" s="897"/>
      <c r="F20" s="1147">
        <f t="shared" si="0"/>
        <v>0</v>
      </c>
      <c r="G20" s="1109"/>
      <c r="H20" s="1110"/>
      <c r="I20" s="1148">
        <f t="shared" si="4"/>
        <v>0</v>
      </c>
      <c r="L20" s="773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3">
        <f t="shared" si="2"/>
        <v>0</v>
      </c>
      <c r="C21" s="15"/>
      <c r="D21" s="227">
        <v>0</v>
      </c>
      <c r="E21" s="897"/>
      <c r="F21" s="898">
        <f t="shared" si="0"/>
        <v>0</v>
      </c>
      <c r="G21" s="412"/>
      <c r="H21" s="413"/>
      <c r="I21" s="267">
        <f t="shared" si="4"/>
        <v>0</v>
      </c>
      <c r="L21" s="773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3">
        <f t="shared" si="2"/>
        <v>0</v>
      </c>
      <c r="C22" s="15"/>
      <c r="D22" s="227">
        <v>0</v>
      </c>
      <c r="E22" s="897"/>
      <c r="F22" s="898">
        <f t="shared" si="0"/>
        <v>0</v>
      </c>
      <c r="G22" s="818"/>
      <c r="H22" s="819"/>
      <c r="I22" s="267">
        <f t="shared" si="4"/>
        <v>0</v>
      </c>
      <c r="L22" s="773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3">
        <f t="shared" si="2"/>
        <v>0</v>
      </c>
      <c r="C23" s="15"/>
      <c r="D23" s="227">
        <v>0</v>
      </c>
      <c r="E23" s="897"/>
      <c r="F23" s="898">
        <f t="shared" si="0"/>
        <v>0</v>
      </c>
      <c r="G23" s="818"/>
      <c r="H23" s="819"/>
      <c r="I23" s="267">
        <f t="shared" si="4"/>
        <v>0</v>
      </c>
      <c r="L23" s="773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3">
        <f t="shared" si="2"/>
        <v>0</v>
      </c>
      <c r="C24" s="15"/>
      <c r="D24" s="227">
        <v>0</v>
      </c>
      <c r="E24" s="897"/>
      <c r="F24" s="898">
        <f t="shared" si="0"/>
        <v>0</v>
      </c>
      <c r="G24" s="818"/>
      <c r="H24" s="819"/>
      <c r="I24" s="267">
        <f t="shared" si="4"/>
        <v>0</v>
      </c>
      <c r="L24" s="773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3">
        <f t="shared" si="2"/>
        <v>0</v>
      </c>
      <c r="C25" s="15"/>
      <c r="D25" s="227">
        <v>0</v>
      </c>
      <c r="E25" s="897"/>
      <c r="F25" s="898">
        <f t="shared" si="0"/>
        <v>0</v>
      </c>
      <c r="G25" s="818"/>
      <c r="H25" s="819"/>
      <c r="I25" s="267">
        <f t="shared" si="4"/>
        <v>0</v>
      </c>
      <c r="L25" s="773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3">
        <f t="shared" si="2"/>
        <v>0</v>
      </c>
      <c r="C26" s="15"/>
      <c r="D26" s="227">
        <v>0</v>
      </c>
      <c r="E26" s="897"/>
      <c r="F26" s="898">
        <f t="shared" si="0"/>
        <v>0</v>
      </c>
      <c r="G26" s="818"/>
      <c r="H26" s="819"/>
      <c r="I26" s="267">
        <f t="shared" si="4"/>
        <v>0</v>
      </c>
      <c r="L26" s="773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3">
        <f t="shared" si="2"/>
        <v>0</v>
      </c>
      <c r="C27" s="15"/>
      <c r="D27" s="227">
        <v>0</v>
      </c>
      <c r="E27" s="897"/>
      <c r="F27" s="898">
        <f t="shared" si="0"/>
        <v>0</v>
      </c>
      <c r="G27" s="818"/>
      <c r="H27" s="819"/>
      <c r="I27" s="229">
        <f t="shared" si="4"/>
        <v>0</v>
      </c>
      <c r="L27" s="773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3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3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3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3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3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3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3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3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3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3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3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3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3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3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3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3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71"/>
      <c r="D38" s="1255" t="s">
        <v>21</v>
      </c>
      <c r="E38" s="1256"/>
      <c r="F38" s="141">
        <f>E4+E5-F36+E6</f>
        <v>0</v>
      </c>
      <c r="L38" s="771"/>
      <c r="N38" s="1255" t="s">
        <v>21</v>
      </c>
      <c r="O38" s="1256"/>
      <c r="P38" s="141">
        <f>O4+O5-P36+O6</f>
        <v>650.54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0</v>
      </c>
      <c r="K39" s="125"/>
      <c r="N39" s="1033" t="s">
        <v>4</v>
      </c>
      <c r="O39" s="1034"/>
      <c r="P39" s="49">
        <f>P4+P5-M36+P6</f>
        <v>35</v>
      </c>
    </row>
    <row r="40" spans="1:19" x14ac:dyDescent="0.25">
      <c r="B40" s="771"/>
      <c r="L40" s="771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50"/>
      <c r="B5" s="1275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50"/>
      <c r="B6" s="1276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7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7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48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48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48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48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78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78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78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79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79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79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79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79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79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79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79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79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79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55" t="s">
        <v>21</v>
      </c>
      <c r="E42" s="1256"/>
      <c r="F42" s="141">
        <f>E4+E5-F40+E6</f>
        <v>0</v>
      </c>
    </row>
    <row r="43" spans="1:10" ht="15.75" thickBot="1" x14ac:dyDescent="0.3">
      <c r="A43" s="125"/>
      <c r="D43" s="782" t="s">
        <v>4</v>
      </c>
      <c r="E43" s="7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77"/>
      <c r="B5" s="732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77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55" t="s">
        <v>21</v>
      </c>
      <c r="E31" s="1256"/>
      <c r="F31" s="141">
        <f>E4+E5-F29+E6</f>
        <v>0</v>
      </c>
    </row>
    <row r="32" spans="1:10" ht="15.75" thickBot="1" x14ac:dyDescent="0.3">
      <c r="A32" s="125"/>
      <c r="D32" s="729" t="s">
        <v>4</v>
      </c>
      <c r="E32" s="73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8" t="s">
        <v>91</v>
      </c>
      <c r="C4" s="128"/>
      <c r="D4" s="134"/>
      <c r="E4" s="193"/>
      <c r="F4" s="137"/>
      <c r="G4" s="38"/>
    </row>
    <row r="5" spans="1:15" ht="15.75" x14ac:dyDescent="0.25">
      <c r="A5" s="1277"/>
      <c r="B5" s="1279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77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55" t="s">
        <v>21</v>
      </c>
      <c r="E31" s="1256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55" t="s">
        <v>21</v>
      </c>
      <c r="E31" s="1256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9"/>
      <c r="B1" s="1249"/>
      <c r="C1" s="1249"/>
      <c r="D1" s="1249"/>
      <c r="E1" s="1249"/>
      <c r="F1" s="1249"/>
      <c r="G1" s="1249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79"/>
      <c r="H4" s="153"/>
      <c r="I4" s="544"/>
    </row>
    <row r="5" spans="1:10" ht="14.25" customHeight="1" x14ac:dyDescent="0.25">
      <c r="A5" s="1251" t="s">
        <v>112</v>
      </c>
      <c r="B5" s="1280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51"/>
      <c r="B6" s="1280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55" t="s">
        <v>21</v>
      </c>
      <c r="E32" s="1256"/>
      <c r="F32" s="141">
        <f>G5-F30</f>
        <v>0</v>
      </c>
    </row>
    <row r="33" spans="1:6" ht="15.75" thickBot="1" x14ac:dyDescent="0.3">
      <c r="A33" s="125"/>
      <c r="D33" s="877" t="s">
        <v>4</v>
      </c>
      <c r="E33" s="87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C8" activePane="bottomRight" state="frozen"/>
      <selection activeCell="H1" sqref="H1"/>
      <selection pane="topRight" activeCell="K1" sqref="K1"/>
      <selection pane="bottomLeft" activeCell="H8" sqref="H8"/>
      <selection pane="bottomRight" activeCell="JE12" sqref="JE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52" t="s">
        <v>221</v>
      </c>
      <c r="L1" s="1252"/>
      <c r="M1" s="1252"/>
      <c r="N1" s="1252"/>
      <c r="O1" s="1252"/>
      <c r="P1" s="1252"/>
      <c r="Q1" s="1252"/>
      <c r="R1" s="348">
        <f>I1+1</f>
        <v>1</v>
      </c>
      <c r="S1" s="348"/>
      <c r="U1" s="1249" t="str">
        <f>K1</f>
        <v>ENTRADAS DEL MES DE    J U L I O      2022</v>
      </c>
      <c r="V1" s="1249"/>
      <c r="W1" s="1249"/>
      <c r="X1" s="1249"/>
      <c r="Y1" s="1249"/>
      <c r="Z1" s="1249"/>
      <c r="AA1" s="1249"/>
      <c r="AB1" s="348">
        <f>R1+1</f>
        <v>2</v>
      </c>
      <c r="AC1" s="539"/>
      <c r="AE1" s="1249" t="str">
        <f>U1</f>
        <v>ENTRADAS DEL MES DE    J U L I O      2022</v>
      </c>
      <c r="AF1" s="1249"/>
      <c r="AG1" s="1249"/>
      <c r="AH1" s="1249"/>
      <c r="AI1" s="1249"/>
      <c r="AJ1" s="1249"/>
      <c r="AK1" s="1249"/>
      <c r="AL1" s="348">
        <f>AB1+1</f>
        <v>3</v>
      </c>
      <c r="AM1" s="348"/>
      <c r="AO1" s="1249" t="str">
        <f>AE1</f>
        <v>ENTRADAS DEL MES DE    J U L I O      2022</v>
      </c>
      <c r="AP1" s="1249"/>
      <c r="AQ1" s="1249"/>
      <c r="AR1" s="1249"/>
      <c r="AS1" s="1249"/>
      <c r="AT1" s="1249"/>
      <c r="AU1" s="1249"/>
      <c r="AV1" s="348">
        <f>AL1+1</f>
        <v>4</v>
      </c>
      <c r="AW1" s="539"/>
      <c r="AY1" s="1249" t="str">
        <f>AO1</f>
        <v>ENTRADAS DEL MES DE    J U L I O      2022</v>
      </c>
      <c r="AZ1" s="1249"/>
      <c r="BA1" s="1249"/>
      <c r="BB1" s="1249"/>
      <c r="BC1" s="1249"/>
      <c r="BD1" s="1249"/>
      <c r="BE1" s="1249"/>
      <c r="BF1" s="348">
        <f>AV1+1</f>
        <v>5</v>
      </c>
      <c r="BG1" s="568"/>
      <c r="BI1" s="1249" t="str">
        <f>AY1</f>
        <v>ENTRADAS DEL MES DE    J U L I O      2022</v>
      </c>
      <c r="BJ1" s="1249"/>
      <c r="BK1" s="1249"/>
      <c r="BL1" s="1249"/>
      <c r="BM1" s="1249"/>
      <c r="BN1" s="1249"/>
      <c r="BO1" s="1249"/>
      <c r="BP1" s="348">
        <f>BF1+1</f>
        <v>6</v>
      </c>
      <c r="BQ1" s="539"/>
      <c r="BS1" s="1249" t="str">
        <f>BI1</f>
        <v>ENTRADAS DEL MES DE    J U L I O      2022</v>
      </c>
      <c r="BT1" s="1249"/>
      <c r="BU1" s="1249"/>
      <c r="BV1" s="1249"/>
      <c r="BW1" s="1249"/>
      <c r="BX1" s="1249"/>
      <c r="BY1" s="1249"/>
      <c r="BZ1" s="348">
        <f>BP1+1</f>
        <v>7</v>
      </c>
      <c r="CC1" s="1249" t="str">
        <f>BS1</f>
        <v>ENTRADAS DEL MES DE    J U L I O      2022</v>
      </c>
      <c r="CD1" s="1249"/>
      <c r="CE1" s="1249"/>
      <c r="CF1" s="1249"/>
      <c r="CG1" s="1249"/>
      <c r="CH1" s="1249"/>
      <c r="CI1" s="1249"/>
      <c r="CJ1" s="348">
        <f>BZ1+1</f>
        <v>8</v>
      </c>
      <c r="CM1" s="1249" t="str">
        <f>CC1</f>
        <v>ENTRADAS DEL MES DE    J U L I O      2022</v>
      </c>
      <c r="CN1" s="1249"/>
      <c r="CO1" s="1249"/>
      <c r="CP1" s="1249"/>
      <c r="CQ1" s="1249"/>
      <c r="CR1" s="1249"/>
      <c r="CS1" s="1249"/>
      <c r="CT1" s="348">
        <f>CJ1+1</f>
        <v>9</v>
      </c>
      <c r="CU1" s="539"/>
      <c r="CW1" s="1249" t="str">
        <f>CM1</f>
        <v>ENTRADAS DEL MES DE    J U L I O      2022</v>
      </c>
      <c r="CX1" s="1249"/>
      <c r="CY1" s="1249"/>
      <c r="CZ1" s="1249"/>
      <c r="DA1" s="1249"/>
      <c r="DB1" s="1249"/>
      <c r="DC1" s="1249"/>
      <c r="DD1" s="348">
        <f>CT1+1</f>
        <v>10</v>
      </c>
      <c r="DE1" s="539"/>
      <c r="DG1" s="1249" t="str">
        <f>CW1</f>
        <v>ENTRADAS DEL MES DE    J U L I O      2022</v>
      </c>
      <c r="DH1" s="1249"/>
      <c r="DI1" s="1249"/>
      <c r="DJ1" s="1249"/>
      <c r="DK1" s="1249"/>
      <c r="DL1" s="1249"/>
      <c r="DM1" s="1249"/>
      <c r="DN1" s="348">
        <f>DD1+1</f>
        <v>11</v>
      </c>
      <c r="DO1" s="539"/>
      <c r="DQ1" s="1249" t="str">
        <f>DG1</f>
        <v>ENTRADAS DEL MES DE    J U L I O      2022</v>
      </c>
      <c r="DR1" s="1249"/>
      <c r="DS1" s="1249"/>
      <c r="DT1" s="1249"/>
      <c r="DU1" s="1249"/>
      <c r="DV1" s="1249"/>
      <c r="DW1" s="1249"/>
      <c r="DX1" s="348">
        <f>DN1+1</f>
        <v>12</v>
      </c>
      <c r="EA1" s="1249" t="str">
        <f>DQ1</f>
        <v>ENTRADAS DEL MES DE    J U L I O      2022</v>
      </c>
      <c r="EB1" s="1249"/>
      <c r="EC1" s="1249"/>
      <c r="ED1" s="1249"/>
      <c r="EE1" s="1249"/>
      <c r="EF1" s="1249"/>
      <c r="EG1" s="1249"/>
      <c r="EH1" s="348">
        <f>DX1+1</f>
        <v>13</v>
      </c>
      <c r="EI1" s="539"/>
      <c r="EK1" s="1249" t="str">
        <f>EA1</f>
        <v>ENTRADAS DEL MES DE    J U L I O      2022</v>
      </c>
      <c r="EL1" s="1249"/>
      <c r="EM1" s="1249"/>
      <c r="EN1" s="1249"/>
      <c r="EO1" s="1249"/>
      <c r="EP1" s="1249"/>
      <c r="EQ1" s="1249"/>
      <c r="ER1" s="348">
        <f>EH1+1</f>
        <v>14</v>
      </c>
      <c r="ES1" s="539"/>
      <c r="EU1" s="1249" t="str">
        <f>EK1</f>
        <v>ENTRADAS DEL MES DE    J U L I O      2022</v>
      </c>
      <c r="EV1" s="1249"/>
      <c r="EW1" s="1249"/>
      <c r="EX1" s="1249"/>
      <c r="EY1" s="1249"/>
      <c r="EZ1" s="1249"/>
      <c r="FA1" s="1249"/>
      <c r="FB1" s="348">
        <f>ER1+1</f>
        <v>15</v>
      </c>
      <c r="FC1" s="539"/>
      <c r="FE1" s="1249" t="str">
        <f>EU1</f>
        <v>ENTRADAS DEL MES DE    J U L I O      2022</v>
      </c>
      <c r="FF1" s="1249"/>
      <c r="FG1" s="1249"/>
      <c r="FH1" s="1249"/>
      <c r="FI1" s="1249"/>
      <c r="FJ1" s="1249"/>
      <c r="FK1" s="1249"/>
      <c r="FL1" s="348">
        <f>FB1+1</f>
        <v>16</v>
      </c>
      <c r="FM1" s="539"/>
      <c r="FO1" s="1249" t="str">
        <f>FE1</f>
        <v>ENTRADAS DEL MES DE    J U L I O      2022</v>
      </c>
      <c r="FP1" s="1249"/>
      <c r="FQ1" s="1249"/>
      <c r="FR1" s="1249"/>
      <c r="FS1" s="1249"/>
      <c r="FT1" s="1249"/>
      <c r="FU1" s="1249"/>
      <c r="FV1" s="348">
        <f>FL1+1</f>
        <v>17</v>
      </c>
      <c r="FW1" s="539"/>
      <c r="FY1" s="1249" t="str">
        <f>FO1</f>
        <v>ENTRADAS DEL MES DE    J U L I O      2022</v>
      </c>
      <c r="FZ1" s="1249"/>
      <c r="GA1" s="1249"/>
      <c r="GB1" s="1249"/>
      <c r="GC1" s="1249"/>
      <c r="GD1" s="1249"/>
      <c r="GE1" s="1249"/>
      <c r="GF1" s="348">
        <f>FV1+1</f>
        <v>18</v>
      </c>
      <c r="GG1" s="539"/>
      <c r="GH1" s="75" t="s">
        <v>37</v>
      </c>
      <c r="GI1" s="1249" t="str">
        <f>FY1</f>
        <v>ENTRADAS DEL MES DE    J U L I O      2022</v>
      </c>
      <c r="GJ1" s="1249"/>
      <c r="GK1" s="1249"/>
      <c r="GL1" s="1249"/>
      <c r="GM1" s="1249"/>
      <c r="GN1" s="1249"/>
      <c r="GO1" s="1249"/>
      <c r="GP1" s="348">
        <f>GF1+1</f>
        <v>19</v>
      </c>
      <c r="GQ1" s="539"/>
      <c r="GS1" s="1249" t="str">
        <f>GI1</f>
        <v>ENTRADAS DEL MES DE    J U L I O      2022</v>
      </c>
      <c r="GT1" s="1249"/>
      <c r="GU1" s="1249"/>
      <c r="GV1" s="1249"/>
      <c r="GW1" s="1249"/>
      <c r="GX1" s="1249"/>
      <c r="GY1" s="1249"/>
      <c r="GZ1" s="348">
        <f>GP1+1</f>
        <v>20</v>
      </c>
      <c r="HA1" s="539"/>
      <c r="HC1" s="1249" t="str">
        <f>GS1</f>
        <v>ENTRADAS DEL MES DE    J U L I O      2022</v>
      </c>
      <c r="HD1" s="1249"/>
      <c r="HE1" s="1249"/>
      <c r="HF1" s="1249"/>
      <c r="HG1" s="1249"/>
      <c r="HH1" s="1249"/>
      <c r="HI1" s="1249"/>
      <c r="HJ1" s="348">
        <f>GZ1+1</f>
        <v>21</v>
      </c>
      <c r="HK1" s="539"/>
      <c r="HM1" s="1249" t="str">
        <f>HC1</f>
        <v>ENTRADAS DEL MES DE    J U L I O      2022</v>
      </c>
      <c r="HN1" s="1249"/>
      <c r="HO1" s="1249"/>
      <c r="HP1" s="1249"/>
      <c r="HQ1" s="1249"/>
      <c r="HR1" s="1249"/>
      <c r="HS1" s="1249"/>
      <c r="HT1" s="348">
        <f>HJ1+1</f>
        <v>22</v>
      </c>
      <c r="HU1" s="539"/>
      <c r="HW1" s="1249" t="str">
        <f>HM1</f>
        <v>ENTRADAS DEL MES DE    J U L I O      2022</v>
      </c>
      <c r="HX1" s="1249"/>
      <c r="HY1" s="1249"/>
      <c r="HZ1" s="1249"/>
      <c r="IA1" s="1249"/>
      <c r="IB1" s="1249"/>
      <c r="IC1" s="1249"/>
      <c r="ID1" s="348">
        <f>HT1+1</f>
        <v>23</v>
      </c>
      <c r="IE1" s="539"/>
      <c r="IG1" s="1249" t="str">
        <f>HW1</f>
        <v>ENTRADAS DEL MES DE    J U L I O      2022</v>
      </c>
      <c r="IH1" s="1249"/>
      <c r="II1" s="1249"/>
      <c r="IJ1" s="1249"/>
      <c r="IK1" s="1249"/>
      <c r="IL1" s="1249"/>
      <c r="IM1" s="1249"/>
      <c r="IN1" s="348">
        <f>ID1+1</f>
        <v>24</v>
      </c>
      <c r="IO1" s="539"/>
      <c r="IQ1" s="1249" t="str">
        <f>IG1</f>
        <v>ENTRADAS DEL MES DE    J U L I O      2022</v>
      </c>
      <c r="IR1" s="1249"/>
      <c r="IS1" s="1249"/>
      <c r="IT1" s="1249"/>
      <c r="IU1" s="1249"/>
      <c r="IV1" s="1249"/>
      <c r="IW1" s="1249"/>
      <c r="IX1" s="348">
        <f>IN1+1</f>
        <v>25</v>
      </c>
      <c r="IY1" s="539"/>
      <c r="JA1" s="1249" t="str">
        <f>IQ1</f>
        <v>ENTRADAS DEL MES DE    J U L I O      2022</v>
      </c>
      <c r="JB1" s="1249"/>
      <c r="JC1" s="1249"/>
      <c r="JD1" s="1249"/>
      <c r="JE1" s="1249"/>
      <c r="JF1" s="1249"/>
      <c r="JG1" s="1249"/>
      <c r="JH1" s="1249"/>
      <c r="JI1" s="348">
        <f>IX1+1</f>
        <v>26</v>
      </c>
      <c r="JK1" s="1259" t="str">
        <f>JA1</f>
        <v>ENTRADAS DEL MES DE    J U L I O      2022</v>
      </c>
      <c r="JL1" s="1259"/>
      <c r="JM1" s="1259"/>
      <c r="JN1" s="1259"/>
      <c r="JO1" s="1259"/>
      <c r="JP1" s="1259"/>
      <c r="JQ1" s="1259"/>
      <c r="JR1" s="348">
        <f>JI1+1</f>
        <v>27</v>
      </c>
      <c r="JS1" s="539"/>
      <c r="JU1" s="1249" t="str">
        <f>JK1</f>
        <v>ENTRADAS DEL MES DE    J U L I O      2022</v>
      </c>
      <c r="JV1" s="1249"/>
      <c r="JW1" s="1249"/>
      <c r="JX1" s="1249"/>
      <c r="JY1" s="1249"/>
      <c r="JZ1" s="1249"/>
      <c r="KA1" s="1249"/>
      <c r="KB1" s="348">
        <f>JR1+1</f>
        <v>28</v>
      </c>
      <c r="KC1" s="539"/>
      <c r="KE1" s="1249" t="str">
        <f>JU1</f>
        <v>ENTRADAS DEL MES DE    J U L I O      2022</v>
      </c>
      <c r="KF1" s="1249"/>
      <c r="KG1" s="1249"/>
      <c r="KH1" s="1249"/>
      <c r="KI1" s="1249"/>
      <c r="KJ1" s="1249"/>
      <c r="KK1" s="1249"/>
      <c r="KL1" s="348">
        <f>KB1+1</f>
        <v>29</v>
      </c>
      <c r="KM1" s="539"/>
      <c r="KO1" s="1249" t="str">
        <f>KE1</f>
        <v>ENTRADAS DEL MES DE    J U L I O      2022</v>
      </c>
      <c r="KP1" s="1249"/>
      <c r="KQ1" s="1249"/>
      <c r="KR1" s="1249"/>
      <c r="KS1" s="1249"/>
      <c r="KT1" s="1249"/>
      <c r="KU1" s="1249"/>
      <c r="KV1" s="348">
        <f>KL1+1</f>
        <v>30</v>
      </c>
      <c r="KW1" s="539"/>
      <c r="KY1" s="1249" t="str">
        <f>KO1</f>
        <v>ENTRADAS DEL MES DE    J U L I O      2022</v>
      </c>
      <c r="KZ1" s="1249"/>
      <c r="LA1" s="1249"/>
      <c r="LB1" s="1249"/>
      <c r="LC1" s="1249"/>
      <c r="LD1" s="1249"/>
      <c r="LE1" s="1249"/>
      <c r="LF1" s="348">
        <f>KV1+1</f>
        <v>31</v>
      </c>
      <c r="LG1" s="539"/>
      <c r="LI1" s="1249" t="str">
        <f>KY1</f>
        <v>ENTRADAS DEL MES DE    J U L I O      2022</v>
      </c>
      <c r="LJ1" s="1249"/>
      <c r="LK1" s="1249"/>
      <c r="LL1" s="1249"/>
      <c r="LM1" s="1249"/>
      <c r="LN1" s="1249"/>
      <c r="LO1" s="1249"/>
      <c r="LP1" s="348">
        <f>LF1+1</f>
        <v>32</v>
      </c>
      <c r="LQ1" s="539"/>
      <c r="LS1" s="1249" t="str">
        <f>LI1</f>
        <v>ENTRADAS DEL MES DE    J U L I O      2022</v>
      </c>
      <c r="LT1" s="1249"/>
      <c r="LU1" s="1249"/>
      <c r="LV1" s="1249"/>
      <c r="LW1" s="1249"/>
      <c r="LX1" s="1249"/>
      <c r="LY1" s="1249"/>
      <c r="LZ1" s="348">
        <f>LP1+1</f>
        <v>33</v>
      </c>
      <c r="MC1" s="1249" t="str">
        <f>LS1</f>
        <v>ENTRADAS DEL MES DE    J U L I O      2022</v>
      </c>
      <c r="MD1" s="1249"/>
      <c r="ME1" s="1249"/>
      <c r="MF1" s="1249"/>
      <c r="MG1" s="1249"/>
      <c r="MH1" s="1249"/>
      <c r="MI1" s="1249"/>
      <c r="MJ1" s="348">
        <f>LZ1+1</f>
        <v>34</v>
      </c>
      <c r="MK1" s="348"/>
      <c r="MM1" s="1249" t="str">
        <f>MC1</f>
        <v>ENTRADAS DEL MES DE    J U L I O      2022</v>
      </c>
      <c r="MN1" s="1249"/>
      <c r="MO1" s="1249"/>
      <c r="MP1" s="1249"/>
      <c r="MQ1" s="1249"/>
      <c r="MR1" s="1249"/>
      <c r="MS1" s="1249"/>
      <c r="MT1" s="348">
        <f>MJ1+1</f>
        <v>35</v>
      </c>
      <c r="MU1" s="348"/>
      <c r="MW1" s="1249" t="str">
        <f>MM1</f>
        <v>ENTRADAS DEL MES DE    J U L I O      2022</v>
      </c>
      <c r="MX1" s="1249"/>
      <c r="MY1" s="1249"/>
      <c r="MZ1" s="1249"/>
      <c r="NA1" s="1249"/>
      <c r="NB1" s="1249"/>
      <c r="NC1" s="1249"/>
      <c r="ND1" s="348">
        <f>MT1+1</f>
        <v>36</v>
      </c>
      <c r="NE1" s="348"/>
      <c r="NG1" s="1249" t="str">
        <f>MW1</f>
        <v>ENTRADAS DEL MES DE    J U L I O      2022</v>
      </c>
      <c r="NH1" s="1249"/>
      <c r="NI1" s="1249"/>
      <c r="NJ1" s="1249"/>
      <c r="NK1" s="1249"/>
      <c r="NL1" s="1249"/>
      <c r="NM1" s="1249"/>
      <c r="NN1" s="348">
        <f>ND1+1</f>
        <v>37</v>
      </c>
      <c r="NO1" s="348"/>
      <c r="NQ1" s="1249" t="str">
        <f>NG1</f>
        <v>ENTRADAS DEL MES DE    J U L I O      2022</v>
      </c>
      <c r="NR1" s="1249"/>
      <c r="NS1" s="1249"/>
      <c r="NT1" s="1249"/>
      <c r="NU1" s="1249"/>
      <c r="NV1" s="1249"/>
      <c r="NW1" s="1249"/>
      <c r="NX1" s="348">
        <f>NN1+1</f>
        <v>38</v>
      </c>
      <c r="NY1" s="348"/>
      <c r="OA1" s="1249" t="str">
        <f>NQ1</f>
        <v>ENTRADAS DEL MES DE    J U L I O      2022</v>
      </c>
      <c r="OB1" s="1249"/>
      <c r="OC1" s="1249"/>
      <c r="OD1" s="1249"/>
      <c r="OE1" s="1249"/>
      <c r="OF1" s="1249"/>
      <c r="OG1" s="1249"/>
      <c r="OH1" s="348">
        <f>NX1+1</f>
        <v>39</v>
      </c>
      <c r="OI1" s="348"/>
      <c r="OK1" s="1249" t="str">
        <f>OA1</f>
        <v>ENTRADAS DEL MES DE    J U L I O      2022</v>
      </c>
      <c r="OL1" s="1249"/>
      <c r="OM1" s="1249"/>
      <c r="ON1" s="1249"/>
      <c r="OO1" s="1249"/>
      <c r="OP1" s="1249"/>
      <c r="OQ1" s="1249"/>
      <c r="OR1" s="348">
        <f>OH1+1</f>
        <v>40</v>
      </c>
      <c r="OS1" s="348"/>
      <c r="OU1" s="1249" t="str">
        <f>OK1</f>
        <v>ENTRADAS DEL MES DE    J U L I O      2022</v>
      </c>
      <c r="OV1" s="1249"/>
      <c r="OW1" s="1249"/>
      <c r="OX1" s="1249"/>
      <c r="OY1" s="1249"/>
      <c r="OZ1" s="1249"/>
      <c r="PA1" s="1249"/>
      <c r="PB1" s="348">
        <f>OR1+1</f>
        <v>41</v>
      </c>
      <c r="PC1" s="348"/>
      <c r="PE1" s="1249" t="str">
        <f>OU1</f>
        <v>ENTRADAS DEL MES DE    J U L I O      2022</v>
      </c>
      <c r="PF1" s="1249"/>
      <c r="PG1" s="1249"/>
      <c r="PH1" s="1249"/>
      <c r="PI1" s="1249"/>
      <c r="PJ1" s="1249"/>
      <c r="PK1" s="1249"/>
      <c r="PL1" s="348">
        <f>PB1+1</f>
        <v>42</v>
      </c>
      <c r="PM1" s="348"/>
      <c r="PO1" s="1249" t="str">
        <f>PE1</f>
        <v>ENTRADAS DEL MES DE    J U L I O      2022</v>
      </c>
      <c r="PP1" s="1249"/>
      <c r="PQ1" s="1249"/>
      <c r="PR1" s="1249"/>
      <c r="PS1" s="1249"/>
      <c r="PT1" s="1249"/>
      <c r="PU1" s="1249"/>
      <c r="PV1" s="348">
        <f>PL1+1</f>
        <v>43</v>
      </c>
      <c r="PX1" s="1249" t="str">
        <f>PO1</f>
        <v>ENTRADAS DEL MES DE    J U L I O      2022</v>
      </c>
      <c r="PY1" s="1249"/>
      <c r="PZ1" s="1249"/>
      <c r="QA1" s="1249"/>
      <c r="QB1" s="1249"/>
      <c r="QC1" s="1249"/>
      <c r="QD1" s="1249"/>
      <c r="QE1" s="348">
        <f>PV1+1</f>
        <v>44</v>
      </c>
      <c r="QG1" s="1249" t="str">
        <f>PX1</f>
        <v>ENTRADAS DEL MES DE    J U L I O      2022</v>
      </c>
      <c r="QH1" s="1249"/>
      <c r="QI1" s="1249"/>
      <c r="QJ1" s="1249"/>
      <c r="QK1" s="1249"/>
      <c r="QL1" s="1249"/>
      <c r="QM1" s="1249"/>
      <c r="QN1" s="348">
        <f>QE1+1</f>
        <v>45</v>
      </c>
      <c r="QP1" s="1249" t="str">
        <f>QG1</f>
        <v>ENTRADAS DEL MES DE    J U L I O      2022</v>
      </c>
      <c r="QQ1" s="1249"/>
      <c r="QR1" s="1249"/>
      <c r="QS1" s="1249"/>
      <c r="QT1" s="1249"/>
      <c r="QU1" s="1249"/>
      <c r="QV1" s="1249"/>
      <c r="QW1" s="348">
        <f>QN1+1</f>
        <v>46</v>
      </c>
      <c r="QY1" s="1249" t="str">
        <f>QP1</f>
        <v>ENTRADAS DEL MES DE    J U L I O      2022</v>
      </c>
      <c r="QZ1" s="1249"/>
      <c r="RA1" s="1249"/>
      <c r="RB1" s="1249"/>
      <c r="RC1" s="1249"/>
      <c r="RD1" s="1249"/>
      <c r="RE1" s="1249"/>
      <c r="RF1" s="348">
        <f>QW1+1</f>
        <v>47</v>
      </c>
      <c r="RH1" s="1249" t="str">
        <f>QY1</f>
        <v>ENTRADAS DEL MES DE    J U L I O      2022</v>
      </c>
      <c r="RI1" s="1249"/>
      <c r="RJ1" s="1249"/>
      <c r="RK1" s="1249"/>
      <c r="RL1" s="1249"/>
      <c r="RM1" s="1249"/>
      <c r="RN1" s="1249"/>
      <c r="RO1" s="348">
        <f>RF1+1</f>
        <v>48</v>
      </c>
      <c r="RQ1" s="1249" t="str">
        <f>RH1</f>
        <v>ENTRADAS DEL MES DE    J U L I O      2022</v>
      </c>
      <c r="RR1" s="1249"/>
      <c r="RS1" s="1249"/>
      <c r="RT1" s="1249"/>
      <c r="RU1" s="1249"/>
      <c r="RV1" s="1249"/>
      <c r="RW1" s="1249"/>
      <c r="RX1" s="348">
        <f>RO1+1</f>
        <v>49</v>
      </c>
      <c r="RZ1" s="1249" t="str">
        <f>RQ1</f>
        <v>ENTRADAS DEL MES DE    J U L I O      2022</v>
      </c>
      <c r="SA1" s="1249"/>
      <c r="SB1" s="1249"/>
      <c r="SC1" s="1249"/>
      <c r="SD1" s="1249"/>
      <c r="SE1" s="1249"/>
      <c r="SF1" s="1249"/>
      <c r="SG1" s="348">
        <f>RX1+1</f>
        <v>50</v>
      </c>
      <c r="SI1" s="1249" t="str">
        <f>RZ1</f>
        <v>ENTRADAS DEL MES DE    J U L I O      2022</v>
      </c>
      <c r="SJ1" s="1249"/>
      <c r="SK1" s="1249"/>
      <c r="SL1" s="1249"/>
      <c r="SM1" s="1249"/>
      <c r="SN1" s="1249"/>
      <c r="SO1" s="1249"/>
      <c r="SP1" s="348">
        <f>SG1+1</f>
        <v>51</v>
      </c>
      <c r="SR1" s="1249" t="str">
        <f>SI1</f>
        <v>ENTRADAS DEL MES DE    J U L I O      2022</v>
      </c>
      <c r="SS1" s="1249"/>
      <c r="ST1" s="1249"/>
      <c r="SU1" s="1249"/>
      <c r="SV1" s="1249"/>
      <c r="SW1" s="1249"/>
      <c r="SX1" s="1249"/>
      <c r="SY1" s="348">
        <f>SP1+1</f>
        <v>52</v>
      </c>
      <c r="TA1" s="1249" t="str">
        <f>SR1</f>
        <v>ENTRADAS DEL MES DE    J U L I O      2022</v>
      </c>
      <c r="TB1" s="1249"/>
      <c r="TC1" s="1249"/>
      <c r="TD1" s="1249"/>
      <c r="TE1" s="1249"/>
      <c r="TF1" s="1249"/>
      <c r="TG1" s="1249"/>
      <c r="TH1" s="348">
        <f>SY1+1</f>
        <v>53</v>
      </c>
      <c r="TJ1" s="1249" t="str">
        <f>TA1</f>
        <v>ENTRADAS DEL MES DE    J U L I O      2022</v>
      </c>
      <c r="TK1" s="1249"/>
      <c r="TL1" s="1249"/>
      <c r="TM1" s="1249"/>
      <c r="TN1" s="1249"/>
      <c r="TO1" s="1249"/>
      <c r="TP1" s="1249"/>
      <c r="TQ1" s="348">
        <f>TH1+1</f>
        <v>54</v>
      </c>
      <c r="TS1" s="1249" t="str">
        <f>TJ1</f>
        <v>ENTRADAS DEL MES DE    J U L I O      2022</v>
      </c>
      <c r="TT1" s="1249"/>
      <c r="TU1" s="1249"/>
      <c r="TV1" s="1249"/>
      <c r="TW1" s="1249"/>
      <c r="TX1" s="1249"/>
      <c r="TY1" s="1249"/>
      <c r="TZ1" s="348">
        <f>TQ1+1</f>
        <v>55</v>
      </c>
      <c r="UB1" s="1249" t="str">
        <f>TS1</f>
        <v>ENTRADAS DEL MES DE    J U L I O      2022</v>
      </c>
      <c r="UC1" s="1249"/>
      <c r="UD1" s="1249"/>
      <c r="UE1" s="1249"/>
      <c r="UF1" s="1249"/>
      <c r="UG1" s="1249"/>
      <c r="UH1" s="1249"/>
      <c r="UI1" s="348">
        <f>TZ1+1</f>
        <v>56</v>
      </c>
      <c r="UK1" s="1249" t="str">
        <f>UB1</f>
        <v>ENTRADAS DEL MES DE    J U L I O      2022</v>
      </c>
      <c r="UL1" s="1249"/>
      <c r="UM1" s="1249"/>
      <c r="UN1" s="1249"/>
      <c r="UO1" s="1249"/>
      <c r="UP1" s="1249"/>
      <c r="UQ1" s="1249"/>
      <c r="UR1" s="348">
        <f>UI1+1</f>
        <v>57</v>
      </c>
      <c r="UT1" s="1249" t="str">
        <f>UK1</f>
        <v>ENTRADAS DEL MES DE    J U L I O      2022</v>
      </c>
      <c r="UU1" s="1249"/>
      <c r="UV1" s="1249"/>
      <c r="UW1" s="1249"/>
      <c r="UX1" s="1249"/>
      <c r="UY1" s="1249"/>
      <c r="UZ1" s="1249"/>
      <c r="VA1" s="348">
        <f>UR1+1</f>
        <v>58</v>
      </c>
      <c r="VC1" s="1249" t="str">
        <f>UT1</f>
        <v>ENTRADAS DEL MES DE    J U L I O      2022</v>
      </c>
      <c r="VD1" s="1249"/>
      <c r="VE1" s="1249"/>
      <c r="VF1" s="1249"/>
      <c r="VG1" s="1249"/>
      <c r="VH1" s="1249"/>
      <c r="VI1" s="1249"/>
      <c r="VJ1" s="348">
        <f>VA1+1</f>
        <v>59</v>
      </c>
      <c r="VL1" s="1249" t="str">
        <f>VC1</f>
        <v>ENTRADAS DEL MES DE    J U L I O      2022</v>
      </c>
      <c r="VM1" s="1249"/>
      <c r="VN1" s="1249"/>
      <c r="VO1" s="1249"/>
      <c r="VP1" s="1249"/>
      <c r="VQ1" s="1249"/>
      <c r="VR1" s="1249"/>
      <c r="VS1" s="348">
        <f>VJ1+1</f>
        <v>60</v>
      </c>
      <c r="VU1" s="1249" t="str">
        <f>VL1</f>
        <v>ENTRADAS DEL MES DE    J U L I O      2022</v>
      </c>
      <c r="VV1" s="1249"/>
      <c r="VW1" s="1249"/>
      <c r="VX1" s="1249"/>
      <c r="VY1" s="1249"/>
      <c r="VZ1" s="1249"/>
      <c r="WA1" s="1249"/>
      <c r="WB1" s="348">
        <f>VS1+1</f>
        <v>61</v>
      </c>
      <c r="WD1" s="1249" t="str">
        <f>VU1</f>
        <v>ENTRADAS DEL MES DE    J U L I O      2022</v>
      </c>
      <c r="WE1" s="1249"/>
      <c r="WF1" s="1249"/>
      <c r="WG1" s="1249"/>
      <c r="WH1" s="1249"/>
      <c r="WI1" s="1249"/>
      <c r="WJ1" s="1249"/>
      <c r="WK1" s="348">
        <f>WB1+1</f>
        <v>62</v>
      </c>
      <c r="WM1" s="1249" t="str">
        <f>WD1</f>
        <v>ENTRADAS DEL MES DE    J U L I O      2022</v>
      </c>
      <c r="WN1" s="1249"/>
      <c r="WO1" s="1249"/>
      <c r="WP1" s="1249"/>
      <c r="WQ1" s="1249"/>
      <c r="WR1" s="1249"/>
      <c r="WS1" s="1249"/>
      <c r="WT1" s="348">
        <f>WK1+1</f>
        <v>63</v>
      </c>
      <c r="WV1" s="1249" t="str">
        <f>WM1</f>
        <v>ENTRADAS DEL MES DE    J U L I O      2022</v>
      </c>
      <c r="WW1" s="1249"/>
      <c r="WX1" s="1249"/>
      <c r="WY1" s="1249"/>
      <c r="WZ1" s="1249"/>
      <c r="XA1" s="1249"/>
      <c r="XB1" s="1249"/>
      <c r="XC1" s="348">
        <f>WT1+1</f>
        <v>64</v>
      </c>
      <c r="XE1" s="1249" t="str">
        <f>WV1</f>
        <v>ENTRADAS DEL MES DE    J U L I O      2022</v>
      </c>
      <c r="XF1" s="1249"/>
      <c r="XG1" s="1249"/>
      <c r="XH1" s="1249"/>
      <c r="XI1" s="1249"/>
      <c r="XJ1" s="1249"/>
      <c r="XK1" s="1249"/>
      <c r="XL1" s="348">
        <f>XC1+1</f>
        <v>65</v>
      </c>
      <c r="XN1" s="1249" t="str">
        <f>XE1</f>
        <v>ENTRADAS DEL MES DE    J U L I O      2022</v>
      </c>
      <c r="XO1" s="1249"/>
      <c r="XP1" s="1249"/>
      <c r="XQ1" s="1249"/>
      <c r="XR1" s="1249"/>
      <c r="XS1" s="1249"/>
      <c r="XT1" s="1249"/>
      <c r="XU1" s="348">
        <f>XL1+1</f>
        <v>66</v>
      </c>
      <c r="XW1" s="1249" t="str">
        <f>XN1</f>
        <v>ENTRADAS DEL MES DE    J U L I O      2022</v>
      </c>
      <c r="XX1" s="1249"/>
      <c r="XY1" s="1249"/>
      <c r="XZ1" s="1249"/>
      <c r="YA1" s="1249"/>
      <c r="YB1" s="1249"/>
      <c r="YC1" s="1249"/>
      <c r="YD1" s="348">
        <f>XU1+1</f>
        <v>67</v>
      </c>
      <c r="YF1" s="1249" t="str">
        <f>XW1</f>
        <v>ENTRADAS DEL MES DE    J U L I O      2022</v>
      </c>
      <c r="YG1" s="1249"/>
      <c r="YH1" s="1249"/>
      <c r="YI1" s="1249"/>
      <c r="YJ1" s="1249"/>
      <c r="YK1" s="1249"/>
      <c r="YL1" s="1249"/>
      <c r="YM1" s="348">
        <f>YD1+1</f>
        <v>68</v>
      </c>
      <c r="YO1" s="1249" t="str">
        <f>YF1</f>
        <v>ENTRADAS DEL MES DE    J U L I O      2022</v>
      </c>
      <c r="YP1" s="1249"/>
      <c r="YQ1" s="1249"/>
      <c r="YR1" s="1249"/>
      <c r="YS1" s="1249"/>
      <c r="YT1" s="1249"/>
      <c r="YU1" s="1249"/>
      <c r="YV1" s="348">
        <f>YM1+1</f>
        <v>69</v>
      </c>
      <c r="YX1" s="1249" t="str">
        <f>YO1</f>
        <v>ENTRADAS DEL MES DE    J U L I O      2022</v>
      </c>
      <c r="YY1" s="1249"/>
      <c r="YZ1" s="1249"/>
      <c r="ZA1" s="1249"/>
      <c r="ZB1" s="1249"/>
      <c r="ZC1" s="1249"/>
      <c r="ZD1" s="1249"/>
      <c r="ZE1" s="348">
        <f>YV1+1</f>
        <v>70</v>
      </c>
      <c r="ZG1" s="1249" t="str">
        <f>YX1</f>
        <v>ENTRADAS DEL MES DE    J U L I O      2022</v>
      </c>
      <c r="ZH1" s="1249"/>
      <c r="ZI1" s="1249"/>
      <c r="ZJ1" s="1249"/>
      <c r="ZK1" s="1249"/>
      <c r="ZL1" s="1249"/>
      <c r="ZM1" s="1249"/>
      <c r="ZN1" s="348">
        <f>ZE1+1</f>
        <v>71</v>
      </c>
      <c r="ZP1" s="1249" t="str">
        <f>ZG1</f>
        <v>ENTRADAS DEL MES DE    J U L I O      2022</v>
      </c>
      <c r="ZQ1" s="1249"/>
      <c r="ZR1" s="1249"/>
      <c r="ZS1" s="1249"/>
      <c r="ZT1" s="1249"/>
      <c r="ZU1" s="1249"/>
      <c r="ZV1" s="1249"/>
      <c r="ZW1" s="348">
        <f>ZN1+1</f>
        <v>72</v>
      </c>
      <c r="ZY1" s="1249" t="str">
        <f>ZP1</f>
        <v>ENTRADAS DEL MES DE    J U L I O      2022</v>
      </c>
      <c r="ZZ1" s="1249"/>
      <c r="AAA1" s="1249"/>
      <c r="AAB1" s="1249"/>
      <c r="AAC1" s="1249"/>
      <c r="AAD1" s="1249"/>
      <c r="AAE1" s="1249"/>
      <c r="AAF1" s="348">
        <f>ZW1+1</f>
        <v>73</v>
      </c>
      <c r="AAH1" s="1249" t="str">
        <f>ZY1</f>
        <v>ENTRADAS DEL MES DE    J U L I O      2022</v>
      </c>
      <c r="AAI1" s="1249"/>
      <c r="AAJ1" s="1249"/>
      <c r="AAK1" s="1249"/>
      <c r="AAL1" s="1249"/>
      <c r="AAM1" s="1249"/>
      <c r="AAN1" s="1249"/>
      <c r="AAO1" s="348">
        <f>AAF1+1</f>
        <v>74</v>
      </c>
      <c r="AAQ1" s="1249" t="str">
        <f>AAH1</f>
        <v>ENTRADAS DEL MES DE    J U L I O      2022</v>
      </c>
      <c r="AAR1" s="1249"/>
      <c r="AAS1" s="1249"/>
      <c r="AAT1" s="1249"/>
      <c r="AAU1" s="1249"/>
      <c r="AAV1" s="1249"/>
      <c r="AAW1" s="1249"/>
      <c r="AAX1" s="348">
        <f>AAO1+1</f>
        <v>75</v>
      </c>
      <c r="AAZ1" s="1249" t="str">
        <f>AAQ1</f>
        <v>ENTRADAS DEL MES DE    J U L I O      2022</v>
      </c>
      <c r="ABA1" s="1249"/>
      <c r="ABB1" s="1249"/>
      <c r="ABC1" s="1249"/>
      <c r="ABD1" s="1249"/>
      <c r="ABE1" s="1249"/>
      <c r="ABF1" s="1249"/>
      <c r="ABG1" s="348">
        <f>AAX1+1</f>
        <v>76</v>
      </c>
      <c r="ABI1" s="1249" t="str">
        <f>AAZ1</f>
        <v>ENTRADAS DEL MES DE    J U L I O      2022</v>
      </c>
      <c r="ABJ1" s="1249"/>
      <c r="ABK1" s="1249"/>
      <c r="ABL1" s="1249"/>
      <c r="ABM1" s="1249"/>
      <c r="ABN1" s="1249"/>
      <c r="ABO1" s="1249"/>
      <c r="ABP1" s="348">
        <f>ABG1+1</f>
        <v>77</v>
      </c>
      <c r="ABR1" s="1249" t="str">
        <f>ABI1</f>
        <v>ENTRADAS DEL MES DE    J U L I O      2022</v>
      </c>
      <c r="ABS1" s="1249"/>
      <c r="ABT1" s="1249"/>
      <c r="ABU1" s="1249"/>
      <c r="ABV1" s="1249"/>
      <c r="ABW1" s="1249"/>
      <c r="ABX1" s="1249"/>
      <c r="ABY1" s="348">
        <f>ABP1+1</f>
        <v>78</v>
      </c>
      <c r="ACA1" s="1249" t="str">
        <f>ABR1</f>
        <v>ENTRADAS DEL MES DE    J U L I O      2022</v>
      </c>
      <c r="ACB1" s="1249"/>
      <c r="ACC1" s="1249"/>
      <c r="ACD1" s="1249"/>
      <c r="ACE1" s="1249"/>
      <c r="ACF1" s="1249"/>
      <c r="ACG1" s="1249"/>
      <c r="ACH1" s="348">
        <f>ABY1+1</f>
        <v>79</v>
      </c>
      <c r="ACJ1" s="1249" t="str">
        <f>ACA1</f>
        <v>ENTRADAS DEL MES DE    J U L I O      2022</v>
      </c>
      <c r="ACK1" s="1249"/>
      <c r="ACL1" s="1249"/>
      <c r="ACM1" s="1249"/>
      <c r="ACN1" s="1249"/>
      <c r="ACO1" s="1249"/>
      <c r="ACP1" s="1249"/>
      <c r="ACQ1" s="348">
        <f>ACH1+1</f>
        <v>80</v>
      </c>
      <c r="ACS1" s="1249" t="str">
        <f>ACJ1</f>
        <v>ENTRADAS DEL MES DE    J U L I O      2022</v>
      </c>
      <c r="ACT1" s="1249"/>
      <c r="ACU1" s="1249"/>
      <c r="ACV1" s="1249"/>
      <c r="ACW1" s="1249"/>
      <c r="ACX1" s="1249"/>
      <c r="ACY1" s="1249"/>
      <c r="ACZ1" s="348">
        <f>ACQ1+1</f>
        <v>81</v>
      </c>
      <c r="ADB1" s="1249" t="str">
        <f>ACS1</f>
        <v>ENTRADAS DEL MES DE    J U L I O      2022</v>
      </c>
      <c r="ADC1" s="1249"/>
      <c r="ADD1" s="1249"/>
      <c r="ADE1" s="1249"/>
      <c r="ADF1" s="1249"/>
      <c r="ADG1" s="1249"/>
      <c r="ADH1" s="1249"/>
      <c r="ADI1" s="348">
        <f>ACZ1+1</f>
        <v>82</v>
      </c>
      <c r="ADK1" s="1249" t="str">
        <f>ADB1</f>
        <v>ENTRADAS DEL MES DE    J U L I O      2022</v>
      </c>
      <c r="ADL1" s="1249"/>
      <c r="ADM1" s="1249"/>
      <c r="ADN1" s="1249"/>
      <c r="ADO1" s="1249"/>
      <c r="ADP1" s="1249"/>
      <c r="ADQ1" s="1249"/>
      <c r="ADR1" s="348">
        <f>ADI1+1</f>
        <v>83</v>
      </c>
      <c r="ADT1" s="1249" t="str">
        <f>ADK1</f>
        <v>ENTRADAS DEL MES DE    J U L I O      2022</v>
      </c>
      <c r="ADU1" s="1249"/>
      <c r="ADV1" s="1249"/>
      <c r="ADW1" s="1249"/>
      <c r="ADX1" s="1249"/>
      <c r="ADY1" s="1249"/>
      <c r="ADZ1" s="1249"/>
      <c r="AEA1" s="348">
        <f>ADR1+1</f>
        <v>84</v>
      </c>
      <c r="AEC1" s="1249" t="str">
        <f>ADT1</f>
        <v>ENTRADAS DEL MES DE    J U L I O      2022</v>
      </c>
      <c r="AED1" s="1249"/>
      <c r="AEE1" s="1249"/>
      <c r="AEF1" s="1249"/>
      <c r="AEG1" s="1249"/>
      <c r="AEH1" s="1249"/>
      <c r="AEI1" s="1249"/>
      <c r="AEJ1" s="348">
        <f>AEA1+1</f>
        <v>85</v>
      </c>
      <c r="AEL1" s="1249" t="str">
        <f>AEC1</f>
        <v>ENTRADAS DEL MES DE    J U L I O      2022</v>
      </c>
      <c r="AEM1" s="1249"/>
      <c r="AEN1" s="1249"/>
      <c r="AEO1" s="1249"/>
      <c r="AEP1" s="1249"/>
      <c r="AEQ1" s="1249"/>
      <c r="AER1" s="1249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50" t="s">
        <v>240</v>
      </c>
      <c r="L5" s="977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7">
        <v>18380.7</v>
      </c>
      <c r="R5" s="138">
        <f>O5-Q5</f>
        <v>-59.729999999999563</v>
      </c>
      <c r="S5" s="541"/>
      <c r="T5" s="242"/>
      <c r="U5" s="250" t="s">
        <v>243</v>
      </c>
      <c r="V5" s="978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7">
        <v>18595.43</v>
      </c>
      <c r="AB5" s="138">
        <f>Y5-AA5</f>
        <v>-62.389999999999418</v>
      </c>
      <c r="AC5" s="541"/>
      <c r="AD5" s="242"/>
      <c r="AE5" s="250" t="s">
        <v>243</v>
      </c>
      <c r="AF5" s="978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7">
        <v>18881.150000000001</v>
      </c>
      <c r="AL5" s="138">
        <f>AI5-AK5</f>
        <v>-79.210000000002765</v>
      </c>
      <c r="AM5" s="541"/>
      <c r="AN5" s="242" t="s">
        <v>41</v>
      </c>
      <c r="AO5" s="242" t="s">
        <v>240</v>
      </c>
      <c r="AP5" s="977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7">
        <v>18773.900000000001</v>
      </c>
      <c r="AV5" s="138">
        <f>AS5-AU5</f>
        <v>26.479999999999563</v>
      </c>
      <c r="AW5" s="541"/>
      <c r="AY5" s="242" t="s">
        <v>243</v>
      </c>
      <c r="AZ5" s="978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7">
        <v>18709.36</v>
      </c>
      <c r="BF5" s="138">
        <f>BC5-BE5</f>
        <v>-111.58000000000175</v>
      </c>
      <c r="BG5" s="541"/>
      <c r="BH5" s="242"/>
      <c r="BI5" s="1251" t="s">
        <v>240</v>
      </c>
      <c r="BJ5" s="977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7">
        <v>18848.599999999999</v>
      </c>
      <c r="BP5" s="138">
        <f>BM5-BO5</f>
        <v>-79</v>
      </c>
      <c r="BQ5" s="541"/>
      <c r="BR5" s="242"/>
      <c r="BS5" s="1254" t="s">
        <v>240</v>
      </c>
      <c r="BT5" s="987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7">
        <v>18228</v>
      </c>
      <c r="BZ5" s="138">
        <f>BW5-BY5</f>
        <v>-124.29999999999927</v>
      </c>
      <c r="CA5" s="315"/>
      <c r="CB5" s="315"/>
      <c r="CC5" s="250" t="s">
        <v>240</v>
      </c>
      <c r="CD5" s="987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7">
        <v>18148.2</v>
      </c>
      <c r="CJ5" s="138">
        <f>CG5-CI5</f>
        <v>-68.930000000000291</v>
      </c>
      <c r="CK5" s="315"/>
      <c r="CL5" s="315"/>
      <c r="CM5" s="1251" t="s">
        <v>243</v>
      </c>
      <c r="CN5" s="988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7">
        <v>18908.169999999998</v>
      </c>
      <c r="CT5" s="138">
        <f>CQ5-CS5</f>
        <v>-32.279999999998836</v>
      </c>
      <c r="CU5" s="541"/>
      <c r="CV5" s="242"/>
      <c r="CW5" s="250" t="s">
        <v>240</v>
      </c>
      <c r="CX5" s="977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7">
        <v>19238.5</v>
      </c>
      <c r="DD5" s="138">
        <v>918.1</v>
      </c>
      <c r="DE5" s="541"/>
      <c r="DF5" s="242"/>
      <c r="DG5" s="242" t="s">
        <v>240</v>
      </c>
      <c r="DH5" s="987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7">
        <v>18920.2</v>
      </c>
      <c r="DN5" s="138">
        <f>DK5-DM5</f>
        <v>-48</v>
      </c>
      <c r="DO5" s="541"/>
      <c r="DP5" s="242"/>
      <c r="DQ5" s="1253" t="s">
        <v>243</v>
      </c>
      <c r="DR5" s="988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7">
        <v>18662.05</v>
      </c>
      <c r="DX5" s="138">
        <f>DU5-DW5</f>
        <v>-12.419999999998254</v>
      </c>
      <c r="DY5" s="315"/>
      <c r="DZ5" s="242"/>
      <c r="EA5" s="242" t="s">
        <v>273</v>
      </c>
      <c r="EB5" s="978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7">
        <v>18821.689999999999</v>
      </c>
      <c r="EH5" s="138">
        <f>EE5-EG5</f>
        <v>-23.099999999998545</v>
      </c>
      <c r="EI5" s="541"/>
      <c r="EJ5" s="242" t="s">
        <v>49</v>
      </c>
      <c r="EK5" s="250" t="s">
        <v>240</v>
      </c>
      <c r="EL5" s="977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4">
        <v>18253.900000000001</v>
      </c>
      <c r="ER5" s="138">
        <f>EO5-EQ5</f>
        <v>41.639999999999418</v>
      </c>
      <c r="ES5" s="541"/>
      <c r="ET5" s="242"/>
      <c r="EU5" s="1251" t="s">
        <v>240</v>
      </c>
      <c r="EV5" s="1019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32">
        <v>18811.400000000001</v>
      </c>
      <c r="FB5" s="138">
        <f>EY5-FA5</f>
        <v>-46.770000000000437</v>
      </c>
      <c r="FC5" s="541"/>
      <c r="FD5" s="242"/>
      <c r="FE5" s="242" t="s">
        <v>240</v>
      </c>
      <c r="FF5" s="977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34">
        <v>18936.8</v>
      </c>
      <c r="FL5" s="138">
        <f>FI5-FK5</f>
        <v>-2.9099999999998545</v>
      </c>
      <c r="FM5" s="541"/>
      <c r="FN5" s="242"/>
      <c r="FO5" s="489" t="s">
        <v>243</v>
      </c>
      <c r="FP5" s="978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7">
        <v>18785.060000000001</v>
      </c>
      <c r="FV5" s="138">
        <f>FS5-FU5</f>
        <v>-48.819999999999709</v>
      </c>
      <c r="FW5" s="541"/>
      <c r="FX5" s="242"/>
      <c r="FY5" s="250" t="s">
        <v>243</v>
      </c>
      <c r="FZ5" s="978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7">
        <v>18503.740000000002</v>
      </c>
      <c r="GF5" s="138">
        <f>GC5-GE5</f>
        <v>-106.19000000000233</v>
      </c>
      <c r="GG5" s="541"/>
      <c r="GH5" s="242"/>
      <c r="GI5" s="1250" t="s">
        <v>240</v>
      </c>
      <c r="GJ5" s="977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7">
        <v>19227.8</v>
      </c>
      <c r="GP5" s="138">
        <f>GM5-GO5</f>
        <v>-74.849999999998545</v>
      </c>
      <c r="GQ5" s="541"/>
      <c r="GR5" s="242"/>
      <c r="GS5" s="1251" t="s">
        <v>240</v>
      </c>
      <c r="GT5" s="977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7">
        <v>18979.099999999999</v>
      </c>
      <c r="GZ5" s="138">
        <f>GW5-GY5</f>
        <v>-2.8299999999981083</v>
      </c>
      <c r="HA5" s="541"/>
      <c r="HB5" s="242"/>
      <c r="HC5" s="1254" t="s">
        <v>240</v>
      </c>
      <c r="HD5" s="977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7">
        <v>19201.2</v>
      </c>
      <c r="HJ5" s="138">
        <f>HG5-HI5</f>
        <v>-164.2400000000016</v>
      </c>
      <c r="HK5" s="541"/>
      <c r="HL5" s="242"/>
      <c r="HM5" s="242" t="s">
        <v>243</v>
      </c>
      <c r="HN5" s="978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34">
        <v>18840.78</v>
      </c>
      <c r="HT5" s="138">
        <f>HQ5-HS5</f>
        <v>-28.93999999999869</v>
      </c>
      <c r="HU5" s="541"/>
      <c r="HV5" s="242"/>
      <c r="HW5" s="1251" t="s">
        <v>273</v>
      </c>
      <c r="HX5" s="978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7">
        <v>18648.88</v>
      </c>
      <c r="ID5" s="138">
        <f>IA5-IC5</f>
        <v>-45.150000000001455</v>
      </c>
      <c r="IE5" s="541"/>
      <c r="IF5" s="242"/>
      <c r="IG5" s="1251" t="s">
        <v>243</v>
      </c>
      <c r="IH5" s="978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7">
        <v>18649.810000000001</v>
      </c>
      <c r="IN5" s="138">
        <f>IK5-IM5</f>
        <v>-18.970000000001164</v>
      </c>
      <c r="IO5" s="541"/>
      <c r="IP5" s="242"/>
      <c r="IQ5" s="1251" t="s">
        <v>240</v>
      </c>
      <c r="IR5" s="1036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7">
        <v>19052.599999999999</v>
      </c>
      <c r="IX5" s="138">
        <f>IU5-IW5</f>
        <v>-79.969999999997526</v>
      </c>
      <c r="IY5" s="541"/>
      <c r="IZ5" s="242"/>
      <c r="JA5" s="242" t="s">
        <v>240</v>
      </c>
      <c r="JB5" s="977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53" t="s">
        <v>240</v>
      </c>
      <c r="JL5" s="1056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34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50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50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51"/>
      <c r="BJ6" s="809"/>
      <c r="BK6" s="242"/>
      <c r="BL6" s="242"/>
      <c r="BM6" s="242"/>
      <c r="BN6" s="242"/>
      <c r="BO6" s="243"/>
      <c r="BP6" s="242"/>
      <c r="BQ6" s="315"/>
      <c r="BR6" s="242"/>
      <c r="BS6" s="1254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51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53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51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50"/>
      <c r="GJ6" s="254"/>
      <c r="GK6" s="242"/>
      <c r="GL6" s="242"/>
      <c r="GM6" s="242"/>
      <c r="GN6" s="242"/>
      <c r="GO6" s="243"/>
      <c r="GP6" s="242"/>
      <c r="GQ6" s="315"/>
      <c r="GR6" s="242"/>
      <c r="GS6" s="1251"/>
      <c r="GT6" s="251"/>
      <c r="GU6" s="242"/>
      <c r="GV6" s="242"/>
      <c r="GW6" s="242"/>
      <c r="GX6" s="242"/>
      <c r="GY6" s="243"/>
      <c r="GZ6" s="242"/>
      <c r="HA6" s="315"/>
      <c r="HB6" s="242"/>
      <c r="HC6" s="1254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51"/>
      <c r="HX6" s="242"/>
      <c r="HY6" s="242"/>
      <c r="HZ6" s="242"/>
      <c r="IA6" s="242"/>
      <c r="IB6" s="242"/>
      <c r="IC6" s="243"/>
      <c r="ID6" s="242"/>
      <c r="IE6" s="315"/>
      <c r="IF6" s="242"/>
      <c r="IG6" s="1251"/>
      <c r="IH6" s="242"/>
      <c r="II6" s="242"/>
      <c r="IJ6" s="242"/>
      <c r="IK6" s="242"/>
      <c r="IL6" s="242"/>
      <c r="IM6" s="243"/>
      <c r="IN6" s="242"/>
      <c r="IO6" s="315"/>
      <c r="IP6" s="242"/>
      <c r="IQ6" s="1251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53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50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6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7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1">
        <v>44755</v>
      </c>
      <c r="BX8" s="277">
        <v>932.6</v>
      </c>
      <c r="BY8" s="947" t="s">
        <v>482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1">
        <v>44754</v>
      </c>
      <c r="CH8" s="277">
        <v>933.5</v>
      </c>
      <c r="CI8" s="728" t="s">
        <v>477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486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7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7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7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7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7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7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7">
        <f>IN8*IL8</f>
        <v>59975.68</v>
      </c>
      <c r="IQ8" s="690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7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7"/>
      <c r="KF8" s="827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1">
        <v>44755</v>
      </c>
      <c r="BX9" s="277">
        <v>925.3</v>
      </c>
      <c r="BY9" s="947" t="s">
        <v>482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1">
        <v>44754</v>
      </c>
      <c r="CH9" s="277">
        <v>896.3</v>
      </c>
      <c r="CI9" s="728" t="s">
        <v>477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7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7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7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7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7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7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7">
        <f t="shared" ref="IO9:IO29" si="28">IN9*IL9</f>
        <v>60004.480000000003</v>
      </c>
      <c r="IQ9" s="691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7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7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1">
        <v>44755</v>
      </c>
      <c r="BX10" s="277">
        <v>876.3</v>
      </c>
      <c r="BY10" s="947" t="s">
        <v>482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1">
        <v>44754</v>
      </c>
      <c r="CH10" s="277">
        <v>918.1</v>
      </c>
      <c r="CI10" s="728" t="s">
        <v>477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7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7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7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7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7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7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7">
        <f t="shared" si="28"/>
        <v>58291.839999999997</v>
      </c>
      <c r="IQ10" s="692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7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7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7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1">
        <v>44755</v>
      </c>
      <c r="BX11" s="277">
        <v>916.3</v>
      </c>
      <c r="BY11" s="947" t="s">
        <v>482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1">
        <v>44754</v>
      </c>
      <c r="CH11" s="277">
        <v>931.7</v>
      </c>
      <c r="CI11" s="728" t="s">
        <v>477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7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7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7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7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7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7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7">
        <f t="shared" si="28"/>
        <v>58901.120000000003</v>
      </c>
      <c r="IQ11" s="693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7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7"/>
      <c r="KF11" s="827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1">
        <v>44755</v>
      </c>
      <c r="BX12" s="277">
        <v>868.2</v>
      </c>
      <c r="BY12" s="947" t="s">
        <v>482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1">
        <v>44754</v>
      </c>
      <c r="CH12" s="277">
        <v>935.3</v>
      </c>
      <c r="CI12" s="728" t="s">
        <v>477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7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7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7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7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7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7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7">
        <f t="shared" si="28"/>
        <v>60643.199999999997</v>
      </c>
      <c r="IQ12" s="692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7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7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1">
        <v>44755</v>
      </c>
      <c r="BX13" s="277">
        <v>903.6</v>
      </c>
      <c r="BY13" s="947" t="s">
        <v>482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1">
        <v>44754</v>
      </c>
      <c r="CH13" s="277">
        <v>880.9</v>
      </c>
      <c r="CI13" s="728" t="s">
        <v>477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7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7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7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7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7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7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7">
        <f t="shared" si="28"/>
        <v>58727.040000000001</v>
      </c>
      <c r="IQ13" s="692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7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7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1">
        <v>44755</v>
      </c>
      <c r="BX14" s="277">
        <v>898.1</v>
      </c>
      <c r="BY14" s="947" t="s">
        <v>482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1">
        <v>44754</v>
      </c>
      <c r="CH14" s="277">
        <v>883.6</v>
      </c>
      <c r="CI14" s="728" t="s">
        <v>477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7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7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7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7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7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7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7">
        <f t="shared" si="28"/>
        <v>59888.639999999999</v>
      </c>
      <c r="IQ14" s="689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7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7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7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1">
        <v>44755</v>
      </c>
      <c r="BX15" s="277">
        <v>911.7</v>
      </c>
      <c r="BY15" s="947" t="s">
        <v>482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1">
        <v>44754</v>
      </c>
      <c r="CH15" s="277">
        <v>906.3</v>
      </c>
      <c r="CI15" s="728" t="s">
        <v>477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7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7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7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7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7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7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7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7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7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1">
        <v>44755</v>
      </c>
      <c r="BX16" s="277">
        <v>907.2</v>
      </c>
      <c r="BY16" s="947" t="s">
        <v>482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1">
        <v>44754</v>
      </c>
      <c r="CH16" s="277">
        <v>922.6</v>
      </c>
      <c r="CI16" s="728" t="s">
        <v>477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7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7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7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7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7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7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7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7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48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1">
        <v>44755</v>
      </c>
      <c r="BX17" s="262">
        <v>938</v>
      </c>
      <c r="BY17" s="947" t="s">
        <v>482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1">
        <v>44754</v>
      </c>
      <c r="CH17" s="277">
        <v>896.3</v>
      </c>
      <c r="CI17" s="728" t="s">
        <v>477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7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7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7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7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7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7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7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7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48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1">
        <v>44755</v>
      </c>
      <c r="BX18" s="277">
        <v>924.4</v>
      </c>
      <c r="BY18" s="947" t="s">
        <v>481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1">
        <v>44754</v>
      </c>
      <c r="CH18" s="262">
        <v>870.9</v>
      </c>
      <c r="CI18" s="728" t="s">
        <v>478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7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7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7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7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7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7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7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7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48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1">
        <v>44755</v>
      </c>
      <c r="BX19" s="277">
        <v>920.8</v>
      </c>
      <c r="BY19" s="947" t="s">
        <v>481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1">
        <v>44754</v>
      </c>
      <c r="CH19" s="277">
        <v>922.6</v>
      </c>
      <c r="CI19" s="728" t="s">
        <v>478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7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7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7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7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7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7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7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7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48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1">
        <v>44755</v>
      </c>
      <c r="BX20" s="277">
        <v>880.9</v>
      </c>
      <c r="BY20" s="947" t="s">
        <v>481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1">
        <v>44754</v>
      </c>
      <c r="CH20" s="277">
        <v>922.6</v>
      </c>
      <c r="CI20" s="728" t="s">
        <v>478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7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7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7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7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7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7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48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1">
        <v>44755</v>
      </c>
      <c r="BX21" s="277">
        <v>919.9</v>
      </c>
      <c r="BY21" s="947" t="s">
        <v>481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1">
        <v>44754</v>
      </c>
      <c r="CH21" s="277">
        <v>912.6</v>
      </c>
      <c r="CI21" s="728" t="s">
        <v>478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7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7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7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7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7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7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7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48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1">
        <v>44755</v>
      </c>
      <c r="BX22" s="277">
        <v>900.8</v>
      </c>
      <c r="BY22" s="947" t="s">
        <v>481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1">
        <v>44754</v>
      </c>
      <c r="CH22" s="277">
        <v>933.5</v>
      </c>
      <c r="CI22" s="728" t="s">
        <v>478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7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7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7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7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7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7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48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1">
        <v>44755</v>
      </c>
      <c r="BX23" s="277">
        <v>911.7</v>
      </c>
      <c r="BY23" s="947" t="s">
        <v>481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1">
        <v>44754</v>
      </c>
      <c r="CH23" s="277">
        <v>907.2</v>
      </c>
      <c r="CI23" s="728" t="s">
        <v>478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7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7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7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7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7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7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48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1">
        <v>44755</v>
      </c>
      <c r="BX24" s="277">
        <v>907.2</v>
      </c>
      <c r="BY24" s="947" t="s">
        <v>481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1">
        <v>44754</v>
      </c>
      <c r="CH24" s="277">
        <v>899.9</v>
      </c>
      <c r="CI24" s="728" t="s">
        <v>478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7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7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7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7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7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7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48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1">
        <v>44755</v>
      </c>
      <c r="BX25" s="277">
        <v>940.7</v>
      </c>
      <c r="BY25" s="947" t="s">
        <v>481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1">
        <v>44754</v>
      </c>
      <c r="CH25" s="277">
        <v>884.5</v>
      </c>
      <c r="CI25" s="728" t="s">
        <v>478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7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7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7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7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7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7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48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1">
        <v>44755</v>
      </c>
      <c r="BX26" s="277">
        <v>906.3</v>
      </c>
      <c r="BY26" s="947" t="s">
        <v>481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1">
        <v>44754</v>
      </c>
      <c r="CH26" s="277">
        <v>902.6</v>
      </c>
      <c r="CI26" s="728" t="s">
        <v>478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7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7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7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7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7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7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48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1">
        <v>44755</v>
      </c>
      <c r="BX27" s="277">
        <v>938</v>
      </c>
      <c r="BY27" s="947" t="s">
        <v>481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1">
        <v>44754</v>
      </c>
      <c r="CH27" s="277">
        <v>887.2</v>
      </c>
      <c r="CI27" s="728" t="s">
        <v>478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7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7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7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7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7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7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48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1"/>
      <c r="BX28" s="277"/>
      <c r="BY28" s="947"/>
      <c r="BZ28" s="652"/>
      <c r="CA28" s="537">
        <f t="shared" si="13"/>
        <v>0</v>
      </c>
      <c r="CD28" s="698"/>
      <c r="CE28" s="15">
        <v>21</v>
      </c>
      <c r="CF28" s="277"/>
      <c r="CG28" s="851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7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7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7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48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1"/>
      <c r="CH29" s="277"/>
      <c r="CI29" s="852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7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48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7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7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7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7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7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1" t="s">
        <v>21</v>
      </c>
      <c r="O33" s="822"/>
      <c r="P33" s="299">
        <f>Q5-P32</f>
        <v>0</v>
      </c>
      <c r="Q33" s="242"/>
      <c r="S33" s="537"/>
      <c r="X33" s="821" t="s">
        <v>21</v>
      </c>
      <c r="Y33" s="822"/>
      <c r="Z33" s="299">
        <f>AA5-Z32</f>
        <v>0</v>
      </c>
      <c r="AA33" s="242"/>
      <c r="AH33" s="821" t="s">
        <v>21</v>
      </c>
      <c r="AI33" s="822"/>
      <c r="AJ33" s="232">
        <f>AK5-AJ32</f>
        <v>0</v>
      </c>
      <c r="AM33" s="537"/>
      <c r="AR33" s="821" t="s">
        <v>21</v>
      </c>
      <c r="AS33" s="822"/>
      <c r="AT33" s="141">
        <f>AU5-AT32</f>
        <v>0</v>
      </c>
      <c r="AZ33" s="75"/>
      <c r="BB33" s="885" t="s">
        <v>21</v>
      </c>
      <c r="BC33" s="886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7" t="s">
        <v>21</v>
      </c>
      <c r="IA33" s="658"/>
      <c r="IB33" s="299">
        <f>IC5-IB32</f>
        <v>0</v>
      </c>
      <c r="IC33" s="242"/>
      <c r="IJ33" s="657" t="s">
        <v>21</v>
      </c>
      <c r="IK33" s="658"/>
      <c r="IL33" s="141">
        <f>IJ32-IL32</f>
        <v>0</v>
      </c>
      <c r="IT33" s="657" t="s">
        <v>21</v>
      </c>
      <c r="IU33" s="658"/>
      <c r="IV33" s="141">
        <f>IT32-IV32</f>
        <v>0</v>
      </c>
      <c r="JD33" s="657" t="s">
        <v>21</v>
      </c>
      <c r="JE33" s="658"/>
      <c r="JF33" s="141">
        <f>JD32-JF32</f>
        <v>15457.6</v>
      </c>
      <c r="JN33" s="657" t="s">
        <v>21</v>
      </c>
      <c r="JO33" s="658"/>
      <c r="JP33" s="141">
        <f>JN32-JP32</f>
        <v>0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55" t="s">
        <v>21</v>
      </c>
      <c r="RU33" s="1256"/>
      <c r="RV33" s="141">
        <f>SUM(RW5-RV32)</f>
        <v>0</v>
      </c>
      <c r="SC33" s="1255" t="s">
        <v>21</v>
      </c>
      <c r="SD33" s="1256"/>
      <c r="SE33" s="141">
        <f>SUM(SF5-SE32)</f>
        <v>0</v>
      </c>
      <c r="SL33" s="1255" t="s">
        <v>21</v>
      </c>
      <c r="SM33" s="1256"/>
      <c r="SN33" s="232">
        <f>SUM(SO5-SN32)</f>
        <v>0</v>
      </c>
      <c r="SU33" s="1255" t="s">
        <v>21</v>
      </c>
      <c r="SV33" s="1256"/>
      <c r="SW33" s="141">
        <f>SUM(SX5-SW32)</f>
        <v>0</v>
      </c>
      <c r="TD33" s="1255" t="s">
        <v>21</v>
      </c>
      <c r="TE33" s="1256"/>
      <c r="TF33" s="141">
        <f>SUM(TG5-TF32)</f>
        <v>0</v>
      </c>
      <c r="TM33" s="1255" t="s">
        <v>21</v>
      </c>
      <c r="TN33" s="1256"/>
      <c r="TO33" s="141">
        <f>SUM(TP5-TO32)</f>
        <v>0</v>
      </c>
      <c r="TV33" s="1255" t="s">
        <v>21</v>
      </c>
      <c r="TW33" s="1256"/>
      <c r="TX33" s="141">
        <f>SUM(TY5-TX32)</f>
        <v>0</v>
      </c>
      <c r="UE33" s="1255" t="s">
        <v>21</v>
      </c>
      <c r="UF33" s="1256"/>
      <c r="UG33" s="141">
        <f>SUM(UH5-UG32)</f>
        <v>0</v>
      </c>
      <c r="UN33" s="1255" t="s">
        <v>21</v>
      </c>
      <c r="UO33" s="1256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55" t="s">
        <v>21</v>
      </c>
      <c r="VP33" s="1256"/>
      <c r="VQ33" s="141">
        <f>VR5-VQ32</f>
        <v>-22</v>
      </c>
      <c r="VX33" s="1255" t="s">
        <v>21</v>
      </c>
      <c r="VY33" s="1256"/>
      <c r="VZ33" s="141">
        <f>WA5-VZ32</f>
        <v>-22</v>
      </c>
      <c r="WG33" s="1255" t="s">
        <v>21</v>
      </c>
      <c r="WH33" s="1256"/>
      <c r="WI33" s="141">
        <f>WJ5-WI32</f>
        <v>-22</v>
      </c>
      <c r="WP33" s="1255" t="s">
        <v>21</v>
      </c>
      <c r="WQ33" s="1256"/>
      <c r="WR33" s="141">
        <f>WS5-WR32</f>
        <v>-22</v>
      </c>
      <c r="WY33" s="1255" t="s">
        <v>21</v>
      </c>
      <c r="WZ33" s="1256"/>
      <c r="XA33" s="141">
        <f>XB5-XA32</f>
        <v>-22</v>
      </c>
      <c r="XH33" s="1255" t="s">
        <v>21</v>
      </c>
      <c r="XI33" s="1256"/>
      <c r="XJ33" s="141">
        <f>XK5-XJ32</f>
        <v>-22</v>
      </c>
      <c r="XQ33" s="1255" t="s">
        <v>21</v>
      </c>
      <c r="XR33" s="1256"/>
      <c r="XS33" s="141">
        <f>XT5-XS32</f>
        <v>-22</v>
      </c>
      <c r="XZ33" s="1255" t="s">
        <v>21</v>
      </c>
      <c r="YA33" s="1256"/>
      <c r="YB33" s="141">
        <f>YC5-YB32</f>
        <v>-22</v>
      </c>
      <c r="YI33" s="1255" t="s">
        <v>21</v>
      </c>
      <c r="YJ33" s="1256"/>
      <c r="YK33" s="141">
        <f>YL5-YK32</f>
        <v>-22</v>
      </c>
      <c r="YR33" s="1255" t="s">
        <v>21</v>
      </c>
      <c r="YS33" s="1256"/>
      <c r="YT33" s="141">
        <f>YU5-YT32</f>
        <v>-22</v>
      </c>
      <c r="ZA33" s="1255" t="s">
        <v>21</v>
      </c>
      <c r="ZB33" s="1256"/>
      <c r="ZC33" s="141">
        <f>ZD5-ZC32</f>
        <v>-22</v>
      </c>
      <c r="ZJ33" s="1255" t="s">
        <v>21</v>
      </c>
      <c r="ZK33" s="1256"/>
      <c r="ZL33" s="141">
        <f>ZM5-ZL32</f>
        <v>-22</v>
      </c>
      <c r="ZS33" s="1255" t="s">
        <v>21</v>
      </c>
      <c r="ZT33" s="1256"/>
      <c r="ZU33" s="141">
        <f>ZV5-ZU32</f>
        <v>-22</v>
      </c>
      <c r="AAB33" s="1255" t="s">
        <v>21</v>
      </c>
      <c r="AAC33" s="1256"/>
      <c r="AAD33" s="141">
        <f>AAE5-AAD32</f>
        <v>-22</v>
      </c>
      <c r="AAK33" s="1255" t="s">
        <v>21</v>
      </c>
      <c r="AAL33" s="1256"/>
      <c r="AAM33" s="141">
        <f>AAN5-AAM32</f>
        <v>-22</v>
      </c>
      <c r="AAT33" s="1255" t="s">
        <v>21</v>
      </c>
      <c r="AAU33" s="1256"/>
      <c r="AAV33" s="141">
        <f>AAV32-AAT32</f>
        <v>22</v>
      </c>
      <c r="ABC33" s="1255" t="s">
        <v>21</v>
      </c>
      <c r="ABD33" s="1256"/>
      <c r="ABE33" s="141">
        <f>ABF5-ABE32</f>
        <v>-22</v>
      </c>
      <c r="ABL33" s="1255" t="s">
        <v>21</v>
      </c>
      <c r="ABM33" s="1256"/>
      <c r="ABN33" s="141">
        <f>ABO5-ABN32</f>
        <v>-22</v>
      </c>
      <c r="ABU33" s="1255" t="s">
        <v>21</v>
      </c>
      <c r="ABV33" s="1256"/>
      <c r="ABW33" s="141">
        <f>ABX5-ABW32</f>
        <v>-22</v>
      </c>
      <c r="ACD33" s="1255" t="s">
        <v>21</v>
      </c>
      <c r="ACE33" s="1256"/>
      <c r="ACF33" s="141">
        <f>ACG5-ACF32</f>
        <v>-22</v>
      </c>
      <c r="ACM33" s="1255" t="s">
        <v>21</v>
      </c>
      <c r="ACN33" s="1256"/>
      <c r="ACO33" s="141">
        <f>ACP5-ACO32</f>
        <v>-22</v>
      </c>
      <c r="ACV33" s="1255" t="s">
        <v>21</v>
      </c>
      <c r="ACW33" s="1256"/>
      <c r="ACX33" s="141">
        <f>ACY5-ACX32</f>
        <v>-22</v>
      </c>
      <c r="ADE33" s="1255" t="s">
        <v>21</v>
      </c>
      <c r="ADF33" s="1256"/>
      <c r="ADG33" s="141">
        <f>ADH5-ADG32</f>
        <v>-22</v>
      </c>
      <c r="ADN33" s="1255" t="s">
        <v>21</v>
      </c>
      <c r="ADO33" s="1256"/>
      <c r="ADP33" s="141">
        <f>ADQ5-ADP32</f>
        <v>-22</v>
      </c>
      <c r="ADW33" s="1255" t="s">
        <v>21</v>
      </c>
      <c r="ADX33" s="1256"/>
      <c r="ADY33" s="141">
        <f>ADZ5-ADY32</f>
        <v>-22</v>
      </c>
      <c r="AEF33" s="1255" t="s">
        <v>21</v>
      </c>
      <c r="AEG33" s="1256"/>
      <c r="AEH33" s="141">
        <f>AEI5-AEH32</f>
        <v>-22</v>
      </c>
      <c r="AEO33" s="1255" t="s">
        <v>21</v>
      </c>
      <c r="AEP33" s="1256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3" t="s">
        <v>4</v>
      </c>
      <c r="O34" s="824"/>
      <c r="P34" s="49"/>
      <c r="S34" s="537"/>
      <c r="X34" s="823" t="s">
        <v>4</v>
      </c>
      <c r="Y34" s="824"/>
      <c r="Z34" s="49"/>
      <c r="AH34" s="823" t="s">
        <v>4</v>
      </c>
      <c r="AI34" s="824"/>
      <c r="AJ34" s="49"/>
      <c r="AM34" s="537"/>
      <c r="AR34" s="823" t="s">
        <v>4</v>
      </c>
      <c r="AS34" s="824"/>
      <c r="AT34" s="49"/>
      <c r="AZ34" s="75"/>
      <c r="BB34" s="887" t="s">
        <v>4</v>
      </c>
      <c r="BC34" s="888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57" t="s">
        <v>4</v>
      </c>
      <c r="RU34" s="1258"/>
      <c r="RV34" s="49"/>
      <c r="SC34" s="1257" t="s">
        <v>4</v>
      </c>
      <c r="SD34" s="1258"/>
      <c r="SE34" s="49"/>
      <c r="SL34" s="1257" t="s">
        <v>4</v>
      </c>
      <c r="SM34" s="1258"/>
      <c r="SN34" s="49"/>
      <c r="SU34" s="1257" t="s">
        <v>4</v>
      </c>
      <c r="SV34" s="1258"/>
      <c r="SW34" s="49"/>
      <c r="TD34" s="1257" t="s">
        <v>4</v>
      </c>
      <c r="TE34" s="1258"/>
      <c r="TF34" s="49"/>
      <c r="TM34" s="1257" t="s">
        <v>4</v>
      </c>
      <c r="TN34" s="1258"/>
      <c r="TO34" s="49"/>
      <c r="TV34" s="1257" t="s">
        <v>4</v>
      </c>
      <c r="TW34" s="1258"/>
      <c r="TX34" s="49"/>
      <c r="UE34" s="1257" t="s">
        <v>4</v>
      </c>
      <c r="UF34" s="1258"/>
      <c r="UG34" s="49"/>
      <c r="UN34" s="1257" t="s">
        <v>4</v>
      </c>
      <c r="UO34" s="1258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57" t="s">
        <v>4</v>
      </c>
      <c r="VP34" s="1258"/>
      <c r="VQ34" s="49"/>
      <c r="VX34" s="1257" t="s">
        <v>4</v>
      </c>
      <c r="VY34" s="1258"/>
      <c r="VZ34" s="49"/>
      <c r="WG34" s="1257" t="s">
        <v>4</v>
      </c>
      <c r="WH34" s="1258"/>
      <c r="WI34" s="49"/>
      <c r="WP34" s="1257" t="s">
        <v>4</v>
      </c>
      <c r="WQ34" s="1258"/>
      <c r="WR34" s="49"/>
      <c r="WY34" s="1257" t="s">
        <v>4</v>
      </c>
      <c r="WZ34" s="1258"/>
      <c r="XA34" s="49"/>
      <c r="XH34" s="1257" t="s">
        <v>4</v>
      </c>
      <c r="XI34" s="1258"/>
      <c r="XJ34" s="49"/>
      <c r="XQ34" s="1257" t="s">
        <v>4</v>
      </c>
      <c r="XR34" s="1258"/>
      <c r="XS34" s="49"/>
      <c r="XZ34" s="1257" t="s">
        <v>4</v>
      </c>
      <c r="YA34" s="1258"/>
      <c r="YB34" s="49"/>
      <c r="YI34" s="1257" t="s">
        <v>4</v>
      </c>
      <c r="YJ34" s="1258"/>
      <c r="YK34" s="49"/>
      <c r="YR34" s="1257" t="s">
        <v>4</v>
      </c>
      <c r="YS34" s="1258"/>
      <c r="YT34" s="49"/>
      <c r="ZA34" s="1257" t="s">
        <v>4</v>
      </c>
      <c r="ZB34" s="1258"/>
      <c r="ZC34" s="49"/>
      <c r="ZJ34" s="1257" t="s">
        <v>4</v>
      </c>
      <c r="ZK34" s="1258"/>
      <c r="ZL34" s="49"/>
      <c r="ZS34" s="1257" t="s">
        <v>4</v>
      </c>
      <c r="ZT34" s="1258"/>
      <c r="ZU34" s="49"/>
      <c r="AAB34" s="1257" t="s">
        <v>4</v>
      </c>
      <c r="AAC34" s="1258"/>
      <c r="AAD34" s="49"/>
      <c r="AAK34" s="1257" t="s">
        <v>4</v>
      </c>
      <c r="AAL34" s="1258"/>
      <c r="AAM34" s="49"/>
      <c r="AAT34" s="1257" t="s">
        <v>4</v>
      </c>
      <c r="AAU34" s="1258"/>
      <c r="AAV34" s="49"/>
      <c r="ABC34" s="1257" t="s">
        <v>4</v>
      </c>
      <c r="ABD34" s="1258"/>
      <c r="ABE34" s="49"/>
      <c r="ABL34" s="1257" t="s">
        <v>4</v>
      </c>
      <c r="ABM34" s="1258"/>
      <c r="ABN34" s="49"/>
      <c r="ABU34" s="1257" t="s">
        <v>4</v>
      </c>
      <c r="ABV34" s="1258"/>
      <c r="ABW34" s="49"/>
      <c r="ACD34" s="1257" t="s">
        <v>4</v>
      </c>
      <c r="ACE34" s="1258"/>
      <c r="ACF34" s="49"/>
      <c r="ACM34" s="1257" t="s">
        <v>4</v>
      </c>
      <c r="ACN34" s="1258"/>
      <c r="ACO34" s="49"/>
      <c r="ACV34" s="1257" t="s">
        <v>4</v>
      </c>
      <c r="ACW34" s="1258"/>
      <c r="ACX34" s="49"/>
      <c r="ADE34" s="1257" t="s">
        <v>4</v>
      </c>
      <c r="ADF34" s="1258"/>
      <c r="ADG34" s="49"/>
      <c r="ADN34" s="1257" t="s">
        <v>4</v>
      </c>
      <c r="ADO34" s="1258"/>
      <c r="ADP34" s="49"/>
      <c r="ADW34" s="1257" t="s">
        <v>4</v>
      </c>
      <c r="ADX34" s="1258"/>
      <c r="ADY34" s="49"/>
      <c r="AEF34" s="1257" t="s">
        <v>4</v>
      </c>
      <c r="AEG34" s="1258"/>
      <c r="AEH34" s="49"/>
      <c r="AEO34" s="1257" t="s">
        <v>4</v>
      </c>
      <c r="AEP34" s="1258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JK5:JK6"/>
    <mergeCell ref="VC1:VI1"/>
    <mergeCell ref="VL1:VR1"/>
    <mergeCell ref="VO33:VP33"/>
    <mergeCell ref="VO34:VP34"/>
    <mergeCell ref="QP1:QV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JA1:JH1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9"/>
      <c r="B1" s="1249"/>
      <c r="C1" s="1249"/>
      <c r="D1" s="1249"/>
      <c r="E1" s="1249"/>
      <c r="F1" s="1249"/>
      <c r="G1" s="1249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90"/>
      <c r="H4" s="153"/>
      <c r="I4" s="544"/>
    </row>
    <row r="5" spans="1:10" ht="14.25" customHeight="1" x14ac:dyDescent="0.25">
      <c r="A5" s="1251"/>
      <c r="B5" s="1280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51"/>
      <c r="B6" s="1280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55" t="s">
        <v>21</v>
      </c>
      <c r="E32" s="1256"/>
      <c r="F32" s="141">
        <f>G5-F30</f>
        <v>0</v>
      </c>
    </row>
    <row r="33" spans="1:6" ht="15.75" thickBot="1" x14ac:dyDescent="0.3">
      <c r="A33" s="125"/>
      <c r="D33" s="887" t="s">
        <v>4</v>
      </c>
      <c r="E33" s="88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5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55" t="s">
        <v>21</v>
      </c>
      <c r="E29" s="1256"/>
      <c r="F29" s="141">
        <f>E5+E6-F27+E7+E4</f>
        <v>0</v>
      </c>
    </row>
    <row r="30" spans="1:9" ht="15.75" thickBot="1" x14ac:dyDescent="0.3">
      <c r="A30" s="125"/>
      <c r="D30" s="805" t="s">
        <v>4</v>
      </c>
      <c r="E30" s="80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55" t="s">
        <v>21</v>
      </c>
      <c r="E32" s="1256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60" t="s">
        <v>232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5"/>
      <c r="F4" s="463"/>
      <c r="G4" s="309"/>
      <c r="H4" s="309"/>
      <c r="K4" s="463"/>
      <c r="L4" s="463"/>
      <c r="M4" s="463"/>
      <c r="N4" s="463"/>
      <c r="O4" s="825">
        <v>31.3</v>
      </c>
      <c r="P4" s="463">
        <v>1</v>
      </c>
      <c r="Q4" s="309"/>
      <c r="R4" s="309"/>
    </row>
    <row r="5" spans="1:19" x14ac:dyDescent="0.25">
      <c r="A5" s="1281" t="s">
        <v>114</v>
      </c>
      <c r="B5" s="1271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90"/>
      <c r="K5" s="1281" t="s">
        <v>114</v>
      </c>
      <c r="L5" s="1271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6"/>
    </row>
    <row r="6" spans="1:19" ht="15.75" customHeight="1" x14ac:dyDescent="0.25">
      <c r="A6" s="1281"/>
      <c r="B6" s="1271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81"/>
      <c r="L6" s="1271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2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80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80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80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80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80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80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80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80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80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80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80">
        <f t="shared" si="6"/>
        <v>1</v>
      </c>
      <c r="C21" s="243">
        <v>13</v>
      </c>
      <c r="D21" s="776">
        <v>374.62</v>
      </c>
      <c r="E21" s="899">
        <v>44749</v>
      </c>
      <c r="F21" s="898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80">
        <f t="shared" si="7"/>
        <v>14</v>
      </c>
      <c r="M21" s="243"/>
      <c r="N21" s="262">
        <v>0</v>
      </c>
      <c r="O21" s="899"/>
      <c r="P21" s="898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80">
        <f t="shared" si="6"/>
        <v>1</v>
      </c>
      <c r="C22" s="243"/>
      <c r="D22" s="776">
        <v>0</v>
      </c>
      <c r="E22" s="899"/>
      <c r="F22" s="898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14</v>
      </c>
      <c r="M22" s="243"/>
      <c r="N22" s="262">
        <v>0</v>
      </c>
      <c r="O22" s="899"/>
      <c r="P22" s="898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80">
        <f t="shared" si="6"/>
        <v>0</v>
      </c>
      <c r="C23" s="261">
        <v>1</v>
      </c>
      <c r="D23" s="776">
        <v>0</v>
      </c>
      <c r="E23" s="899"/>
      <c r="F23" s="1147">
        <v>31.3</v>
      </c>
      <c r="G23" s="1109"/>
      <c r="H23" s="1110"/>
      <c r="I23" s="1152">
        <f t="shared" si="2"/>
        <v>6.7501559897209518E-14</v>
      </c>
      <c r="L23" s="580">
        <f t="shared" si="7"/>
        <v>14</v>
      </c>
      <c r="M23" s="261"/>
      <c r="N23" s="262">
        <v>0</v>
      </c>
      <c r="O23" s="899"/>
      <c r="P23" s="898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80">
        <f t="shared" si="6"/>
        <v>0</v>
      </c>
      <c r="C24" s="15"/>
      <c r="D24" s="776">
        <v>0</v>
      </c>
      <c r="E24" s="899"/>
      <c r="F24" s="1147">
        <f t="shared" si="0"/>
        <v>0</v>
      </c>
      <c r="G24" s="1109"/>
      <c r="H24" s="1110"/>
      <c r="I24" s="1152">
        <f t="shared" si="2"/>
        <v>6.7501559897209518E-14</v>
      </c>
      <c r="L24" s="580">
        <f t="shared" si="7"/>
        <v>14</v>
      </c>
      <c r="M24" s="15"/>
      <c r="N24" s="262">
        <v>0</v>
      </c>
      <c r="O24" s="899"/>
      <c r="P24" s="898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80">
        <f t="shared" si="6"/>
        <v>0</v>
      </c>
      <c r="C25" s="15"/>
      <c r="D25" s="776">
        <v>0</v>
      </c>
      <c r="E25" s="897"/>
      <c r="F25" s="1147">
        <f t="shared" si="0"/>
        <v>0</v>
      </c>
      <c r="G25" s="1109"/>
      <c r="H25" s="1110"/>
      <c r="I25" s="1152">
        <f t="shared" si="2"/>
        <v>6.7501559897209518E-14</v>
      </c>
      <c r="L25" s="580">
        <f t="shared" si="7"/>
        <v>14</v>
      </c>
      <c r="M25" s="15"/>
      <c r="N25" s="262">
        <v>0</v>
      </c>
      <c r="O25" s="897"/>
      <c r="P25" s="898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80">
        <f t="shared" si="6"/>
        <v>0</v>
      </c>
      <c r="C26" s="37"/>
      <c r="D26" s="776">
        <v>0</v>
      </c>
      <c r="E26" s="965"/>
      <c r="F26" s="898">
        <f t="shared" si="0"/>
        <v>0</v>
      </c>
      <c r="G26" s="966"/>
      <c r="H26" s="967"/>
      <c r="I26" s="260">
        <f t="shared" si="2"/>
        <v>6.7501559897209518E-14</v>
      </c>
      <c r="K26" s="121"/>
      <c r="L26" s="580">
        <f t="shared" si="7"/>
        <v>14</v>
      </c>
      <c r="M26" s="37"/>
      <c r="N26" s="262">
        <v>0</v>
      </c>
      <c r="O26" s="965"/>
      <c r="P26" s="898">
        <f t="shared" si="1"/>
        <v>0</v>
      </c>
      <c r="Q26" s="966"/>
      <c r="R26" s="967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55" t="s">
        <v>21</v>
      </c>
      <c r="E29" s="1256"/>
      <c r="F29" s="141">
        <f>E5+E6-F27+E7+E4</f>
        <v>-2.2737367544323206E-13</v>
      </c>
      <c r="L29" s="5"/>
      <c r="N29" s="1255" t="s">
        <v>21</v>
      </c>
      <c r="O29" s="1256"/>
      <c r="P29" s="141">
        <f>O5+O6-P27+O7+O4</f>
        <v>391.21999999999986</v>
      </c>
    </row>
    <row r="30" spans="1:19" ht="15.75" thickBot="1" x14ac:dyDescent="0.3">
      <c r="A30" s="125"/>
      <c r="D30" s="887" t="s">
        <v>4</v>
      </c>
      <c r="E30" s="888"/>
      <c r="F30" s="49">
        <f>F5+F6-C27+F7+F4</f>
        <v>0</v>
      </c>
      <c r="K30" s="125"/>
      <c r="N30" s="983" t="s">
        <v>4</v>
      </c>
      <c r="O30" s="984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0" t="s">
        <v>233</v>
      </c>
      <c r="B1" s="1260"/>
      <c r="C1" s="1260"/>
      <c r="D1" s="1260"/>
      <c r="E1" s="1260"/>
      <c r="F1" s="1260"/>
      <c r="G1" s="126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50" t="s">
        <v>65</v>
      </c>
      <c r="B6" s="1282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50"/>
      <c r="B7" s="1283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31">
        <f>E7-G7</f>
        <v>20</v>
      </c>
    </row>
    <row r="8" spans="1:8" ht="16.5" customHeight="1" thickBot="1" x14ac:dyDescent="0.3">
      <c r="A8" s="815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97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6">
        <v>20</v>
      </c>
      <c r="E14" s="968">
        <v>44746</v>
      </c>
      <c r="F14" s="898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6">
        <v>40</v>
      </c>
      <c r="E15" s="968">
        <v>44765</v>
      </c>
      <c r="F15" s="898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6">
        <v>0</v>
      </c>
      <c r="E16" s="968"/>
      <c r="F16" s="898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6">
        <v>0</v>
      </c>
      <c r="E17" s="968"/>
      <c r="F17" s="898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6">
        <v>0</v>
      </c>
      <c r="E18" s="968"/>
      <c r="F18" s="898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6">
        <v>0</v>
      </c>
      <c r="E19" s="968"/>
      <c r="F19" s="898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6">
        <v>0</v>
      </c>
      <c r="E20" s="968"/>
      <c r="F20" s="898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6">
        <v>0</v>
      </c>
      <c r="E21" s="969"/>
      <c r="F21" s="970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6">
        <v>0</v>
      </c>
      <c r="E22" s="969"/>
      <c r="F22" s="970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55" t="s">
        <v>21</v>
      </c>
      <c r="E30" s="1256"/>
      <c r="F30" s="141">
        <f>E5+E6-F28+E7+E4+E8</f>
        <v>20</v>
      </c>
    </row>
    <row r="31" spans="1:8" ht="15.75" thickBot="1" x14ac:dyDescent="0.3">
      <c r="A31" s="125"/>
      <c r="D31" s="813" t="s">
        <v>4</v>
      </c>
      <c r="E31" s="814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84" t="s">
        <v>234</v>
      </c>
      <c r="B1" s="1284"/>
      <c r="C1" s="1284"/>
      <c r="D1" s="1284"/>
      <c r="E1" s="1284"/>
      <c r="F1" s="1284"/>
      <c r="G1" s="1284"/>
      <c r="H1" s="1284"/>
      <c r="I1" s="1284"/>
      <c r="J1" s="1284"/>
      <c r="K1" s="681">
        <v>1</v>
      </c>
      <c r="N1" s="1285" t="s">
        <v>394</v>
      </c>
      <c r="O1" s="1285"/>
      <c r="P1" s="1285"/>
      <c r="Q1" s="1285"/>
      <c r="R1" s="1285"/>
      <c r="S1" s="1285"/>
      <c r="T1" s="1285"/>
      <c r="U1" s="1285"/>
      <c r="V1" s="1285"/>
      <c r="W1" s="1285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9"/>
      <c r="B5" s="73" t="s">
        <v>48</v>
      </c>
      <c r="C5" s="811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9"/>
      <c r="O5" s="73" t="s">
        <v>48</v>
      </c>
      <c r="P5" s="811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0" t="s">
        <v>103</v>
      </c>
      <c r="B6" s="758" t="s">
        <v>86</v>
      </c>
      <c r="C6" s="161"/>
      <c r="D6" s="135"/>
      <c r="E6" s="78"/>
      <c r="F6" s="62"/>
      <c r="N6" s="850" t="s">
        <v>312</v>
      </c>
      <c r="O6" s="758" t="s">
        <v>86</v>
      </c>
      <c r="P6" s="161"/>
      <c r="Q6" s="135"/>
      <c r="R6" s="78"/>
      <c r="S6" s="62"/>
    </row>
    <row r="7" spans="1:24" ht="15.75" customHeight="1" thickBot="1" x14ac:dyDescent="0.3">
      <c r="A7" s="829"/>
      <c r="B7" s="163"/>
      <c r="C7" s="755"/>
      <c r="D7" s="756"/>
      <c r="E7" s="757"/>
      <c r="F7" s="683"/>
      <c r="N7" s="829"/>
      <c r="O7" s="163"/>
      <c r="P7" s="755"/>
      <c r="Q7" s="756"/>
      <c r="R7" s="757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59</v>
      </c>
      <c r="I8" s="599" t="s">
        <v>60</v>
      </c>
      <c r="J8" s="599" t="s">
        <v>61</v>
      </c>
      <c r="K8" s="600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59</v>
      </c>
      <c r="V8" s="599" t="s">
        <v>60</v>
      </c>
      <c r="W8" s="599" t="s">
        <v>61</v>
      </c>
      <c r="X8" s="600" t="s">
        <v>62</v>
      </c>
    </row>
    <row r="9" spans="1:24" ht="15.75" thickTop="1" x14ac:dyDescent="0.25">
      <c r="A9" s="830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0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1"/>
      <c r="B10" s="2">
        <v>27.22</v>
      </c>
      <c r="C10" s="15">
        <v>8</v>
      </c>
      <c r="D10" s="971">
        <f t="shared" si="0"/>
        <v>217.76</v>
      </c>
      <c r="E10" s="972">
        <v>44746</v>
      </c>
      <c r="F10" s="227">
        <f t="shared" si="1"/>
        <v>217.76</v>
      </c>
      <c r="G10" s="818" t="s">
        <v>422</v>
      </c>
      <c r="H10" s="819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1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2"/>
      <c r="B11" s="2">
        <v>27.22</v>
      </c>
      <c r="C11" s="15">
        <v>36</v>
      </c>
      <c r="D11" s="971">
        <f t="shared" si="0"/>
        <v>979.92</v>
      </c>
      <c r="E11" s="972">
        <v>44747</v>
      </c>
      <c r="F11" s="227">
        <f t="shared" si="1"/>
        <v>979.92</v>
      </c>
      <c r="G11" s="412" t="s">
        <v>434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2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0" t="s">
        <v>33</v>
      </c>
      <c r="B12" s="2">
        <v>27.22</v>
      </c>
      <c r="C12" s="15">
        <v>32</v>
      </c>
      <c r="D12" s="971">
        <f t="shared" si="0"/>
        <v>871.04</v>
      </c>
      <c r="E12" s="972">
        <v>44750</v>
      </c>
      <c r="F12" s="227">
        <f t="shared" si="1"/>
        <v>871.04</v>
      </c>
      <c r="G12" s="412" t="s">
        <v>459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0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1">
        <f t="shared" si="0"/>
        <v>979.92</v>
      </c>
      <c r="E13" s="972">
        <v>44750</v>
      </c>
      <c r="F13" s="227">
        <f t="shared" si="1"/>
        <v>979.92</v>
      </c>
      <c r="G13" s="818" t="s">
        <v>460</v>
      </c>
      <c r="H13" s="819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1">
        <f t="shared" si="0"/>
        <v>979.92</v>
      </c>
      <c r="E14" s="972">
        <v>44751</v>
      </c>
      <c r="F14" s="227">
        <f t="shared" si="1"/>
        <v>979.92</v>
      </c>
      <c r="G14" s="818" t="s">
        <v>467</v>
      </c>
      <c r="H14" s="819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1">
        <f t="shared" si="0"/>
        <v>272.2</v>
      </c>
      <c r="E15" s="972">
        <v>44751</v>
      </c>
      <c r="F15" s="227">
        <f t="shared" si="1"/>
        <v>272.2</v>
      </c>
      <c r="G15" s="818" t="s">
        <v>468</v>
      </c>
      <c r="H15" s="819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1">
        <f t="shared" si="0"/>
        <v>54.44</v>
      </c>
      <c r="E16" s="972">
        <v>44753</v>
      </c>
      <c r="F16" s="227">
        <f t="shared" si="1"/>
        <v>54.44</v>
      </c>
      <c r="G16" s="412" t="s">
        <v>473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1">
        <f t="shared" si="0"/>
        <v>979.92</v>
      </c>
      <c r="E17" s="972">
        <v>44755</v>
      </c>
      <c r="F17" s="227">
        <f t="shared" si="1"/>
        <v>979.92</v>
      </c>
      <c r="G17" s="818" t="s">
        <v>484</v>
      </c>
      <c r="H17" s="819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1">
        <f t="shared" si="0"/>
        <v>136.1</v>
      </c>
      <c r="E18" s="897">
        <v>44755</v>
      </c>
      <c r="F18" s="227">
        <f t="shared" si="1"/>
        <v>136.1</v>
      </c>
      <c r="G18" s="818" t="s">
        <v>484</v>
      </c>
      <c r="H18" s="819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1">
        <f t="shared" si="0"/>
        <v>979.92</v>
      </c>
      <c r="E19" s="972">
        <v>44757</v>
      </c>
      <c r="F19" s="227">
        <f t="shared" si="1"/>
        <v>979.92</v>
      </c>
      <c r="G19" s="818" t="s">
        <v>499</v>
      </c>
      <c r="H19" s="819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1">
        <f t="shared" si="0"/>
        <v>979.92</v>
      </c>
      <c r="E20" s="972">
        <v>44757</v>
      </c>
      <c r="F20" s="227">
        <f t="shared" si="1"/>
        <v>979.92</v>
      </c>
      <c r="G20" s="818" t="s">
        <v>502</v>
      </c>
      <c r="H20" s="819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1">
        <f t="shared" si="0"/>
        <v>272.2</v>
      </c>
      <c r="E21" s="897">
        <v>44760</v>
      </c>
      <c r="F21" s="227">
        <f t="shared" si="1"/>
        <v>272.2</v>
      </c>
      <c r="G21" s="818" t="s">
        <v>513</v>
      </c>
      <c r="H21" s="819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1">
        <f t="shared" si="0"/>
        <v>27.22</v>
      </c>
      <c r="E22" s="897">
        <v>44762</v>
      </c>
      <c r="F22" s="227">
        <f t="shared" si="1"/>
        <v>27.22</v>
      </c>
      <c r="G22" s="818" t="s">
        <v>525</v>
      </c>
      <c r="H22" s="819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71">
        <f t="shared" si="0"/>
        <v>979.92</v>
      </c>
      <c r="E23" s="897">
        <v>44763</v>
      </c>
      <c r="F23" s="227">
        <f t="shared" si="1"/>
        <v>979.92</v>
      </c>
      <c r="G23" s="818" t="s">
        <v>537</v>
      </c>
      <c r="H23" s="819">
        <v>67</v>
      </c>
      <c r="I23" s="604">
        <f t="shared" si="6"/>
        <v>9064.26</v>
      </c>
      <c r="J23" s="605">
        <f t="shared" si="10"/>
        <v>333</v>
      </c>
      <c r="K23" s="606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71">
        <f t="shared" si="0"/>
        <v>979.92</v>
      </c>
      <c r="E24" s="972">
        <v>44764</v>
      </c>
      <c r="F24" s="227">
        <f t="shared" si="1"/>
        <v>979.92</v>
      </c>
      <c r="G24" s="818" t="s">
        <v>547</v>
      </c>
      <c r="H24" s="819">
        <v>67</v>
      </c>
      <c r="I24" s="604">
        <f t="shared" si="6"/>
        <v>8084.34</v>
      </c>
      <c r="J24" s="605">
        <f t="shared" si="10"/>
        <v>297</v>
      </c>
      <c r="K24" s="606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71">
        <f t="shared" si="0"/>
        <v>979.92</v>
      </c>
      <c r="E25" s="897">
        <v>44765</v>
      </c>
      <c r="F25" s="227">
        <f t="shared" si="1"/>
        <v>979.92</v>
      </c>
      <c r="G25" s="818" t="s">
        <v>557</v>
      </c>
      <c r="H25" s="819">
        <v>67</v>
      </c>
      <c r="I25" s="604">
        <f t="shared" si="6"/>
        <v>7104.42</v>
      </c>
      <c r="J25" s="605">
        <f t="shared" si="10"/>
        <v>261</v>
      </c>
      <c r="K25" s="606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71">
        <f t="shared" si="0"/>
        <v>272.2</v>
      </c>
      <c r="E26" s="972">
        <v>44765</v>
      </c>
      <c r="F26" s="227">
        <f t="shared" si="1"/>
        <v>272.2</v>
      </c>
      <c r="G26" s="818" t="s">
        <v>560</v>
      </c>
      <c r="H26" s="819">
        <v>67</v>
      </c>
      <c r="I26" s="604">
        <f t="shared" si="6"/>
        <v>6832.22</v>
      </c>
      <c r="J26" s="605">
        <f t="shared" si="10"/>
        <v>251</v>
      </c>
      <c r="K26" s="606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71">
        <f t="shared" si="0"/>
        <v>979.92</v>
      </c>
      <c r="E27" s="972">
        <v>44769</v>
      </c>
      <c r="F27" s="227">
        <f t="shared" si="1"/>
        <v>979.92</v>
      </c>
      <c r="G27" s="818" t="s">
        <v>575</v>
      </c>
      <c r="H27" s="819">
        <v>69</v>
      </c>
      <c r="I27" s="604">
        <f t="shared" si="6"/>
        <v>5852.3</v>
      </c>
      <c r="J27" s="605">
        <f t="shared" si="10"/>
        <v>215</v>
      </c>
      <c r="K27" s="606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71">
        <f t="shared" si="0"/>
        <v>979.92</v>
      </c>
      <c r="E28" s="972">
        <v>44771</v>
      </c>
      <c r="F28" s="227">
        <f t="shared" si="1"/>
        <v>979.92</v>
      </c>
      <c r="G28" s="818" t="s">
        <v>552</v>
      </c>
      <c r="H28" s="819">
        <v>69</v>
      </c>
      <c r="I28" s="604">
        <f t="shared" si="6"/>
        <v>4872.38</v>
      </c>
      <c r="J28" s="605">
        <f t="shared" si="10"/>
        <v>179</v>
      </c>
      <c r="K28" s="606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71">
        <f t="shared" si="0"/>
        <v>27.22</v>
      </c>
      <c r="E29" s="972">
        <v>44771</v>
      </c>
      <c r="F29" s="227">
        <f t="shared" si="1"/>
        <v>27.22</v>
      </c>
      <c r="G29" s="818" t="s">
        <v>592</v>
      </c>
      <c r="H29" s="819">
        <v>69</v>
      </c>
      <c r="I29" s="604">
        <f t="shared" si="6"/>
        <v>4845.16</v>
      </c>
      <c r="J29" s="607">
        <f t="shared" si="10"/>
        <v>178</v>
      </c>
      <c r="K29" s="606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71">
        <f t="shared" si="0"/>
        <v>272.2</v>
      </c>
      <c r="E30" s="972">
        <v>44772</v>
      </c>
      <c r="F30" s="227">
        <f t="shared" si="1"/>
        <v>272.2</v>
      </c>
      <c r="G30" s="412" t="s">
        <v>594</v>
      </c>
      <c r="H30" s="413">
        <v>69</v>
      </c>
      <c r="I30" s="604">
        <f t="shared" si="6"/>
        <v>4572.96</v>
      </c>
      <c r="J30" s="607">
        <f t="shared" si="10"/>
        <v>168</v>
      </c>
      <c r="K30" s="606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71">
        <f t="shared" si="0"/>
        <v>871.04</v>
      </c>
      <c r="E31" s="972">
        <v>44773</v>
      </c>
      <c r="F31" s="227">
        <f t="shared" si="1"/>
        <v>871.04</v>
      </c>
      <c r="G31" s="412" t="s">
        <v>598</v>
      </c>
      <c r="H31" s="413">
        <v>69</v>
      </c>
      <c r="I31" s="604">
        <f t="shared" si="6"/>
        <v>3701.92</v>
      </c>
      <c r="J31" s="607">
        <f t="shared" si="10"/>
        <v>136</v>
      </c>
      <c r="K31" s="606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1">
        <f t="shared" si="0"/>
        <v>0</v>
      </c>
      <c r="E32" s="972"/>
      <c r="F32" s="227">
        <f t="shared" si="1"/>
        <v>0</v>
      </c>
      <c r="G32" s="412"/>
      <c r="H32" s="413"/>
      <c r="I32" s="604">
        <f t="shared" si="6"/>
        <v>3701.92</v>
      </c>
      <c r="J32" s="607">
        <f t="shared" si="10"/>
        <v>136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1">
        <f t="shared" si="0"/>
        <v>0</v>
      </c>
      <c r="E33" s="972"/>
      <c r="F33" s="227">
        <f t="shared" si="1"/>
        <v>0</v>
      </c>
      <c r="G33" s="412"/>
      <c r="H33" s="413"/>
      <c r="I33" s="604">
        <f t="shared" si="6"/>
        <v>3701.92</v>
      </c>
      <c r="J33" s="607">
        <f t="shared" si="10"/>
        <v>136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1">
        <f t="shared" si="0"/>
        <v>0</v>
      </c>
      <c r="E34" s="972"/>
      <c r="F34" s="227">
        <f t="shared" si="1"/>
        <v>0</v>
      </c>
      <c r="G34" s="818"/>
      <c r="H34" s="819"/>
      <c r="I34" s="604">
        <f t="shared" si="6"/>
        <v>3701.92</v>
      </c>
      <c r="J34" s="605">
        <f t="shared" si="10"/>
        <v>136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1">
        <f t="shared" si="0"/>
        <v>0</v>
      </c>
      <c r="E35" s="972"/>
      <c r="F35" s="227">
        <f t="shared" si="1"/>
        <v>0</v>
      </c>
      <c r="G35" s="818"/>
      <c r="H35" s="819"/>
      <c r="I35" s="604">
        <f t="shared" si="6"/>
        <v>3701.92</v>
      </c>
      <c r="J35" s="605">
        <f t="shared" si="10"/>
        <v>136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1">
        <f t="shared" si="0"/>
        <v>0</v>
      </c>
      <c r="E36" s="972"/>
      <c r="F36" s="227">
        <f t="shared" si="1"/>
        <v>0</v>
      </c>
      <c r="G36" s="818"/>
      <c r="H36" s="819"/>
      <c r="I36" s="604">
        <f t="shared" si="6"/>
        <v>3701.92</v>
      </c>
      <c r="J36" s="605">
        <f t="shared" si="10"/>
        <v>136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3701.92</v>
      </c>
      <c r="J37" s="605">
        <f t="shared" si="10"/>
        <v>136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3701.92</v>
      </c>
      <c r="J38" s="605">
        <f t="shared" si="10"/>
        <v>136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3701.92</v>
      </c>
      <c r="J39" s="605">
        <f t="shared" si="10"/>
        <v>136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3701.92</v>
      </c>
      <c r="J40" s="605">
        <f t="shared" si="10"/>
        <v>136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3701.92</v>
      </c>
      <c r="J41" s="605">
        <f t="shared" si="10"/>
        <v>136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3701.92</v>
      </c>
      <c r="J42" s="605">
        <f t="shared" si="10"/>
        <v>136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3701.92</v>
      </c>
      <c r="J43" s="605">
        <f t="shared" si="10"/>
        <v>136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3701.92</v>
      </c>
      <c r="J44" s="605">
        <f t="shared" si="10"/>
        <v>136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3701.92</v>
      </c>
      <c r="J45" s="605">
        <f t="shared" si="10"/>
        <v>136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3701.92</v>
      </c>
      <c r="J46" s="605">
        <f t="shared" si="10"/>
        <v>136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3701.92</v>
      </c>
      <c r="J47" s="605">
        <f t="shared" si="10"/>
        <v>136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3701.92</v>
      </c>
      <c r="J48" s="605">
        <f t="shared" si="10"/>
        <v>136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3701.92</v>
      </c>
      <c r="J49" s="605">
        <f t="shared" si="10"/>
        <v>136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3701.92</v>
      </c>
      <c r="J50" s="605">
        <f t="shared" si="10"/>
        <v>136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3701.92</v>
      </c>
      <c r="J51" s="605">
        <f t="shared" si="10"/>
        <v>136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3701.92</v>
      </c>
      <c r="J52" s="605">
        <f t="shared" si="10"/>
        <v>136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3701.92</v>
      </c>
      <c r="J53" s="605">
        <f t="shared" si="10"/>
        <v>136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3701.92</v>
      </c>
      <c r="J54" s="605">
        <f t="shared" si="10"/>
        <v>136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3701.92</v>
      </c>
      <c r="J55" s="605">
        <f t="shared" si="10"/>
        <v>136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3701.92</v>
      </c>
      <c r="J56" s="605">
        <f t="shared" si="10"/>
        <v>136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3701.92</v>
      </c>
      <c r="J57" s="605">
        <f t="shared" si="10"/>
        <v>136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3701.92</v>
      </c>
      <c r="J58" s="605">
        <f t="shared" si="10"/>
        <v>136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3701.92</v>
      </c>
      <c r="J59" s="605">
        <f t="shared" si="10"/>
        <v>136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3701.92</v>
      </c>
      <c r="J60" s="605">
        <f t="shared" si="10"/>
        <v>136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3701.92</v>
      </c>
      <c r="J61" s="605">
        <f t="shared" si="10"/>
        <v>136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3701.92</v>
      </c>
      <c r="J62" s="605">
        <f t="shared" si="10"/>
        <v>136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3701.92</v>
      </c>
      <c r="J63" s="605">
        <f t="shared" si="10"/>
        <v>136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3701.92</v>
      </c>
      <c r="J64" s="605">
        <f t="shared" si="10"/>
        <v>136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3701.92</v>
      </c>
      <c r="J65" s="605">
        <f t="shared" si="10"/>
        <v>136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3701.92</v>
      </c>
      <c r="J66" s="605">
        <f t="shared" si="10"/>
        <v>136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3701.92</v>
      </c>
      <c r="J67" s="605">
        <f t="shared" si="10"/>
        <v>136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3701.92</v>
      </c>
      <c r="J68" s="605">
        <f t="shared" si="10"/>
        <v>136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3701.92</v>
      </c>
      <c r="J69" s="605">
        <f t="shared" si="10"/>
        <v>136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3701.92</v>
      </c>
      <c r="J70" s="607">
        <f t="shared" si="10"/>
        <v>136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3701.92</v>
      </c>
      <c r="J71" s="607">
        <f t="shared" si="10"/>
        <v>136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3701.92</v>
      </c>
      <c r="J72" s="607">
        <f t="shared" si="10"/>
        <v>136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3701.92</v>
      </c>
      <c r="J73" s="607">
        <f t="shared" si="10"/>
        <v>136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3701.92</v>
      </c>
      <c r="J74" s="607">
        <f t="shared" si="10"/>
        <v>136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3701.92</v>
      </c>
      <c r="J75" s="607">
        <f t="shared" si="10"/>
        <v>136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3701.92</v>
      </c>
      <c r="J76" s="605">
        <f t="shared" si="10"/>
        <v>136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3701.92</v>
      </c>
      <c r="J77" s="605">
        <f t="shared" ref="J77:J113" si="20">J76-C77</f>
        <v>136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3701.92</v>
      </c>
      <c r="J78" s="605">
        <f t="shared" si="20"/>
        <v>136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3701.92</v>
      </c>
      <c r="J79" s="605">
        <f t="shared" si="20"/>
        <v>136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3701.92</v>
      </c>
      <c r="J80" s="605">
        <f t="shared" si="20"/>
        <v>136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3701.92</v>
      </c>
      <c r="J81" s="605">
        <f t="shared" si="20"/>
        <v>136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3701.92</v>
      </c>
      <c r="J82" s="605">
        <f t="shared" si="20"/>
        <v>136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3701.92</v>
      </c>
      <c r="J83" s="605">
        <f t="shared" si="20"/>
        <v>136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3701.92</v>
      </c>
      <c r="J84" s="605">
        <f t="shared" si="20"/>
        <v>136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3701.92</v>
      </c>
      <c r="J85" s="605">
        <f t="shared" si="20"/>
        <v>136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3701.92</v>
      </c>
      <c r="J86" s="605">
        <f t="shared" si="20"/>
        <v>136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3701.92</v>
      </c>
      <c r="J87" s="605">
        <f t="shared" si="20"/>
        <v>136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3701.92</v>
      </c>
      <c r="J88" s="605">
        <f t="shared" si="20"/>
        <v>136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3701.92</v>
      </c>
      <c r="J89" s="605">
        <f t="shared" si="20"/>
        <v>136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3701.92</v>
      </c>
      <c r="J90" s="605">
        <f t="shared" si="20"/>
        <v>136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3701.92</v>
      </c>
      <c r="J91" s="605">
        <f t="shared" si="20"/>
        <v>136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3701.92</v>
      </c>
      <c r="J92" s="605">
        <f t="shared" si="20"/>
        <v>136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3701.92</v>
      </c>
      <c r="J93" s="605">
        <f t="shared" si="20"/>
        <v>136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3701.92</v>
      </c>
      <c r="J94" s="605">
        <f t="shared" si="20"/>
        <v>136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3701.92</v>
      </c>
      <c r="J95" s="605">
        <f t="shared" si="20"/>
        <v>136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3701.92</v>
      </c>
      <c r="J96" s="605">
        <f t="shared" si="20"/>
        <v>136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3701.92</v>
      </c>
      <c r="J97" s="605">
        <f t="shared" si="20"/>
        <v>136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3701.92</v>
      </c>
      <c r="J98" s="605">
        <f t="shared" si="20"/>
        <v>136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3701.92</v>
      </c>
      <c r="J99" s="605">
        <f t="shared" si="20"/>
        <v>136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3701.92</v>
      </c>
      <c r="J100" s="605">
        <f t="shared" si="20"/>
        <v>136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3701.92</v>
      </c>
      <c r="J101" s="605">
        <f t="shared" si="20"/>
        <v>136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3701.92</v>
      </c>
      <c r="J102" s="605">
        <f t="shared" si="20"/>
        <v>136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3701.92</v>
      </c>
      <c r="J103" s="605">
        <f t="shared" si="20"/>
        <v>136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3701.92</v>
      </c>
      <c r="J104" s="605">
        <f t="shared" si="20"/>
        <v>136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3701.92</v>
      </c>
      <c r="J105" s="605">
        <f t="shared" si="20"/>
        <v>136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3701.92</v>
      </c>
      <c r="J106" s="605">
        <f t="shared" si="20"/>
        <v>136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3701.92</v>
      </c>
      <c r="J107" s="605">
        <f t="shared" si="20"/>
        <v>136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3701.92</v>
      </c>
      <c r="J108" s="605">
        <f t="shared" si="20"/>
        <v>136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3701.92</v>
      </c>
      <c r="J109" s="605">
        <f t="shared" si="20"/>
        <v>136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3701.92</v>
      </c>
      <c r="J110" s="605">
        <f t="shared" si="20"/>
        <v>136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3701.92</v>
      </c>
      <c r="J111" s="605">
        <f t="shared" si="20"/>
        <v>136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3701.92</v>
      </c>
      <c r="J112" s="605">
        <f t="shared" si="20"/>
        <v>136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3701.92</v>
      </c>
      <c r="J113" s="605">
        <f t="shared" si="20"/>
        <v>136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62" t="s">
        <v>11</v>
      </c>
      <c r="D120" s="1263"/>
      <c r="E120" s="57">
        <f>E4+E5+E6-F115</f>
        <v>3701.9199999999983</v>
      </c>
      <c r="G120" s="47"/>
      <c r="H120" s="91"/>
      <c r="P120" s="1262" t="s">
        <v>11</v>
      </c>
      <c r="Q120" s="1263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0" t="s">
        <v>235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50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50"/>
      <c r="B6" s="889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6">
        <v>30.65</v>
      </c>
      <c r="E28" s="901">
        <v>44751</v>
      </c>
      <c r="F28" s="776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6">
        <v>156.88</v>
      </c>
      <c r="E29" s="901">
        <v>44753</v>
      </c>
      <c r="F29" s="776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6">
        <v>19.149999999999999</v>
      </c>
      <c r="E30" s="901">
        <v>44758</v>
      </c>
      <c r="F30" s="776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6">
        <v>18.05</v>
      </c>
      <c r="E31" s="901">
        <v>44760</v>
      </c>
      <c r="F31" s="776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6">
        <v>35.75</v>
      </c>
      <c r="E32" s="901">
        <v>44764</v>
      </c>
      <c r="F32" s="776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6">
        <v>178.49</v>
      </c>
      <c r="E33" s="901">
        <v>44764</v>
      </c>
      <c r="F33" s="776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6">
        <v>52.4</v>
      </c>
      <c r="E34" s="901">
        <v>44769</v>
      </c>
      <c r="F34" s="776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6">
        <v>36.94</v>
      </c>
      <c r="E35" s="901">
        <v>44770</v>
      </c>
      <c r="F35" s="776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6"/>
      <c r="E36" s="901"/>
      <c r="F36" s="776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6"/>
      <c r="E37" s="901"/>
      <c r="F37" s="776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6"/>
      <c r="E38" s="901"/>
      <c r="F38" s="776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6"/>
      <c r="E39" s="901"/>
      <c r="F39" s="776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6"/>
      <c r="E40" s="901"/>
      <c r="F40" s="776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62" t="s">
        <v>11</v>
      </c>
      <c r="D47" s="1263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50"/>
      <c r="B5" s="1286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50"/>
      <c r="B6" s="1286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0" t="s">
        <v>236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50" t="s">
        <v>52</v>
      </c>
      <c r="B4" s="1287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50"/>
      <c r="B5" s="1288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4"/>
      <c r="B6" s="1288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4"/>
      <c r="B7" s="889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4"/>
      <c r="B8" s="889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6">
        <v>112.34</v>
      </c>
      <c r="E23" s="901">
        <v>44746</v>
      </c>
      <c r="F23" s="776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6">
        <v>100.03</v>
      </c>
      <c r="E24" s="901">
        <v>44746</v>
      </c>
      <c r="F24" s="776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6">
        <v>41.19</v>
      </c>
      <c r="E25" s="901">
        <v>44746</v>
      </c>
      <c r="F25" s="776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6"/>
      <c r="E26" s="901"/>
      <c r="F26" s="1108">
        <f t="shared" si="0"/>
        <v>0</v>
      </c>
      <c r="G26" s="1109"/>
      <c r="H26" s="1110"/>
      <c r="I26" s="1111">
        <f t="shared" si="2"/>
        <v>-1.8500000000011596</v>
      </c>
    </row>
    <row r="27" spans="2:9" x14ac:dyDescent="0.25">
      <c r="B27" s="195">
        <f t="shared" si="1"/>
        <v>0</v>
      </c>
      <c r="C27" s="15"/>
      <c r="D27" s="776"/>
      <c r="E27" s="901"/>
      <c r="F27" s="1108">
        <f t="shared" si="0"/>
        <v>0</v>
      </c>
      <c r="G27" s="1109"/>
      <c r="H27" s="1110"/>
      <c r="I27" s="1111">
        <f t="shared" si="2"/>
        <v>-1.8500000000011596</v>
      </c>
    </row>
    <row r="28" spans="2:9" x14ac:dyDescent="0.25">
      <c r="B28" s="195">
        <f t="shared" si="1"/>
        <v>0</v>
      </c>
      <c r="C28" s="15"/>
      <c r="D28" s="776"/>
      <c r="E28" s="901"/>
      <c r="F28" s="1108">
        <f t="shared" si="0"/>
        <v>0</v>
      </c>
      <c r="G28" s="1109"/>
      <c r="H28" s="1110"/>
      <c r="I28" s="1111">
        <f t="shared" si="2"/>
        <v>-1.8500000000011596</v>
      </c>
    </row>
    <row r="29" spans="2:9" x14ac:dyDescent="0.25">
      <c r="B29" s="195">
        <f t="shared" si="1"/>
        <v>0</v>
      </c>
      <c r="C29" s="15"/>
      <c r="D29" s="776"/>
      <c r="E29" s="901"/>
      <c r="F29" s="1108">
        <f t="shared" si="0"/>
        <v>0</v>
      </c>
      <c r="G29" s="1109"/>
      <c r="H29" s="1110"/>
      <c r="I29" s="1111">
        <f t="shared" si="2"/>
        <v>-1.8500000000011596</v>
      </c>
    </row>
    <row r="30" spans="2:9" x14ac:dyDescent="0.25">
      <c r="B30" s="195">
        <f t="shared" si="1"/>
        <v>0</v>
      </c>
      <c r="C30" s="15"/>
      <c r="D30" s="776"/>
      <c r="E30" s="901"/>
      <c r="F30" s="776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6"/>
      <c r="E31" s="901"/>
      <c r="F31" s="776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6"/>
      <c r="E32" s="901"/>
      <c r="F32" s="776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6"/>
      <c r="E33" s="901"/>
      <c r="F33" s="776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6"/>
      <c r="E34" s="901"/>
      <c r="F34" s="776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6"/>
      <c r="E35" s="901"/>
      <c r="F35" s="776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6"/>
      <c r="E36" s="901"/>
      <c r="F36" s="776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6"/>
      <c r="E37" s="901"/>
      <c r="F37" s="776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0"/>
      <c r="F38" s="227">
        <f t="shared" si="0"/>
        <v>0</v>
      </c>
      <c r="G38" s="818"/>
      <c r="H38" s="819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0"/>
      <c r="F39" s="227">
        <f t="shared" si="0"/>
        <v>0</v>
      </c>
      <c r="G39" s="818"/>
      <c r="H39" s="819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0"/>
      <c r="F40" s="227">
        <f t="shared" si="0"/>
        <v>0</v>
      </c>
      <c r="G40" s="818"/>
      <c r="H40" s="819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0"/>
      <c r="F41" s="227">
        <f t="shared" si="0"/>
        <v>0</v>
      </c>
      <c r="G41" s="818"/>
      <c r="H41" s="819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0"/>
      <c r="F42" s="227">
        <f t="shared" si="0"/>
        <v>0</v>
      </c>
      <c r="G42" s="818"/>
      <c r="H42" s="819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0"/>
      <c r="F43" s="227">
        <f t="shared" si="0"/>
        <v>0</v>
      </c>
      <c r="G43" s="818"/>
      <c r="H43" s="819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0"/>
      <c r="F44" s="227">
        <f t="shared" si="0"/>
        <v>0</v>
      </c>
      <c r="G44" s="818"/>
      <c r="H44" s="819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0"/>
      <c r="F45" s="227">
        <f t="shared" si="0"/>
        <v>0</v>
      </c>
      <c r="G45" s="818"/>
      <c r="H45" s="819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0"/>
      <c r="F46" s="227">
        <f t="shared" si="0"/>
        <v>0</v>
      </c>
      <c r="G46" s="818"/>
      <c r="H46" s="819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0"/>
      <c r="F47" s="227">
        <f t="shared" si="0"/>
        <v>0</v>
      </c>
      <c r="G47" s="818"/>
      <c r="H47" s="819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0"/>
      <c r="F48" s="227">
        <f t="shared" si="0"/>
        <v>0</v>
      </c>
      <c r="G48" s="818"/>
      <c r="H48" s="819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0"/>
      <c r="F49" s="227">
        <f t="shared" si="0"/>
        <v>0</v>
      </c>
      <c r="G49" s="818"/>
      <c r="H49" s="819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0"/>
      <c r="F50" s="227">
        <f t="shared" si="0"/>
        <v>0</v>
      </c>
      <c r="G50" s="818"/>
      <c r="H50" s="819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0"/>
      <c r="F51" s="227">
        <f t="shared" si="0"/>
        <v>0</v>
      </c>
      <c r="G51" s="818"/>
      <c r="H51" s="819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0"/>
      <c r="F52" s="227">
        <f t="shared" si="0"/>
        <v>0</v>
      </c>
      <c r="G52" s="818"/>
      <c r="H52" s="819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62" t="s">
        <v>11</v>
      </c>
      <c r="D61" s="1263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89"/>
      <c r="B5" s="1291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90"/>
      <c r="B6" s="1292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3" t="s">
        <v>11</v>
      </c>
      <c r="D56" s="129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0" t="s">
        <v>223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61" t="s">
        <v>110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109</v>
      </c>
      <c r="B6" s="1261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172"/>
      <c r="E13" s="1173"/>
      <c r="F13" s="1172">
        <f t="shared" ref="F13:F73" si="3">D13</f>
        <v>0</v>
      </c>
      <c r="G13" s="1174"/>
      <c r="H13" s="1127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172"/>
      <c r="E14" s="1173"/>
      <c r="F14" s="1172">
        <f t="shared" si="3"/>
        <v>0</v>
      </c>
      <c r="G14" s="1174"/>
      <c r="H14" s="1127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172"/>
      <c r="E15" s="1173"/>
      <c r="F15" s="1172">
        <f t="shared" si="3"/>
        <v>0</v>
      </c>
      <c r="G15" s="1174"/>
      <c r="H15" s="1127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172"/>
      <c r="E16" s="1173"/>
      <c r="F16" s="1172">
        <f t="shared" si="3"/>
        <v>0</v>
      </c>
      <c r="G16" s="1174"/>
      <c r="H16" s="1127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172"/>
      <c r="E17" s="1173"/>
      <c r="F17" s="1172">
        <f t="shared" si="3"/>
        <v>0</v>
      </c>
      <c r="G17" s="1174"/>
      <c r="H17" s="1127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9"/>
      <c r="B1" s="1249"/>
      <c r="C1" s="1249"/>
      <c r="D1" s="1249"/>
      <c r="E1" s="1249"/>
      <c r="F1" s="1249"/>
      <c r="G1" s="124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95"/>
      <c r="C4" s="443"/>
      <c r="D4" s="260"/>
      <c r="E4" s="329"/>
      <c r="F4" s="306"/>
      <c r="G4" s="240"/>
    </row>
    <row r="5" spans="1:10" ht="15" customHeight="1" x14ac:dyDescent="0.25">
      <c r="A5" s="1289"/>
      <c r="B5" s="1296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90"/>
      <c r="B6" s="1297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3" t="s">
        <v>11</v>
      </c>
      <c r="D55" s="129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0" t="s">
        <v>237</v>
      </c>
      <c r="B1" s="1260"/>
      <c r="C1" s="1260"/>
      <c r="D1" s="1260"/>
      <c r="E1" s="1260"/>
      <c r="F1" s="1260"/>
      <c r="G1" s="1260"/>
      <c r="H1" s="11">
        <v>1</v>
      </c>
      <c r="I1" s="132"/>
      <c r="J1" s="73"/>
      <c r="M1" s="1264" t="s">
        <v>272</v>
      </c>
      <c r="N1" s="1264"/>
      <c r="O1" s="1264"/>
      <c r="P1" s="1264"/>
      <c r="Q1" s="1264"/>
      <c r="R1" s="1264"/>
      <c r="S1" s="126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98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98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98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98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65"/>
      <c r="D7" s="1166" t="s">
        <v>603</v>
      </c>
      <c r="E7" s="1167">
        <v>4.54</v>
      </c>
      <c r="F7" s="1168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1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21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3">
        <v>44746</v>
      </c>
      <c r="F47" s="227">
        <f t="shared" si="10"/>
        <v>4.54</v>
      </c>
      <c r="G47" s="818" t="s">
        <v>423</v>
      </c>
      <c r="H47" s="819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3">
        <v>44746</v>
      </c>
      <c r="F48" s="227">
        <f t="shared" si="10"/>
        <v>36.32</v>
      </c>
      <c r="G48" s="818" t="s">
        <v>425</v>
      </c>
      <c r="H48" s="819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3">
        <v>44747</v>
      </c>
      <c r="F49" s="227">
        <f t="shared" si="10"/>
        <v>45.4</v>
      </c>
      <c r="G49" s="818" t="s">
        <v>433</v>
      </c>
      <c r="H49" s="819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3">
        <v>44747</v>
      </c>
      <c r="F50" s="227">
        <f t="shared" si="10"/>
        <v>113.5</v>
      </c>
      <c r="G50" s="818" t="s">
        <v>434</v>
      </c>
      <c r="H50" s="819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3">
        <v>44748</v>
      </c>
      <c r="F51" s="227">
        <f t="shared" si="10"/>
        <v>90.8</v>
      </c>
      <c r="G51" s="818" t="s">
        <v>438</v>
      </c>
      <c r="H51" s="819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3">
        <v>44749</v>
      </c>
      <c r="F52" s="227">
        <f t="shared" si="10"/>
        <v>45.4</v>
      </c>
      <c r="G52" s="818" t="s">
        <v>444</v>
      </c>
      <c r="H52" s="819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3">
        <v>44749</v>
      </c>
      <c r="F53" s="227">
        <f t="shared" si="10"/>
        <v>36.32</v>
      </c>
      <c r="G53" s="818" t="s">
        <v>447</v>
      </c>
      <c r="H53" s="819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3">
        <v>44749</v>
      </c>
      <c r="F54" s="227">
        <f t="shared" si="10"/>
        <v>68.099999999999994</v>
      </c>
      <c r="G54" s="818" t="s">
        <v>455</v>
      </c>
      <c r="H54" s="819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3"/>
      <c r="F55" s="227">
        <f t="shared" si="10"/>
        <v>0</v>
      </c>
      <c r="G55" s="818"/>
      <c r="H55" s="819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3"/>
      <c r="F56" s="227">
        <f t="shared" si="10"/>
        <v>0</v>
      </c>
      <c r="G56" s="1109"/>
      <c r="H56" s="1110"/>
      <c r="I56" s="1119">
        <f t="shared" si="6"/>
        <v>136.20000000000152</v>
      </c>
      <c r="J56" s="1120">
        <f t="shared" si="7"/>
        <v>30</v>
      </c>
      <c r="K56" s="1121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3"/>
      <c r="F57" s="227">
        <f t="shared" si="10"/>
        <v>136.19999999999999</v>
      </c>
      <c r="G57" s="1109"/>
      <c r="H57" s="1110"/>
      <c r="I57" s="1119">
        <f t="shared" si="6"/>
        <v>1.5347723092418164E-12</v>
      </c>
      <c r="J57" s="1120">
        <f t="shared" si="7"/>
        <v>0</v>
      </c>
      <c r="K57" s="1121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3"/>
      <c r="F58" s="227">
        <f t="shared" si="10"/>
        <v>0</v>
      </c>
      <c r="G58" s="1109"/>
      <c r="H58" s="1110"/>
      <c r="I58" s="1119">
        <f t="shared" si="6"/>
        <v>1.5347723092418164E-12</v>
      </c>
      <c r="J58" s="1120">
        <f t="shared" si="7"/>
        <v>0</v>
      </c>
      <c r="K58" s="1121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22"/>
      <c r="H59" s="1123"/>
      <c r="I59" s="1119">
        <f t="shared" si="6"/>
        <v>1.5347723092418164E-12</v>
      </c>
      <c r="J59" s="1120">
        <f t="shared" si="7"/>
        <v>0</v>
      </c>
      <c r="K59" s="1121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22"/>
      <c r="H60" s="1123"/>
      <c r="I60" s="1119">
        <f t="shared" si="6"/>
        <v>1.5347723092418164E-12</v>
      </c>
      <c r="J60" s="1120">
        <f t="shared" si="7"/>
        <v>0</v>
      </c>
      <c r="K60" s="1121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22"/>
      <c r="H61" s="1123"/>
      <c r="I61" s="1119">
        <f t="shared" si="6"/>
        <v>1.5347723092418164E-12</v>
      </c>
      <c r="J61" s="1120">
        <f t="shared" si="7"/>
        <v>0</v>
      </c>
      <c r="K61" s="1121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99" t="s">
        <v>19</v>
      </c>
      <c r="D112" s="1300"/>
      <c r="E112" s="39">
        <f>E4+E5-F109+E6+E7</f>
        <v>-4.1833203567875898E-13</v>
      </c>
      <c r="F112" s="6"/>
      <c r="G112" s="6"/>
      <c r="H112" s="17"/>
      <c r="I112" s="132"/>
      <c r="J112" s="73"/>
      <c r="O112" s="1299" t="s">
        <v>19</v>
      </c>
      <c r="P112" s="1300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77" t="s">
        <v>52</v>
      </c>
      <c r="B5" s="1301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4">
        <f>F31</f>
        <v>1364.86</v>
      </c>
      <c r="H5" s="138">
        <f>E4+E5-G5+E6+E7</f>
        <v>3683.8200000000006</v>
      </c>
    </row>
    <row r="6" spans="1:9" ht="15.75" thickBot="1" x14ac:dyDescent="0.3">
      <c r="A6" s="1277"/>
      <c r="B6" s="1301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30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1303"/>
    </row>
    <row r="9" spans="1:9" ht="15.75" thickTop="1" x14ac:dyDescent="0.25">
      <c r="A9" s="73"/>
      <c r="B9" s="861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61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61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61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61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61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61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61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61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61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61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61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61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61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61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61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61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61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61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61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61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61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9" t="s">
        <v>19</v>
      </c>
      <c r="D34" s="130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60" t="s">
        <v>230</v>
      </c>
      <c r="B1" s="1260"/>
      <c r="C1" s="1260"/>
      <c r="D1" s="1260"/>
      <c r="E1" s="1260"/>
      <c r="F1" s="1260"/>
      <c r="G1" s="1260"/>
      <c r="H1" s="11">
        <v>1</v>
      </c>
      <c r="K1" s="1260" t="str">
        <f>A1</f>
        <v>INVENTARIO    DEL MES DE    JUNIO    2022</v>
      </c>
      <c r="L1" s="1260"/>
      <c r="M1" s="1260"/>
      <c r="N1" s="1260"/>
      <c r="O1" s="1260"/>
      <c r="P1" s="1260"/>
      <c r="Q1" s="1260"/>
      <c r="R1" s="11">
        <v>2</v>
      </c>
      <c r="U1" s="1264" t="s">
        <v>272</v>
      </c>
      <c r="V1" s="1264"/>
      <c r="W1" s="1264"/>
      <c r="X1" s="1264"/>
      <c r="Y1" s="1264"/>
      <c r="Z1" s="1264"/>
      <c r="AA1" s="1264"/>
      <c r="AB1" s="11">
        <v>3</v>
      </c>
      <c r="AE1" s="1264" t="s">
        <v>272</v>
      </c>
      <c r="AF1" s="1264"/>
      <c r="AG1" s="1264"/>
      <c r="AH1" s="1264"/>
      <c r="AI1" s="1264"/>
      <c r="AJ1" s="1264"/>
      <c r="AK1" s="1264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3"/>
      <c r="N4" s="248"/>
      <c r="O4" s="257"/>
      <c r="P4" s="253"/>
      <c r="Q4" s="160"/>
      <c r="R4" s="160"/>
      <c r="U4" s="12"/>
      <c r="V4" s="12"/>
      <c r="W4" s="883"/>
      <c r="X4" s="248"/>
      <c r="Y4" s="257">
        <v>20</v>
      </c>
      <c r="Z4" s="253">
        <v>2</v>
      </c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5" t="s">
        <v>65</v>
      </c>
      <c r="B5" s="1304" t="s">
        <v>70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5" t="s">
        <v>65</v>
      </c>
      <c r="L5" s="1305" t="s">
        <v>69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85" t="s">
        <v>65</v>
      </c>
      <c r="V5" s="1305" t="s">
        <v>69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35" t="s">
        <v>65</v>
      </c>
      <c r="AF5" s="1304" t="s">
        <v>70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304"/>
      <c r="C6" s="12"/>
      <c r="D6" s="12"/>
      <c r="E6" s="847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306"/>
      <c r="M6" s="534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306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304"/>
      <c r="AG6" s="12"/>
      <c r="AH6" s="12"/>
      <c r="AI6" s="847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6">
        <v>20</v>
      </c>
      <c r="E10" s="777">
        <v>44714</v>
      </c>
      <c r="F10" s="776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6">
        <v>10</v>
      </c>
      <c r="E11" s="777">
        <v>44721</v>
      </c>
      <c r="F11" s="776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6">
        <v>10</v>
      </c>
      <c r="E12" s="777">
        <v>44729</v>
      </c>
      <c r="F12" s="776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6">
        <v>10</v>
      </c>
      <c r="E13" s="777">
        <v>44730</v>
      </c>
      <c r="F13" s="776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6">
        <v>20</v>
      </c>
      <c r="E14" s="777">
        <v>44734</v>
      </c>
      <c r="F14" s="776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6">
        <v>10</v>
      </c>
      <c r="O14" s="777">
        <v>44746</v>
      </c>
      <c r="P14" s="776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6">
        <v>10</v>
      </c>
      <c r="E15" s="777">
        <v>44736</v>
      </c>
      <c r="F15" s="776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6">
        <v>10</v>
      </c>
      <c r="O15" s="777">
        <v>44748</v>
      </c>
      <c r="P15" s="776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5">
        <v>44746</v>
      </c>
      <c r="F16" s="326">
        <f t="shared" si="1"/>
        <v>10</v>
      </c>
      <c r="G16" s="896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6">
        <v>10</v>
      </c>
      <c r="O16" s="777">
        <v>44757</v>
      </c>
      <c r="P16" s="776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5">
        <v>44748</v>
      </c>
      <c r="F17" s="326">
        <f t="shared" si="1"/>
        <v>10</v>
      </c>
      <c r="G17" s="896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6">
        <v>10</v>
      </c>
      <c r="O17" s="777">
        <v>44758</v>
      </c>
      <c r="P17" s="776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5">
        <v>44757</v>
      </c>
      <c r="F18" s="326">
        <f t="shared" si="1"/>
        <v>10</v>
      </c>
      <c r="G18" s="896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6">
        <v>10</v>
      </c>
      <c r="O18" s="777">
        <v>44761</v>
      </c>
      <c r="P18" s="776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5">
        <v>44761</v>
      </c>
      <c r="F19" s="326">
        <f t="shared" si="1"/>
        <v>10</v>
      </c>
      <c r="G19" s="896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6">
        <v>10</v>
      </c>
      <c r="O19" s="777">
        <v>44764</v>
      </c>
      <c r="P19" s="776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5">
        <v>44768</v>
      </c>
      <c r="F20" s="326">
        <f t="shared" si="1"/>
        <v>70</v>
      </c>
      <c r="G20" s="896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6"/>
      <c r="O20" s="777"/>
      <c r="P20" s="1108">
        <f t="shared" si="10"/>
        <v>0</v>
      </c>
      <c r="Q20" s="1109"/>
      <c r="R20" s="1110"/>
      <c r="S20" s="1118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5"/>
      <c r="F21" s="1150">
        <f t="shared" si="1"/>
        <v>0</v>
      </c>
      <c r="G21" s="1151"/>
      <c r="H21" s="1121"/>
      <c r="I21" s="1118">
        <f t="shared" si="2"/>
        <v>90</v>
      </c>
      <c r="K21" s="122"/>
      <c r="L21" s="83">
        <f t="shared" si="3"/>
        <v>2</v>
      </c>
      <c r="M21" s="15"/>
      <c r="N21" s="776"/>
      <c r="O21" s="777"/>
      <c r="P21" s="1108">
        <f t="shared" si="10"/>
        <v>0</v>
      </c>
      <c r="Q21" s="1109"/>
      <c r="R21" s="1110"/>
      <c r="S21" s="1118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5"/>
      <c r="F22" s="1150">
        <f t="shared" si="1"/>
        <v>0</v>
      </c>
      <c r="G22" s="1151"/>
      <c r="H22" s="1121"/>
      <c r="I22" s="1118">
        <f t="shared" si="2"/>
        <v>90</v>
      </c>
      <c r="K22" s="122"/>
      <c r="L22" s="279">
        <f t="shared" si="3"/>
        <v>0</v>
      </c>
      <c r="M22" s="15">
        <v>2</v>
      </c>
      <c r="N22" s="776"/>
      <c r="O22" s="777"/>
      <c r="P22" s="1108">
        <v>20</v>
      </c>
      <c r="Q22" s="1109"/>
      <c r="R22" s="1110"/>
      <c r="S22" s="1118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5"/>
      <c r="F23" s="1150">
        <v>90</v>
      </c>
      <c r="G23" s="1151"/>
      <c r="H23" s="1121"/>
      <c r="I23" s="1118">
        <f t="shared" si="2"/>
        <v>0</v>
      </c>
      <c r="K23" s="123"/>
      <c r="L23" s="279">
        <f t="shared" si="3"/>
        <v>0</v>
      </c>
      <c r="M23" s="15"/>
      <c r="N23" s="776"/>
      <c r="O23" s="777"/>
      <c r="P23" s="1108">
        <f t="shared" si="10"/>
        <v>0</v>
      </c>
      <c r="Q23" s="1109"/>
      <c r="R23" s="1110"/>
      <c r="S23" s="1118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5"/>
      <c r="F24" s="1150">
        <f t="shared" si="1"/>
        <v>0</v>
      </c>
      <c r="G24" s="1151"/>
      <c r="H24" s="1121"/>
      <c r="I24" s="1118">
        <f t="shared" si="2"/>
        <v>0</v>
      </c>
      <c r="K24" s="122"/>
      <c r="L24" s="279">
        <f t="shared" si="3"/>
        <v>0</v>
      </c>
      <c r="M24" s="15"/>
      <c r="N24" s="262"/>
      <c r="O24" s="288"/>
      <c r="P24" s="1149">
        <f t="shared" si="10"/>
        <v>0</v>
      </c>
      <c r="Q24" s="1122"/>
      <c r="R24" s="1123"/>
      <c r="S24" s="1118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5"/>
      <c r="F25" s="326">
        <f t="shared" si="1"/>
        <v>0</v>
      </c>
      <c r="G25" s="896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5"/>
      <c r="F26" s="326">
        <f t="shared" si="1"/>
        <v>0</v>
      </c>
      <c r="G26" s="896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5"/>
      <c r="F27" s="326">
        <f t="shared" si="1"/>
        <v>0</v>
      </c>
      <c r="G27" s="896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5"/>
      <c r="F28" s="326">
        <f t="shared" si="1"/>
        <v>0</v>
      </c>
      <c r="G28" s="896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5"/>
      <c r="F29" s="326">
        <f t="shared" si="1"/>
        <v>0</v>
      </c>
      <c r="G29" s="896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7"/>
      <c r="AI29" s="1038"/>
      <c r="AJ29" s="1037">
        <f t="shared" si="6"/>
        <v>0</v>
      </c>
      <c r="AK29" s="1039"/>
      <c r="AL29" s="1040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5"/>
      <c r="F30" s="326">
        <f t="shared" si="1"/>
        <v>0</v>
      </c>
      <c r="G30" s="896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7"/>
      <c r="AI30" s="1038"/>
      <c r="AJ30" s="1037">
        <f t="shared" si="6"/>
        <v>0</v>
      </c>
      <c r="AK30" s="1039"/>
      <c r="AL30" s="1040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5"/>
      <c r="F31" s="326">
        <f t="shared" si="1"/>
        <v>0</v>
      </c>
      <c r="G31" s="896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7"/>
      <c r="AI31" s="1038"/>
      <c r="AJ31" s="1037">
        <f t="shared" si="6"/>
        <v>0</v>
      </c>
      <c r="AK31" s="1039"/>
      <c r="AL31" s="1040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5"/>
      <c r="F32" s="326">
        <f t="shared" si="1"/>
        <v>0</v>
      </c>
      <c r="G32" s="896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7"/>
      <c r="AI32" s="1038"/>
      <c r="AJ32" s="1037">
        <f t="shared" si="6"/>
        <v>0</v>
      </c>
      <c r="AK32" s="1039"/>
      <c r="AL32" s="1040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7"/>
      <c r="AI33" s="1038"/>
      <c r="AJ33" s="1037">
        <f t="shared" si="6"/>
        <v>0</v>
      </c>
      <c r="AK33" s="1039"/>
      <c r="AL33" s="1040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7"/>
      <c r="AI34" s="1038"/>
      <c r="AJ34" s="1037">
        <f t="shared" si="6"/>
        <v>0</v>
      </c>
      <c r="AK34" s="1039"/>
      <c r="AL34" s="1040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7"/>
      <c r="AI35" s="1038"/>
      <c r="AJ35" s="1037">
        <f t="shared" si="6"/>
        <v>0</v>
      </c>
      <c r="AK35" s="1039"/>
      <c r="AL35" s="1040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7"/>
      <c r="AI36" s="1038"/>
      <c r="AJ36" s="1037">
        <f t="shared" si="6"/>
        <v>0</v>
      </c>
      <c r="AK36" s="1039"/>
      <c r="AL36" s="1040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7"/>
      <c r="AI37" s="1038"/>
      <c r="AJ37" s="1037">
        <f t="shared" si="6"/>
        <v>0</v>
      </c>
      <c r="AK37" s="1039"/>
      <c r="AL37" s="1040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7"/>
      <c r="AI38" s="1038"/>
      <c r="AJ38" s="1037">
        <f t="shared" si="6"/>
        <v>0</v>
      </c>
      <c r="AK38" s="1039"/>
      <c r="AL38" s="1040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7"/>
      <c r="AI39" s="1038"/>
      <c r="AJ39" s="1037">
        <f t="shared" si="6"/>
        <v>0</v>
      </c>
      <c r="AK39" s="1039"/>
      <c r="AL39" s="1040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62" t="s">
        <v>11</v>
      </c>
      <c r="D83" s="1263"/>
      <c r="E83" s="57">
        <f>E5+E6-F78+E7</f>
        <v>0</v>
      </c>
      <c r="F83" s="73"/>
      <c r="M83" s="1262" t="s">
        <v>11</v>
      </c>
      <c r="N83" s="1263"/>
      <c r="O83" s="57">
        <f>O5+O6-P78+O7</f>
        <v>0</v>
      </c>
      <c r="P83" s="73"/>
      <c r="W83" s="1262" t="s">
        <v>11</v>
      </c>
      <c r="X83" s="1263"/>
      <c r="Y83" s="57">
        <f>Y5+Y6-Z78+Y7</f>
        <v>140</v>
      </c>
      <c r="Z83" s="73"/>
      <c r="AG83" s="1262" t="s">
        <v>11</v>
      </c>
      <c r="AH83" s="1263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77"/>
      <c r="B5" s="1270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77"/>
      <c r="B6" s="1270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939" t="s">
        <v>216</v>
      </c>
    </row>
    <row r="9" spans="1:9" ht="15.75" thickTop="1" x14ac:dyDescent="0.25">
      <c r="A9" s="73"/>
      <c r="B9" s="861"/>
      <c r="C9" s="261">
        <v>1</v>
      </c>
      <c r="D9" s="92"/>
      <c r="E9" s="208"/>
      <c r="F9" s="262"/>
      <c r="G9" s="263"/>
      <c r="H9" s="264"/>
      <c r="I9" s="940">
        <f>H9*F9</f>
        <v>0</v>
      </c>
    </row>
    <row r="10" spans="1:9" x14ac:dyDescent="0.25">
      <c r="B10" s="861"/>
      <c r="C10" s="15">
        <v>2</v>
      </c>
      <c r="D10" s="92"/>
      <c r="E10" s="208"/>
      <c r="F10" s="277"/>
      <c r="G10" s="263"/>
      <c r="H10" s="264"/>
      <c r="I10" s="941">
        <f t="shared" ref="I10:I30" si="0">H10*F10</f>
        <v>0</v>
      </c>
    </row>
    <row r="11" spans="1:9" x14ac:dyDescent="0.25">
      <c r="A11" s="55" t="s">
        <v>32</v>
      </c>
      <c r="B11" s="861"/>
      <c r="C11" s="261">
        <v>3</v>
      </c>
      <c r="D11" s="92"/>
      <c r="E11" s="208"/>
      <c r="F11" s="277"/>
      <c r="G11" s="263"/>
      <c r="H11" s="264"/>
      <c r="I11" s="941">
        <f t="shared" si="0"/>
        <v>0</v>
      </c>
    </row>
    <row r="12" spans="1:9" x14ac:dyDescent="0.25">
      <c r="A12" s="85"/>
      <c r="B12" s="861"/>
      <c r="C12" s="15">
        <v>4</v>
      </c>
      <c r="D12" s="92"/>
      <c r="E12" s="208"/>
      <c r="F12" s="277"/>
      <c r="G12" s="263"/>
      <c r="H12" s="264"/>
      <c r="I12" s="941">
        <f t="shared" si="0"/>
        <v>0</v>
      </c>
    </row>
    <row r="13" spans="1:9" x14ac:dyDescent="0.25">
      <c r="B13" s="861"/>
      <c r="C13" s="261">
        <v>5</v>
      </c>
      <c r="D13" s="92"/>
      <c r="E13" s="208"/>
      <c r="F13" s="277"/>
      <c r="G13" s="263"/>
      <c r="H13" s="264"/>
      <c r="I13" s="941">
        <f t="shared" si="0"/>
        <v>0</v>
      </c>
    </row>
    <row r="14" spans="1:9" x14ac:dyDescent="0.25">
      <c r="A14" s="55" t="s">
        <v>33</v>
      </c>
      <c r="B14" s="861"/>
      <c r="C14" s="15">
        <v>6</v>
      </c>
      <c r="D14" s="92"/>
      <c r="E14" s="208"/>
      <c r="F14" s="277"/>
      <c r="G14" s="263"/>
      <c r="H14" s="264"/>
      <c r="I14" s="941">
        <f t="shared" si="0"/>
        <v>0</v>
      </c>
    </row>
    <row r="15" spans="1:9" x14ac:dyDescent="0.25">
      <c r="B15" s="861"/>
      <c r="C15" s="261">
        <v>7</v>
      </c>
      <c r="D15" s="92"/>
      <c r="E15" s="208"/>
      <c r="F15" s="277"/>
      <c r="G15" s="263"/>
      <c r="H15" s="264"/>
      <c r="I15" s="941">
        <f t="shared" si="0"/>
        <v>0</v>
      </c>
    </row>
    <row r="16" spans="1:9" x14ac:dyDescent="0.25">
      <c r="B16" s="861"/>
      <c r="C16" s="15">
        <v>8</v>
      </c>
      <c r="D16" s="92"/>
      <c r="E16" s="208"/>
      <c r="F16" s="277"/>
      <c r="G16" s="263"/>
      <c r="H16" s="264"/>
      <c r="I16" s="941">
        <f t="shared" si="0"/>
        <v>0</v>
      </c>
    </row>
    <row r="17" spans="2:9" x14ac:dyDescent="0.25">
      <c r="B17" s="861"/>
      <c r="C17" s="261">
        <v>9</v>
      </c>
      <c r="D17" s="92"/>
      <c r="E17" s="208"/>
      <c r="F17" s="277"/>
      <c r="G17" s="263"/>
      <c r="H17" s="264"/>
      <c r="I17" s="941">
        <f t="shared" si="0"/>
        <v>0</v>
      </c>
    </row>
    <row r="18" spans="2:9" x14ac:dyDescent="0.25">
      <c r="B18" s="861"/>
      <c r="C18" s="15">
        <v>10</v>
      </c>
      <c r="D18" s="92"/>
      <c r="E18" s="208"/>
      <c r="F18" s="277"/>
      <c r="G18" s="263"/>
      <c r="H18" s="264"/>
      <c r="I18" s="941">
        <f t="shared" si="0"/>
        <v>0</v>
      </c>
    </row>
    <row r="19" spans="2:9" x14ac:dyDescent="0.25">
      <c r="B19" s="861"/>
      <c r="C19" s="261">
        <v>11</v>
      </c>
      <c r="D19" s="92"/>
      <c r="E19" s="208"/>
      <c r="F19" s="277"/>
      <c r="G19" s="263"/>
      <c r="H19" s="264"/>
      <c r="I19" s="941">
        <f t="shared" si="0"/>
        <v>0</v>
      </c>
    </row>
    <row r="20" spans="2:9" x14ac:dyDescent="0.25">
      <c r="B20" s="861"/>
      <c r="C20" s="15">
        <v>12</v>
      </c>
      <c r="D20" s="92"/>
      <c r="E20" s="208"/>
      <c r="F20" s="277"/>
      <c r="G20" s="263"/>
      <c r="H20" s="264"/>
      <c r="I20" s="941">
        <f t="shared" si="0"/>
        <v>0</v>
      </c>
    </row>
    <row r="21" spans="2:9" x14ac:dyDescent="0.25">
      <c r="B21" s="861"/>
      <c r="C21" s="261">
        <v>13</v>
      </c>
      <c r="D21" s="92"/>
      <c r="E21" s="208"/>
      <c r="F21" s="277"/>
      <c r="G21" s="263"/>
      <c r="H21" s="264"/>
      <c r="I21" s="941">
        <f t="shared" si="0"/>
        <v>0</v>
      </c>
    </row>
    <row r="22" spans="2:9" x14ac:dyDescent="0.25">
      <c r="B22" s="861"/>
      <c r="C22" s="15">
        <v>14</v>
      </c>
      <c r="D22" s="92"/>
      <c r="E22" s="208"/>
      <c r="F22" s="277"/>
      <c r="G22" s="263"/>
      <c r="H22" s="264"/>
      <c r="I22" s="941">
        <f t="shared" si="0"/>
        <v>0</v>
      </c>
    </row>
    <row r="23" spans="2:9" x14ac:dyDescent="0.25">
      <c r="B23" s="861"/>
      <c r="C23" s="261">
        <v>15</v>
      </c>
      <c r="D23" s="92"/>
      <c r="E23" s="208"/>
      <c r="F23" s="277"/>
      <c r="G23" s="263"/>
      <c r="H23" s="264"/>
      <c r="I23" s="941">
        <f t="shared" si="0"/>
        <v>0</v>
      </c>
    </row>
    <row r="24" spans="2:9" x14ac:dyDescent="0.25">
      <c r="B24" s="861"/>
      <c r="C24" s="15">
        <v>16</v>
      </c>
      <c r="D24" s="92"/>
      <c r="E24" s="208"/>
      <c r="F24" s="277"/>
      <c r="G24" s="263"/>
      <c r="H24" s="264"/>
      <c r="I24" s="941">
        <f t="shared" si="0"/>
        <v>0</v>
      </c>
    </row>
    <row r="25" spans="2:9" x14ac:dyDescent="0.25">
      <c r="B25" s="861"/>
      <c r="C25" s="261">
        <v>17</v>
      </c>
      <c r="D25" s="92"/>
      <c r="E25" s="208"/>
      <c r="F25" s="277"/>
      <c r="G25" s="263"/>
      <c r="H25" s="264"/>
      <c r="I25" s="941">
        <f t="shared" si="0"/>
        <v>0</v>
      </c>
    </row>
    <row r="26" spans="2:9" x14ac:dyDescent="0.25">
      <c r="B26" s="861"/>
      <c r="C26" s="15">
        <v>18</v>
      </c>
      <c r="D26" s="92"/>
      <c r="E26" s="208"/>
      <c r="F26" s="277"/>
      <c r="G26" s="263"/>
      <c r="H26" s="264"/>
      <c r="I26" s="941">
        <f t="shared" si="0"/>
        <v>0</v>
      </c>
    </row>
    <row r="27" spans="2:9" x14ac:dyDescent="0.25">
      <c r="B27" s="861"/>
      <c r="C27" s="261">
        <v>19</v>
      </c>
      <c r="D27" s="92"/>
      <c r="E27" s="208"/>
      <c r="F27" s="277"/>
      <c r="G27" s="263"/>
      <c r="H27" s="264"/>
      <c r="I27" s="941">
        <f t="shared" si="0"/>
        <v>0</v>
      </c>
    </row>
    <row r="28" spans="2:9" x14ac:dyDescent="0.25">
      <c r="B28" s="861"/>
      <c r="C28" s="15">
        <v>20</v>
      </c>
      <c r="D28" s="374"/>
      <c r="E28" s="208"/>
      <c r="F28" s="973"/>
      <c r="G28" s="263"/>
      <c r="H28" s="264"/>
      <c r="I28" s="941">
        <f t="shared" si="0"/>
        <v>0</v>
      </c>
    </row>
    <row r="29" spans="2:9" ht="15.75" thickBot="1" x14ac:dyDescent="0.3">
      <c r="B29" s="861"/>
      <c r="C29" s="261">
        <v>21</v>
      </c>
      <c r="D29" s="374"/>
      <c r="E29" s="208"/>
      <c r="F29" s="973"/>
      <c r="G29" s="263"/>
      <c r="H29" s="264"/>
      <c r="I29" s="94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9" t="s">
        <v>19</v>
      </c>
      <c r="D34" s="130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09" t="s">
        <v>272</v>
      </c>
      <c r="B1" s="1309"/>
      <c r="C1" s="1309"/>
      <c r="D1" s="1309"/>
      <c r="E1" s="1309"/>
      <c r="F1" s="1309"/>
      <c r="G1" s="1309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2"/>
      <c r="B4" s="842"/>
      <c r="C4" s="285"/>
      <c r="D4" s="1017"/>
      <c r="E4" s="1018"/>
      <c r="F4" s="308"/>
      <c r="G4" s="73"/>
    </row>
    <row r="5" spans="1:10" ht="15" customHeight="1" x14ac:dyDescent="0.25">
      <c r="A5" s="1310" t="s">
        <v>52</v>
      </c>
      <c r="B5" s="1311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310"/>
      <c r="B6" s="1312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310"/>
      <c r="B7" s="1312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302" t="s">
        <v>47</v>
      </c>
      <c r="J8" s="1307" t="s">
        <v>4</v>
      </c>
    </row>
    <row r="9" spans="1:10" ht="16.5" customHeight="1" thickTop="1" thickBot="1" x14ac:dyDescent="0.3">
      <c r="A9" s="8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3"/>
      <c r="J9" s="1308"/>
    </row>
    <row r="10" spans="1:10" ht="15.75" thickTop="1" x14ac:dyDescent="0.25">
      <c r="A10" s="835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5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6" t="s">
        <v>32</v>
      </c>
      <c r="B12" s="83"/>
      <c r="C12" s="15">
        <v>1</v>
      </c>
      <c r="D12" s="156">
        <v>22.66</v>
      </c>
      <c r="E12" s="935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7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8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7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5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5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5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5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5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5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2"/>
      <c r="H48" s="863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2"/>
      <c r="H49" s="863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2"/>
      <c r="H50" s="863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2"/>
      <c r="H51" s="863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93" t="s">
        <v>11</v>
      </c>
      <c r="D56" s="1294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9" t="s">
        <v>272</v>
      </c>
      <c r="B1" s="1309"/>
      <c r="C1" s="1309"/>
      <c r="D1" s="1309"/>
      <c r="E1" s="1309"/>
      <c r="F1" s="1309"/>
      <c r="G1" s="1309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 t="s">
        <v>287</v>
      </c>
      <c r="B5" s="1313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2"/>
      <c r="B6" s="1314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14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302" t="s">
        <v>47</v>
      </c>
      <c r="J8" s="130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3"/>
      <c r="J9" s="1308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6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6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6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6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6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6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6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8"/>
      <c r="E37" s="866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3" t="s">
        <v>11</v>
      </c>
      <c r="D42" s="1294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317"/>
      <c r="B5" s="1319" t="s">
        <v>81</v>
      </c>
      <c r="C5" s="816"/>
      <c r="D5" s="839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318"/>
      <c r="B6" s="1320"/>
      <c r="C6" s="247"/>
      <c r="D6" s="304"/>
      <c r="E6" s="702"/>
      <c r="F6" s="306"/>
      <c r="G6" s="240"/>
      <c r="I6" s="1321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16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3" t="s">
        <v>11</v>
      </c>
      <c r="D100" s="129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89"/>
      <c r="B5" s="1323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90"/>
      <c r="B6" s="1324"/>
      <c r="C6" s="247"/>
      <c r="D6" s="304"/>
      <c r="E6" s="307"/>
      <c r="F6" s="308"/>
      <c r="G6" s="240"/>
      <c r="I6" s="1321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16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8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3" t="s">
        <v>11</v>
      </c>
      <c r="D33" s="129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40" customWidth="1"/>
  </cols>
  <sheetData>
    <row r="1" spans="1:11" ht="45.75" x14ac:dyDescent="0.65">
      <c r="A1" s="1264" t="s">
        <v>272</v>
      </c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25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26"/>
      <c r="C5" s="247"/>
      <c r="D5" s="245">
        <v>44767</v>
      </c>
      <c r="E5" s="470">
        <v>18271.150000000001</v>
      </c>
      <c r="F5" s="266">
        <v>23</v>
      </c>
      <c r="G5" s="1141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27"/>
      <c r="C6" s="247"/>
      <c r="D6" s="245"/>
      <c r="E6" s="437"/>
      <c r="F6" s="266"/>
      <c r="G6" s="240"/>
      <c r="H6" s="240"/>
      <c r="I6" s="1321" t="s">
        <v>3</v>
      </c>
      <c r="J6" s="1315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28"/>
    </row>
    <row r="8" spans="1:11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81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81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81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81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81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81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81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81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81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81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81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81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81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81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81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81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81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81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81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81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81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81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81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23"/>
      <c r="I31" s="1111">
        <f t="shared" si="2"/>
        <v>-122.2499999999992</v>
      </c>
      <c r="J31" s="1142">
        <f t="shared" si="3"/>
        <v>0</v>
      </c>
      <c r="K31" s="1143">
        <f t="shared" si="0"/>
        <v>0</v>
      </c>
    </row>
    <row r="32" spans="1:11" ht="15.75" thickBot="1" x14ac:dyDescent="0.3">
      <c r="A32" s="4"/>
      <c r="B32" s="704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44"/>
      <c r="I32" s="1145"/>
      <c r="J32" s="1146"/>
      <c r="K32" s="1143">
        <f t="shared" si="0"/>
        <v>0</v>
      </c>
    </row>
    <row r="33" spans="1:11" ht="16.5" thickTop="1" thickBot="1" x14ac:dyDescent="0.3">
      <c r="B33" s="581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46"/>
      <c r="I33" s="1145"/>
      <c r="J33" s="1146"/>
      <c r="K33" s="1143">
        <f>SUM(K8:K32)</f>
        <v>1177177.5999999999</v>
      </c>
    </row>
    <row r="34" spans="1:11" ht="15.75" thickBot="1" x14ac:dyDescent="0.3">
      <c r="A34" s="51"/>
      <c r="B34" s="581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93" t="s">
        <v>11</v>
      </c>
      <c r="D36" s="1294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61" t="s">
        <v>110</v>
      </c>
      <c r="C5" s="534"/>
      <c r="D5" s="248"/>
      <c r="E5" s="265"/>
      <c r="F5" s="253"/>
      <c r="G5" s="258"/>
    </row>
    <row r="6" spans="1:9" x14ac:dyDescent="0.25">
      <c r="A6" s="551"/>
      <c r="B6" s="1261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9" t="s">
        <v>272</v>
      </c>
      <c r="B1" s="1309"/>
      <c r="C1" s="1309"/>
      <c r="D1" s="1309"/>
      <c r="E1" s="1309"/>
      <c r="F1" s="1309"/>
      <c r="G1" s="1309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/>
      <c r="B5" s="1313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2" t="s">
        <v>312</v>
      </c>
      <c r="B6" s="1314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14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302" t="s">
        <v>47</v>
      </c>
      <c r="J8" s="130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3"/>
      <c r="J9" s="1308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6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6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6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6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6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6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6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8"/>
      <c r="E37" s="866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3" t="s">
        <v>11</v>
      </c>
      <c r="D42" s="1294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G1"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9" t="s">
        <v>238</v>
      </c>
      <c r="B1" s="1329"/>
      <c r="C1" s="1329"/>
      <c r="D1" s="1329"/>
      <c r="E1" s="1329"/>
      <c r="F1" s="1329"/>
      <c r="G1" s="1329"/>
      <c r="H1" s="348">
        <v>1</v>
      </c>
      <c r="I1" s="539"/>
      <c r="L1" s="1249" t="s">
        <v>321</v>
      </c>
      <c r="M1" s="1249"/>
      <c r="N1" s="1249"/>
      <c r="O1" s="1249"/>
      <c r="P1" s="1249"/>
      <c r="Q1" s="1249"/>
      <c r="R1" s="1249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79"/>
      <c r="H4" s="153"/>
      <c r="I4" s="544"/>
      <c r="L4" s="75"/>
      <c r="M4" s="75"/>
      <c r="N4" s="534"/>
      <c r="O4" s="248"/>
      <c r="P4" s="246"/>
      <c r="Q4" s="243"/>
      <c r="R4" s="1009"/>
      <c r="S4" s="153"/>
      <c r="T4" s="544"/>
    </row>
    <row r="5" spans="1:21" ht="15" customHeight="1" x14ac:dyDescent="0.25">
      <c r="A5" s="876"/>
      <c r="B5" s="1330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1"/>
      <c r="L5" s="1006"/>
      <c r="M5" s="1330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331"/>
      <c r="C6" s="537">
        <v>72</v>
      </c>
      <c r="D6" s="248">
        <v>44734</v>
      </c>
      <c r="E6" s="944">
        <v>2026.96</v>
      </c>
      <c r="F6" s="73">
        <v>73</v>
      </c>
      <c r="G6" s="243"/>
      <c r="H6" s="242"/>
      <c r="I6" s="315"/>
      <c r="L6" s="250" t="s">
        <v>52</v>
      </c>
      <c r="M6" s="1331"/>
      <c r="N6" s="537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1332" t="s">
        <v>3</v>
      </c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33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7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7">
        <f>E4+E5+E6-F9+E7</f>
        <v>4783.8999999999996</v>
      </c>
      <c r="J9" s="60">
        <f>H9*F9</f>
        <v>17960.87</v>
      </c>
      <c r="L9" s="817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7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7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60">
        <v>0</v>
      </c>
      <c r="D21" s="1161">
        <v>0</v>
      </c>
      <c r="E21" s="1162" t="s">
        <v>600</v>
      </c>
      <c r="F21" s="1161">
        <v>110.42</v>
      </c>
      <c r="G21" s="1163" t="s">
        <v>600</v>
      </c>
      <c r="H21" s="1164"/>
      <c r="I21" s="537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5"/>
      <c r="Q21" s="906">
        <f t="shared" si="2"/>
        <v>0</v>
      </c>
      <c r="R21" s="818"/>
      <c r="S21" s="819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17">
        <v>197.29</v>
      </c>
      <c r="E22" s="972">
        <v>44747</v>
      </c>
      <c r="F22" s="906">
        <f t="shared" ref="F22:F27" si="8">D22</f>
        <v>197.29</v>
      </c>
      <c r="G22" s="818" t="s">
        <v>434</v>
      </c>
      <c r="H22" s="819">
        <v>74</v>
      </c>
      <c r="I22" s="537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5"/>
      <c r="Q22" s="906">
        <f t="shared" si="2"/>
        <v>0</v>
      </c>
      <c r="R22" s="818"/>
      <c r="S22" s="819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17">
        <v>25.31</v>
      </c>
      <c r="E23" s="972">
        <v>44751</v>
      </c>
      <c r="F23" s="906">
        <f t="shared" si="8"/>
        <v>25.31</v>
      </c>
      <c r="G23" s="818" t="s">
        <v>467</v>
      </c>
      <c r="H23" s="819">
        <v>74</v>
      </c>
      <c r="I23" s="537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902"/>
      <c r="Q23" s="906">
        <f t="shared" si="2"/>
        <v>0</v>
      </c>
      <c r="R23" s="818"/>
      <c r="S23" s="819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17">
        <v>55.79</v>
      </c>
      <c r="E24" s="902">
        <v>44760</v>
      </c>
      <c r="F24" s="906">
        <f t="shared" si="8"/>
        <v>55.79</v>
      </c>
      <c r="G24" s="818" t="s">
        <v>514</v>
      </c>
      <c r="H24" s="819">
        <v>76</v>
      </c>
      <c r="I24" s="537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902"/>
      <c r="Q24" s="906">
        <f t="shared" si="2"/>
        <v>0</v>
      </c>
      <c r="R24" s="818"/>
      <c r="S24" s="819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17">
        <v>140.02000000000001</v>
      </c>
      <c r="E25" s="902">
        <v>44762</v>
      </c>
      <c r="F25" s="906">
        <f t="shared" si="8"/>
        <v>140.02000000000001</v>
      </c>
      <c r="G25" s="818" t="s">
        <v>527</v>
      </c>
      <c r="H25" s="819">
        <v>74</v>
      </c>
      <c r="I25" s="537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902"/>
      <c r="Q25" s="906">
        <f t="shared" si="2"/>
        <v>0</v>
      </c>
      <c r="R25" s="818"/>
      <c r="S25" s="819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17">
        <v>57.05</v>
      </c>
      <c r="E26" s="902">
        <v>44767</v>
      </c>
      <c r="F26" s="906">
        <f t="shared" si="8"/>
        <v>57.05</v>
      </c>
      <c r="G26" s="818" t="s">
        <v>566</v>
      </c>
      <c r="H26" s="819">
        <v>76</v>
      </c>
      <c r="I26" s="537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902"/>
      <c r="Q26" s="906">
        <f t="shared" si="2"/>
        <v>0</v>
      </c>
      <c r="R26" s="818"/>
      <c r="S26" s="819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17">
        <v>117.31</v>
      </c>
      <c r="E27" s="902">
        <v>44767</v>
      </c>
      <c r="F27" s="906">
        <f t="shared" si="8"/>
        <v>117.31</v>
      </c>
      <c r="G27" s="818" t="s">
        <v>550</v>
      </c>
      <c r="H27" s="819">
        <v>76</v>
      </c>
      <c r="I27" s="537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902"/>
      <c r="Q27" s="906">
        <f t="shared" si="2"/>
        <v>0</v>
      </c>
      <c r="R27" s="818"/>
      <c r="S27" s="819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17"/>
      <c r="E28" s="902"/>
      <c r="F28" s="906">
        <f t="shared" si="0"/>
        <v>0</v>
      </c>
      <c r="G28" s="818"/>
      <c r="H28" s="819"/>
      <c r="I28" s="537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2"/>
      <c r="Q28" s="906">
        <f t="shared" si="2"/>
        <v>0</v>
      </c>
      <c r="R28" s="818"/>
      <c r="S28" s="819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17"/>
      <c r="E29" s="902"/>
      <c r="F29" s="906">
        <f t="shared" si="0"/>
        <v>0</v>
      </c>
      <c r="G29" s="818"/>
      <c r="H29" s="819"/>
      <c r="I29" s="537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2"/>
      <c r="Q29" s="906">
        <f t="shared" si="2"/>
        <v>0</v>
      </c>
      <c r="R29" s="818"/>
      <c r="S29" s="819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17"/>
      <c r="E30" s="902"/>
      <c r="F30" s="906">
        <f t="shared" si="0"/>
        <v>0</v>
      </c>
      <c r="G30" s="818"/>
      <c r="H30" s="819"/>
      <c r="I30" s="537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2"/>
      <c r="Q30" s="906">
        <f t="shared" si="2"/>
        <v>0</v>
      </c>
      <c r="R30" s="818"/>
      <c r="S30" s="819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17"/>
      <c r="E31" s="902"/>
      <c r="F31" s="906">
        <f t="shared" si="0"/>
        <v>0</v>
      </c>
      <c r="G31" s="818"/>
      <c r="H31" s="819"/>
      <c r="I31" s="537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2"/>
      <c r="Q31" s="906">
        <f t="shared" si="2"/>
        <v>0</v>
      </c>
      <c r="R31" s="818"/>
      <c r="S31" s="819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17"/>
      <c r="E32" s="902"/>
      <c r="F32" s="906">
        <f t="shared" si="0"/>
        <v>0</v>
      </c>
      <c r="G32" s="818"/>
      <c r="H32" s="819"/>
      <c r="I32" s="537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2"/>
      <c r="Q32" s="906">
        <f t="shared" si="2"/>
        <v>0</v>
      </c>
      <c r="R32" s="818"/>
      <c r="S32" s="819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17"/>
      <c r="E33" s="902"/>
      <c r="F33" s="906">
        <f t="shared" si="0"/>
        <v>0</v>
      </c>
      <c r="G33" s="818"/>
      <c r="H33" s="819"/>
      <c r="I33" s="537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2"/>
      <c r="Q33" s="906">
        <f t="shared" si="2"/>
        <v>0</v>
      </c>
      <c r="R33" s="818"/>
      <c r="S33" s="819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17"/>
      <c r="E34" s="902"/>
      <c r="F34" s="906">
        <f t="shared" si="0"/>
        <v>0</v>
      </c>
      <c r="G34" s="818"/>
      <c r="H34" s="819"/>
      <c r="I34" s="537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2"/>
      <c r="Q34" s="906">
        <f t="shared" si="2"/>
        <v>0</v>
      </c>
      <c r="R34" s="818"/>
      <c r="S34" s="819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17"/>
      <c r="E35" s="902"/>
      <c r="F35" s="906">
        <f t="shared" si="0"/>
        <v>0</v>
      </c>
      <c r="G35" s="818"/>
      <c r="H35" s="819"/>
      <c r="I35" s="537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2"/>
      <c r="Q35" s="906">
        <f t="shared" si="2"/>
        <v>0</v>
      </c>
      <c r="R35" s="818"/>
      <c r="S35" s="819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17"/>
      <c r="E36" s="1158"/>
      <c r="F36" s="1159">
        <v>0</v>
      </c>
      <c r="G36" s="1157"/>
      <c r="H36" s="819"/>
      <c r="I36" s="537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2"/>
      <c r="Q36" s="906">
        <f t="shared" si="2"/>
        <v>0</v>
      </c>
      <c r="R36" s="818"/>
      <c r="S36" s="819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17">
        <v>0</v>
      </c>
      <c r="E37" s="902"/>
      <c r="F37" s="906">
        <f t="shared" si="0"/>
        <v>0</v>
      </c>
      <c r="G37" s="818"/>
      <c r="H37" s="819"/>
      <c r="I37" s="537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2"/>
      <c r="Q37" s="906">
        <f t="shared" si="2"/>
        <v>0</v>
      </c>
      <c r="R37" s="818"/>
      <c r="S37" s="819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55" t="s">
        <v>21</v>
      </c>
      <c r="E41" s="1256"/>
      <c r="F41" s="141">
        <f>G5-F39</f>
        <v>0</v>
      </c>
      <c r="M41" s="197"/>
      <c r="O41" s="1255" t="s">
        <v>21</v>
      </c>
      <c r="P41" s="1256"/>
      <c r="Q41" s="141">
        <f>R5-Q39</f>
        <v>0</v>
      </c>
    </row>
    <row r="42" spans="1:21" ht="15.75" thickBot="1" x14ac:dyDescent="0.3">
      <c r="A42" s="125"/>
      <c r="D42" s="877" t="s">
        <v>4</v>
      </c>
      <c r="E42" s="878"/>
      <c r="F42" s="49">
        <v>0</v>
      </c>
      <c r="L42" s="125"/>
      <c r="O42" s="1007" t="s">
        <v>4</v>
      </c>
      <c r="P42" s="100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50"/>
      <c r="B5" s="1253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50"/>
      <c r="B6" s="1253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0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9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9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60" t="s">
        <v>239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34" t="s">
        <v>52</v>
      </c>
      <c r="B4" s="688"/>
      <c r="C4" s="128"/>
      <c r="D4" s="135"/>
      <c r="E4" s="86">
        <v>59.18</v>
      </c>
      <c r="F4" s="73">
        <v>0</v>
      </c>
      <c r="G4" s="920"/>
    </row>
    <row r="5" spans="1:9" ht="15" customHeight="1" x14ac:dyDescent="0.25">
      <c r="A5" s="1335"/>
      <c r="B5" s="1337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36"/>
      <c r="B6" s="1338"/>
      <c r="C6" s="81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8" t="s">
        <v>52</v>
      </c>
      <c r="C7" s="88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3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0"/>
      <c r="B10" s="282">
        <f>F4+F5+F6+F7+F8-C10</f>
        <v>152</v>
      </c>
      <c r="C10" s="15">
        <v>1</v>
      </c>
      <c r="D10" s="92">
        <v>30.66</v>
      </c>
      <c r="E10" s="790">
        <v>44740</v>
      </c>
      <c r="F10" s="751">
        <f>D10</f>
        <v>30.66</v>
      </c>
      <c r="G10" s="752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71">
        <f>B10-C11</f>
        <v>150</v>
      </c>
      <c r="C11" s="706">
        <v>2</v>
      </c>
      <c r="D11" s="422">
        <v>57.96</v>
      </c>
      <c r="E11" s="792">
        <v>44745</v>
      </c>
      <c r="F11" s="791">
        <f t="shared" ref="F11:F41" si="0">D11</f>
        <v>57.96</v>
      </c>
      <c r="G11" s="793" t="s">
        <v>220</v>
      </c>
      <c r="H11" s="794">
        <v>35</v>
      </c>
      <c r="I11" s="1170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09">
        <v>225.87</v>
      </c>
      <c r="E12" s="908">
        <v>44746</v>
      </c>
      <c r="F12" s="909">
        <f t="shared" si="0"/>
        <v>225.87</v>
      </c>
      <c r="G12" s="974" t="s">
        <v>424</v>
      </c>
      <c r="H12" s="975">
        <v>35</v>
      </c>
      <c r="I12" s="268">
        <f t="shared" ref="I12:I13" si="2">I11-F12</f>
        <v>4126.0800000000008</v>
      </c>
    </row>
    <row r="13" spans="1:9" x14ac:dyDescent="0.25">
      <c r="A13" s="830"/>
      <c r="B13" s="448">
        <f t="shared" si="1"/>
        <v>139</v>
      </c>
      <c r="C13" s="421">
        <v>3</v>
      </c>
      <c r="D13" s="907">
        <v>87.61</v>
      </c>
      <c r="E13" s="908">
        <v>44746</v>
      </c>
      <c r="F13" s="909">
        <f t="shared" si="0"/>
        <v>87.61</v>
      </c>
      <c r="G13" s="974" t="s">
        <v>427</v>
      </c>
      <c r="H13" s="975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7">
        <v>29.11</v>
      </c>
      <c r="E14" s="908">
        <v>44656</v>
      </c>
      <c r="F14" s="909">
        <f t="shared" si="0"/>
        <v>29.11</v>
      </c>
      <c r="G14" s="974" t="s">
        <v>432</v>
      </c>
      <c r="H14" s="975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7">
        <v>203.67</v>
      </c>
      <c r="E15" s="908">
        <v>44748</v>
      </c>
      <c r="F15" s="909">
        <f t="shared" si="0"/>
        <v>203.67</v>
      </c>
      <c r="G15" s="974" t="s">
        <v>438</v>
      </c>
      <c r="H15" s="975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7">
        <v>28.01</v>
      </c>
      <c r="E16" s="908">
        <v>44749</v>
      </c>
      <c r="F16" s="909">
        <f t="shared" si="0"/>
        <v>28.01</v>
      </c>
      <c r="G16" s="974" t="s">
        <v>447</v>
      </c>
      <c r="H16" s="975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7">
        <v>28.2</v>
      </c>
      <c r="E17" s="908">
        <v>44749</v>
      </c>
      <c r="F17" s="909">
        <f t="shared" si="0"/>
        <v>28.2</v>
      </c>
      <c r="G17" s="974" t="s">
        <v>449</v>
      </c>
      <c r="H17" s="975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7">
        <v>194.13</v>
      </c>
      <c r="E18" s="908">
        <v>44750</v>
      </c>
      <c r="F18" s="909">
        <f t="shared" si="0"/>
        <v>194.13</v>
      </c>
      <c r="G18" s="974" t="s">
        <v>459</v>
      </c>
      <c r="H18" s="975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7">
        <v>59.65</v>
      </c>
      <c r="E19" s="908">
        <v>44755</v>
      </c>
      <c r="F19" s="909">
        <f t="shared" si="0"/>
        <v>59.65</v>
      </c>
      <c r="G19" s="974" t="s">
        <v>483</v>
      </c>
      <c r="H19" s="975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7">
        <v>203.85</v>
      </c>
      <c r="E20" s="908">
        <v>44755</v>
      </c>
      <c r="F20" s="909">
        <f t="shared" si="0"/>
        <v>203.85</v>
      </c>
      <c r="G20" s="974" t="s">
        <v>484</v>
      </c>
      <c r="H20" s="975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7">
        <v>26.89</v>
      </c>
      <c r="E21" s="908">
        <v>44757</v>
      </c>
      <c r="F21" s="909">
        <f t="shared" si="0"/>
        <v>26.89</v>
      </c>
      <c r="G21" s="910" t="s">
        <v>498</v>
      </c>
      <c r="H21" s="911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7">
        <v>195.39</v>
      </c>
      <c r="E22" s="908">
        <v>44757</v>
      </c>
      <c r="F22" s="909">
        <f t="shared" si="0"/>
        <v>195.39</v>
      </c>
      <c r="G22" s="910" t="s">
        <v>499</v>
      </c>
      <c r="H22" s="911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7">
        <v>28.38</v>
      </c>
      <c r="E23" s="908">
        <v>44758</v>
      </c>
      <c r="F23" s="909">
        <f t="shared" si="0"/>
        <v>28.38</v>
      </c>
      <c r="G23" s="910" t="s">
        <v>506</v>
      </c>
      <c r="H23" s="911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7">
        <v>208.19</v>
      </c>
      <c r="E24" s="908">
        <v>44758</v>
      </c>
      <c r="F24" s="909">
        <f t="shared" si="0"/>
        <v>208.19</v>
      </c>
      <c r="G24" s="910" t="s">
        <v>512</v>
      </c>
      <c r="H24" s="911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7">
        <v>27.6</v>
      </c>
      <c r="E25" s="908">
        <v>44762</v>
      </c>
      <c r="F25" s="909">
        <f t="shared" si="0"/>
        <v>27.6</v>
      </c>
      <c r="G25" s="910" t="s">
        <v>526</v>
      </c>
      <c r="H25" s="911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7">
        <v>29.12</v>
      </c>
      <c r="E26" s="908">
        <v>44763</v>
      </c>
      <c r="F26" s="909">
        <f t="shared" si="0"/>
        <v>29.12</v>
      </c>
      <c r="G26" s="910" t="s">
        <v>534</v>
      </c>
      <c r="H26" s="911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7">
        <v>89.7</v>
      </c>
      <c r="E27" s="908">
        <v>44763</v>
      </c>
      <c r="F27" s="909">
        <f t="shared" si="0"/>
        <v>89.7</v>
      </c>
      <c r="G27" s="910" t="s">
        <v>535</v>
      </c>
      <c r="H27" s="911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7">
        <v>209.78</v>
      </c>
      <c r="E28" s="908">
        <v>44765</v>
      </c>
      <c r="F28" s="909">
        <f t="shared" si="0"/>
        <v>209.78</v>
      </c>
      <c r="G28" s="910" t="s">
        <v>557</v>
      </c>
      <c r="H28" s="911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7">
        <v>191.25</v>
      </c>
      <c r="E29" s="908">
        <v>44767</v>
      </c>
      <c r="F29" s="909">
        <f t="shared" si="0"/>
        <v>191.25</v>
      </c>
      <c r="G29" s="910" t="s">
        <v>550</v>
      </c>
      <c r="H29" s="911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7">
        <v>264.07</v>
      </c>
      <c r="E30" s="908">
        <v>44768</v>
      </c>
      <c r="F30" s="909">
        <f t="shared" si="0"/>
        <v>264.07</v>
      </c>
      <c r="G30" s="910" t="s">
        <v>572</v>
      </c>
      <c r="H30" s="911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7">
        <v>30.2</v>
      </c>
      <c r="E31" s="976">
        <v>44771</v>
      </c>
      <c r="F31" s="909">
        <f t="shared" si="0"/>
        <v>30.2</v>
      </c>
      <c r="G31" s="910" t="s">
        <v>592</v>
      </c>
      <c r="H31" s="911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7"/>
      <c r="E32" s="976"/>
      <c r="F32" s="909">
        <f t="shared" si="0"/>
        <v>0</v>
      </c>
      <c r="G32" s="910"/>
      <c r="H32" s="911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7"/>
      <c r="E33" s="976"/>
      <c r="F33" s="909">
        <f t="shared" si="0"/>
        <v>0</v>
      </c>
      <c r="G33" s="910"/>
      <c r="H33" s="911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7"/>
      <c r="E34" s="976"/>
      <c r="F34" s="909">
        <f t="shared" si="0"/>
        <v>0</v>
      </c>
      <c r="G34" s="910"/>
      <c r="H34" s="911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7"/>
      <c r="E35" s="976"/>
      <c r="F35" s="909">
        <f t="shared" si="0"/>
        <v>0</v>
      </c>
      <c r="G35" s="910"/>
      <c r="H35" s="911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7"/>
      <c r="E36" s="976"/>
      <c r="F36" s="909">
        <f t="shared" si="0"/>
        <v>0</v>
      </c>
      <c r="G36" s="910"/>
      <c r="H36" s="911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7"/>
      <c r="E37" s="976"/>
      <c r="F37" s="909">
        <f t="shared" si="0"/>
        <v>0</v>
      </c>
      <c r="G37" s="910"/>
      <c r="H37" s="911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7"/>
      <c r="E38" s="976"/>
      <c r="F38" s="909">
        <f t="shared" si="0"/>
        <v>0</v>
      </c>
      <c r="G38" s="910"/>
      <c r="H38" s="911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7"/>
      <c r="E39" s="976"/>
      <c r="F39" s="909">
        <f t="shared" si="0"/>
        <v>0</v>
      </c>
      <c r="G39" s="910"/>
      <c r="H39" s="911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7"/>
      <c r="E40" s="976"/>
      <c r="F40" s="909">
        <f t="shared" si="0"/>
        <v>0</v>
      </c>
      <c r="G40" s="910"/>
      <c r="H40" s="911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8"/>
      <c r="E41" s="795"/>
      <c r="F41" s="791">
        <f t="shared" si="0"/>
        <v>0</v>
      </c>
      <c r="G41" s="1139"/>
      <c r="H41" s="1139"/>
      <c r="I41" s="132">
        <f t="shared" si="3"/>
        <v>1991.2800000000007</v>
      </c>
    </row>
    <row r="42" spans="2:9" x14ac:dyDescent="0.25">
      <c r="B42" s="448"/>
      <c r="C42" s="421"/>
      <c r="D42" s="538"/>
      <c r="E42" s="795"/>
      <c r="F42" s="791"/>
      <c r="G42" s="796"/>
      <c r="H42" s="1139"/>
      <c r="I42" s="132"/>
    </row>
    <row r="43" spans="2:9" x14ac:dyDescent="0.25">
      <c r="B43" s="448"/>
      <c r="C43" s="421"/>
      <c r="D43" s="538"/>
      <c r="E43" s="795"/>
      <c r="F43" s="791"/>
      <c r="G43" s="796"/>
      <c r="H43" s="1139"/>
      <c r="I43" s="132"/>
    </row>
    <row r="44" spans="2:9" x14ac:dyDescent="0.25">
      <c r="B44" s="448"/>
      <c r="C44" s="421"/>
      <c r="D44" s="538"/>
      <c r="E44" s="795"/>
      <c r="F44" s="791"/>
      <c r="G44" s="796"/>
      <c r="H44" s="1139"/>
      <c r="I44" s="132"/>
    </row>
    <row r="45" spans="2:9" x14ac:dyDescent="0.25">
      <c r="B45" s="448"/>
      <c r="C45" s="421"/>
      <c r="D45" s="538"/>
      <c r="E45" s="795"/>
      <c r="F45" s="791"/>
      <c r="G45" s="796"/>
      <c r="H45" s="796"/>
      <c r="I45" s="132"/>
    </row>
    <row r="46" spans="2:9" x14ac:dyDescent="0.25">
      <c r="B46" s="448"/>
      <c r="C46" s="421"/>
      <c r="D46" s="538"/>
      <c r="E46" s="795"/>
      <c r="F46" s="791"/>
      <c r="G46" s="796"/>
      <c r="H46" s="796"/>
      <c r="I46" s="132"/>
    </row>
    <row r="47" spans="2:9" x14ac:dyDescent="0.25">
      <c r="B47" s="448"/>
      <c r="C47" s="421"/>
      <c r="D47" s="538"/>
      <c r="E47" s="795"/>
      <c r="F47" s="791"/>
      <c r="G47" s="796"/>
      <c r="H47" s="796"/>
      <c r="I47" s="132"/>
    </row>
    <row r="48" spans="2:9" x14ac:dyDescent="0.25">
      <c r="B48" s="448"/>
      <c r="C48" s="421"/>
      <c r="D48" s="538"/>
      <c r="E48" s="795"/>
      <c r="F48" s="791"/>
      <c r="G48" s="796"/>
      <c r="H48" s="796"/>
      <c r="I48" s="132"/>
    </row>
    <row r="49" spans="1:9" x14ac:dyDescent="0.25">
      <c r="B49" s="448"/>
      <c r="C49" s="421"/>
      <c r="D49" s="538"/>
      <c r="E49" s="795"/>
      <c r="F49" s="791"/>
      <c r="G49" s="796"/>
      <c r="H49" s="796"/>
      <c r="I49" s="132"/>
    </row>
    <row r="50" spans="1:9" x14ac:dyDescent="0.25">
      <c r="B50" s="448"/>
      <c r="C50" s="421"/>
      <c r="D50" s="538"/>
      <c r="E50" s="795"/>
      <c r="F50" s="791"/>
      <c r="G50" s="796"/>
      <c r="H50" s="796"/>
      <c r="I50" s="132"/>
    </row>
    <row r="51" spans="1:9" x14ac:dyDescent="0.25">
      <c r="B51" s="448"/>
      <c r="C51" s="421"/>
      <c r="D51" s="538"/>
      <c r="E51" s="795"/>
      <c r="F51" s="791"/>
      <c r="G51" s="796"/>
      <c r="H51" s="796"/>
      <c r="I51" s="132"/>
    </row>
    <row r="52" spans="1:9" x14ac:dyDescent="0.25">
      <c r="B52" s="448"/>
      <c r="C52" s="421"/>
      <c r="D52" s="538"/>
      <c r="E52" s="795"/>
      <c r="F52" s="791"/>
      <c r="G52" s="796"/>
      <c r="H52" s="796"/>
      <c r="I52" s="132"/>
    </row>
    <row r="53" spans="1:9" x14ac:dyDescent="0.25">
      <c r="B53" s="448"/>
      <c r="C53" s="421"/>
      <c r="D53" s="538"/>
      <c r="E53" s="795"/>
      <c r="F53" s="791"/>
      <c r="G53" s="796"/>
      <c r="H53" s="796"/>
      <c r="I53" s="132"/>
    </row>
    <row r="54" spans="1:9" x14ac:dyDescent="0.25">
      <c r="B54" s="448"/>
      <c r="C54" s="421"/>
      <c r="D54" s="538"/>
      <c r="E54" s="795"/>
      <c r="F54" s="791"/>
      <c r="G54" s="796"/>
      <c r="H54" s="796"/>
      <c r="I54" s="132"/>
    </row>
    <row r="55" spans="1:9" x14ac:dyDescent="0.25">
      <c r="B55" s="448"/>
      <c r="C55" s="421"/>
      <c r="D55" s="538"/>
      <c r="E55" s="795"/>
      <c r="F55" s="791"/>
      <c r="G55" s="796"/>
      <c r="H55" s="796"/>
      <c r="I55" s="132"/>
    </row>
    <row r="56" spans="1:9" x14ac:dyDescent="0.25">
      <c r="B56" s="448"/>
      <c r="C56" s="421"/>
      <c r="D56" s="538"/>
      <c r="E56" s="795"/>
      <c r="F56" s="791"/>
      <c r="G56" s="796"/>
      <c r="H56" s="796"/>
      <c r="I56" s="132"/>
    </row>
    <row r="57" spans="1:9" x14ac:dyDescent="0.25">
      <c r="B57" s="448"/>
      <c r="C57" s="421"/>
      <c r="D57" s="538"/>
      <c r="E57" s="795"/>
      <c r="F57" s="791"/>
      <c r="G57" s="796"/>
      <c r="H57" s="796"/>
      <c r="I57" s="132"/>
    </row>
    <row r="58" spans="1:9" x14ac:dyDescent="0.25">
      <c r="B58" s="448"/>
      <c r="C58" s="421"/>
      <c r="D58" s="538"/>
      <c r="E58" s="795"/>
      <c r="F58" s="791"/>
      <c r="G58" s="796"/>
      <c r="H58" s="796"/>
      <c r="I58" s="132"/>
    </row>
    <row r="59" spans="1:9" x14ac:dyDescent="0.25">
      <c r="B59" s="448"/>
      <c r="C59" s="421"/>
      <c r="D59" s="538"/>
      <c r="E59" s="795"/>
      <c r="F59" s="791"/>
      <c r="G59" s="796"/>
      <c r="H59" s="796"/>
      <c r="I59" s="132"/>
    </row>
    <row r="60" spans="1:9" x14ac:dyDescent="0.25">
      <c r="B60" s="448"/>
      <c r="C60" s="421"/>
      <c r="D60" s="538"/>
      <c r="E60" s="795"/>
      <c r="F60" s="791"/>
      <c r="G60" s="796"/>
      <c r="H60" s="796"/>
      <c r="I60" s="132"/>
    </row>
    <row r="61" spans="1:9" ht="15.75" thickBot="1" x14ac:dyDescent="0.3">
      <c r="B61" s="74"/>
      <c r="C61" s="423"/>
      <c r="D61" s="804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6" t="s">
        <v>21</v>
      </c>
      <c r="E63" s="917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8" t="s">
        <v>4</v>
      </c>
      <c r="E64" s="919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40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0"/>
      <c r="B8" s="580">
        <f>F4+F5+F6-C8</f>
        <v>28</v>
      </c>
      <c r="C8" s="1153">
        <v>6</v>
      </c>
      <c r="D8" s="1175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80">
        <f>B8-C9</f>
        <v>28</v>
      </c>
      <c r="C9" s="1154"/>
      <c r="D9" s="791"/>
      <c r="E9" s="118"/>
      <c r="F9" s="277">
        <f>D9</f>
        <v>0</v>
      </c>
      <c r="G9" s="800"/>
      <c r="H9" s="537"/>
      <c r="I9" s="268">
        <f>I8-F9</f>
        <v>793.09</v>
      </c>
    </row>
    <row r="10" spans="1:9" x14ac:dyDescent="0.25">
      <c r="A10" s="242"/>
      <c r="B10" s="580">
        <f t="shared" ref="B10:B28" si="0">B9-C10</f>
        <v>28</v>
      </c>
      <c r="C10" s="1155"/>
      <c r="D10" s="791"/>
      <c r="E10" s="118"/>
      <c r="F10" s="277">
        <f t="shared" ref="F10:F28" si="1">D10</f>
        <v>0</v>
      </c>
      <c r="G10" s="800"/>
      <c r="H10" s="315"/>
      <c r="I10" s="268">
        <f t="shared" ref="I10:I28" si="2">I9-F10</f>
        <v>793.09</v>
      </c>
    </row>
    <row r="11" spans="1:9" x14ac:dyDescent="0.25">
      <c r="A11" s="830"/>
      <c r="B11" s="580">
        <f t="shared" si="0"/>
        <v>28</v>
      </c>
      <c r="C11" s="1155"/>
      <c r="D11" s="791"/>
      <c r="E11" s="118"/>
      <c r="F11" s="277">
        <f t="shared" si="1"/>
        <v>0</v>
      </c>
      <c r="G11" s="800"/>
      <c r="H11" s="315"/>
      <c r="I11" s="268">
        <f t="shared" si="2"/>
        <v>793.09</v>
      </c>
    </row>
    <row r="12" spans="1:9" x14ac:dyDescent="0.25">
      <c r="A12" s="242"/>
      <c r="B12" s="580">
        <f t="shared" si="0"/>
        <v>28</v>
      </c>
      <c r="C12" s="1155"/>
      <c r="D12" s="791"/>
      <c r="E12" s="118"/>
      <c r="F12" s="277">
        <f t="shared" si="1"/>
        <v>0</v>
      </c>
      <c r="G12" s="800"/>
      <c r="H12" s="315"/>
      <c r="I12" s="268">
        <f t="shared" si="2"/>
        <v>793.09</v>
      </c>
    </row>
    <row r="13" spans="1:9" x14ac:dyDescent="0.25">
      <c r="A13" s="242"/>
      <c r="B13" s="580">
        <f t="shared" si="0"/>
        <v>28</v>
      </c>
      <c r="C13" s="1155"/>
      <c r="D13" s="791"/>
      <c r="E13" s="118"/>
      <c r="F13" s="277">
        <f t="shared" si="1"/>
        <v>0</v>
      </c>
      <c r="G13" s="800"/>
      <c r="H13" s="315"/>
      <c r="I13" s="268">
        <f t="shared" si="2"/>
        <v>793.09</v>
      </c>
    </row>
    <row r="14" spans="1:9" x14ac:dyDescent="0.25">
      <c r="A14" s="240"/>
      <c r="B14" s="580">
        <f t="shared" si="0"/>
        <v>28</v>
      </c>
      <c r="C14" s="1155"/>
      <c r="D14" s="791"/>
      <c r="E14" s="118"/>
      <c r="F14" s="277">
        <f t="shared" si="1"/>
        <v>0</v>
      </c>
      <c r="G14" s="800"/>
      <c r="H14" s="315"/>
      <c r="I14" s="268">
        <f t="shared" si="2"/>
        <v>793.09</v>
      </c>
    </row>
    <row r="15" spans="1:9" x14ac:dyDescent="0.25">
      <c r="A15" s="240"/>
      <c r="B15" s="580">
        <f t="shared" si="0"/>
        <v>28</v>
      </c>
      <c r="C15" s="1155"/>
      <c r="D15" s="791"/>
      <c r="E15" s="118"/>
      <c r="F15" s="277">
        <f t="shared" si="1"/>
        <v>0</v>
      </c>
      <c r="G15" s="800"/>
      <c r="H15" s="315"/>
      <c r="I15" s="268">
        <f t="shared" si="2"/>
        <v>793.09</v>
      </c>
    </row>
    <row r="16" spans="1:9" x14ac:dyDescent="0.25">
      <c r="A16" s="240"/>
      <c r="B16" s="580">
        <f t="shared" si="0"/>
        <v>28</v>
      </c>
      <c r="C16" s="1154"/>
      <c r="D16" s="791"/>
      <c r="E16" s="118"/>
      <c r="F16" s="277">
        <f t="shared" si="1"/>
        <v>0</v>
      </c>
      <c r="G16" s="801"/>
      <c r="H16" s="537"/>
      <c r="I16" s="268">
        <f t="shared" si="2"/>
        <v>793.09</v>
      </c>
    </row>
    <row r="17" spans="1:9" x14ac:dyDescent="0.25">
      <c r="A17" s="240"/>
      <c r="B17" s="580">
        <f t="shared" si="0"/>
        <v>28</v>
      </c>
      <c r="C17" s="1154"/>
      <c r="D17" s="791"/>
      <c r="E17" s="118"/>
      <c r="F17" s="277">
        <f t="shared" si="1"/>
        <v>0</v>
      </c>
      <c r="G17" s="801"/>
      <c r="H17" s="537"/>
      <c r="I17" s="268">
        <f t="shared" si="2"/>
        <v>793.09</v>
      </c>
    </row>
    <row r="18" spans="1:9" x14ac:dyDescent="0.25">
      <c r="A18" s="240"/>
      <c r="B18" s="580">
        <f t="shared" si="0"/>
        <v>28</v>
      </c>
      <c r="C18" s="1154"/>
      <c r="D18" s="791"/>
      <c r="E18" s="118"/>
      <c r="F18" s="277">
        <f t="shared" si="1"/>
        <v>0</v>
      </c>
      <c r="G18" s="801"/>
      <c r="H18" s="537"/>
      <c r="I18" s="268">
        <f t="shared" si="2"/>
        <v>793.09</v>
      </c>
    </row>
    <row r="19" spans="1:9" x14ac:dyDescent="0.25">
      <c r="B19" s="580">
        <f t="shared" si="0"/>
        <v>28</v>
      </c>
      <c r="C19" s="1154"/>
      <c r="D19" s="791"/>
      <c r="E19" s="118"/>
      <c r="F19" s="277">
        <f t="shared" si="1"/>
        <v>0</v>
      </c>
      <c r="G19" s="801"/>
      <c r="H19" s="537"/>
      <c r="I19" s="268">
        <f t="shared" si="2"/>
        <v>793.09</v>
      </c>
    </row>
    <row r="20" spans="1:9" x14ac:dyDescent="0.25">
      <c r="B20" s="580">
        <f t="shared" si="0"/>
        <v>28</v>
      </c>
      <c r="C20" s="1154"/>
      <c r="D20" s="791"/>
      <c r="E20" s="118"/>
      <c r="F20" s="277">
        <f t="shared" si="1"/>
        <v>0</v>
      </c>
      <c r="G20" s="801"/>
      <c r="H20" s="537"/>
      <c r="I20" s="268">
        <f t="shared" si="2"/>
        <v>793.09</v>
      </c>
    </row>
    <row r="21" spans="1:9" x14ac:dyDescent="0.25">
      <c r="B21" s="580">
        <f t="shared" si="0"/>
        <v>28</v>
      </c>
      <c r="C21" s="1154"/>
      <c r="D21" s="791"/>
      <c r="E21" s="118"/>
      <c r="F21" s="277">
        <f t="shared" si="1"/>
        <v>0</v>
      </c>
      <c r="G21" s="801"/>
      <c r="I21" s="268">
        <f t="shared" si="2"/>
        <v>793.09</v>
      </c>
    </row>
    <row r="22" spans="1:9" x14ac:dyDescent="0.25">
      <c r="B22" s="580">
        <f t="shared" si="0"/>
        <v>28</v>
      </c>
      <c r="C22" s="1154"/>
      <c r="D22" s="791"/>
      <c r="E22" s="118"/>
      <c r="F22" s="277">
        <f t="shared" si="1"/>
        <v>0</v>
      </c>
      <c r="G22" s="801"/>
      <c r="I22" s="268">
        <f t="shared" si="2"/>
        <v>793.09</v>
      </c>
    </row>
    <row r="23" spans="1:9" x14ac:dyDescent="0.25">
      <c r="B23" s="580">
        <f t="shared" si="0"/>
        <v>28</v>
      </c>
      <c r="C23" s="1154"/>
      <c r="D23" s="791"/>
      <c r="E23" s="118"/>
      <c r="F23" s="277">
        <f t="shared" si="1"/>
        <v>0</v>
      </c>
      <c r="G23" s="801"/>
      <c r="I23" s="268">
        <f t="shared" si="2"/>
        <v>793.09</v>
      </c>
    </row>
    <row r="24" spans="1:9" x14ac:dyDescent="0.25">
      <c r="B24" s="580">
        <f t="shared" si="0"/>
        <v>28</v>
      </c>
      <c r="C24" s="1154"/>
      <c r="D24" s="791"/>
      <c r="E24" s="118"/>
      <c r="F24" s="277">
        <f t="shared" si="1"/>
        <v>0</v>
      </c>
      <c r="G24" s="801"/>
      <c r="I24" s="268">
        <f t="shared" si="2"/>
        <v>793.09</v>
      </c>
    </row>
    <row r="25" spans="1:9" x14ac:dyDescent="0.25">
      <c r="B25" s="580">
        <f t="shared" si="0"/>
        <v>28</v>
      </c>
      <c r="C25" s="1154"/>
      <c r="D25" s="791"/>
      <c r="E25" s="118"/>
      <c r="F25" s="277">
        <f t="shared" si="1"/>
        <v>0</v>
      </c>
      <c r="G25" s="801"/>
      <c r="I25" s="268">
        <f t="shared" si="2"/>
        <v>793.09</v>
      </c>
    </row>
    <row r="26" spans="1:9" x14ac:dyDescent="0.25">
      <c r="B26" s="580">
        <f t="shared" si="0"/>
        <v>28</v>
      </c>
      <c r="C26" s="1154"/>
      <c r="D26" s="791"/>
      <c r="E26" s="118"/>
      <c r="F26" s="277">
        <f t="shared" si="1"/>
        <v>0</v>
      </c>
      <c r="G26" s="802"/>
      <c r="I26" s="268">
        <f t="shared" si="2"/>
        <v>793.09</v>
      </c>
    </row>
    <row r="27" spans="1:9" x14ac:dyDescent="0.25">
      <c r="B27" s="580">
        <f t="shared" si="0"/>
        <v>28</v>
      </c>
      <c r="C27" s="1154"/>
      <c r="D27" s="1176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80">
        <f t="shared" si="0"/>
        <v>28</v>
      </c>
      <c r="C28" s="1154"/>
      <c r="D28" s="1176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81"/>
      <c r="C29" s="1154"/>
      <c r="D29" s="1124"/>
      <c r="E29" s="118"/>
      <c r="F29" s="14"/>
      <c r="G29" s="31"/>
      <c r="H29" s="17"/>
    </row>
    <row r="30" spans="1:9" x14ac:dyDescent="0.25">
      <c r="B30" s="581"/>
      <c r="C30" s="1154"/>
      <c r="D30" s="1125"/>
      <c r="E30" s="118"/>
      <c r="F30" s="6"/>
    </row>
    <row r="31" spans="1:9" ht="15.75" thickBot="1" x14ac:dyDescent="0.3">
      <c r="B31" s="704"/>
      <c r="C31" s="1156"/>
      <c r="D31" s="1126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85</v>
      </c>
      <c r="C4" s="102"/>
      <c r="D4" s="135"/>
      <c r="E4" s="86"/>
      <c r="F4" s="73"/>
      <c r="G4" s="737"/>
    </row>
    <row r="5" spans="1:9" x14ac:dyDescent="0.25">
      <c r="A5" s="75" t="s">
        <v>83</v>
      </c>
      <c r="B5" s="1340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51">
        <f t="shared" si="0"/>
        <v>0</v>
      </c>
      <c r="G27" s="753"/>
      <c r="H27" s="754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41" t="s">
        <v>88</v>
      </c>
      <c r="C4" s="102"/>
      <c r="D4" s="135"/>
      <c r="E4" s="86"/>
      <c r="F4" s="73"/>
      <c r="G4" s="788"/>
    </row>
    <row r="5" spans="1:10" x14ac:dyDescent="0.25">
      <c r="A5" s="75"/>
      <c r="B5" s="1342"/>
      <c r="C5" s="102"/>
      <c r="D5" s="135"/>
      <c r="E5" s="86"/>
      <c r="F5" s="73"/>
      <c r="G5" s="797">
        <f>F32</f>
        <v>0</v>
      </c>
      <c r="H5" s="138">
        <f>E5-G5</f>
        <v>0</v>
      </c>
    </row>
    <row r="6" spans="1:10" ht="15.75" thickBot="1" x14ac:dyDescent="0.3">
      <c r="B6" s="789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8"/>
      <c r="D9" s="105"/>
      <c r="E9" s="799"/>
      <c r="F9" s="277">
        <f t="shared" si="0"/>
        <v>0</v>
      </c>
      <c r="G9" s="800"/>
      <c r="H9" s="71"/>
      <c r="I9" s="260">
        <f>I8-D9</f>
        <v>0</v>
      </c>
    </row>
    <row r="10" spans="1:10" x14ac:dyDescent="0.25">
      <c r="A10" s="75"/>
      <c r="B10" s="2"/>
      <c r="C10" s="798"/>
      <c r="D10" s="273"/>
      <c r="E10" s="799"/>
      <c r="F10" s="277">
        <f t="shared" si="0"/>
        <v>0</v>
      </c>
      <c r="G10" s="800"/>
      <c r="H10" s="71"/>
      <c r="I10" s="260">
        <f t="shared" ref="I10:I28" si="1">I9-D10</f>
        <v>0</v>
      </c>
    </row>
    <row r="11" spans="1:10" x14ac:dyDescent="0.25">
      <c r="A11" s="55"/>
      <c r="B11" s="2"/>
      <c r="C11" s="798"/>
      <c r="D11" s="273"/>
      <c r="E11" s="799"/>
      <c r="F11" s="277">
        <f t="shared" si="0"/>
        <v>0</v>
      </c>
      <c r="G11" s="800"/>
      <c r="H11" s="71"/>
      <c r="I11" s="260">
        <f t="shared" si="1"/>
        <v>0</v>
      </c>
    </row>
    <row r="12" spans="1:10" x14ac:dyDescent="0.25">
      <c r="A12" s="75"/>
      <c r="B12" s="2"/>
      <c r="C12" s="798"/>
      <c r="D12" s="273"/>
      <c r="E12" s="799"/>
      <c r="F12" s="277">
        <f t="shared" si="0"/>
        <v>0</v>
      </c>
      <c r="G12" s="800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8"/>
      <c r="D13" s="273"/>
      <c r="E13" s="799"/>
      <c r="F13" s="277">
        <f t="shared" si="0"/>
        <v>0</v>
      </c>
      <c r="G13" s="800"/>
      <c r="H13" s="264"/>
      <c r="I13" s="260">
        <f t="shared" si="1"/>
        <v>0</v>
      </c>
      <c r="J13" s="240"/>
    </row>
    <row r="14" spans="1:10" x14ac:dyDescent="0.25">
      <c r="B14" s="2"/>
      <c r="C14" s="798"/>
      <c r="D14" s="273"/>
      <c r="E14" s="799"/>
      <c r="F14" s="277">
        <f t="shared" si="0"/>
        <v>0</v>
      </c>
      <c r="G14" s="800"/>
      <c r="H14" s="264"/>
      <c r="I14" s="260">
        <f t="shared" si="1"/>
        <v>0</v>
      </c>
      <c r="J14" s="240"/>
    </row>
    <row r="15" spans="1:10" x14ac:dyDescent="0.25">
      <c r="B15" s="2"/>
      <c r="C15" s="798"/>
      <c r="D15" s="273"/>
      <c r="E15" s="799"/>
      <c r="F15" s="277">
        <f t="shared" si="0"/>
        <v>0</v>
      </c>
      <c r="G15" s="800"/>
      <c r="H15" s="264"/>
      <c r="I15" s="260">
        <f t="shared" si="1"/>
        <v>0</v>
      </c>
      <c r="J15" s="240"/>
    </row>
    <row r="16" spans="1:10" x14ac:dyDescent="0.25">
      <c r="B16" s="2"/>
      <c r="C16" s="798"/>
      <c r="D16" s="105"/>
      <c r="E16" s="799"/>
      <c r="F16" s="277">
        <f t="shared" si="0"/>
        <v>0</v>
      </c>
      <c r="G16" s="800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9"/>
      <c r="F17" s="277">
        <f t="shared" si="0"/>
        <v>0</v>
      </c>
      <c r="G17" s="800"/>
      <c r="H17" s="264"/>
      <c r="I17" s="260">
        <f t="shared" si="1"/>
        <v>0</v>
      </c>
      <c r="J17" s="240"/>
    </row>
    <row r="18" spans="1:10" x14ac:dyDescent="0.25">
      <c r="B18" s="2"/>
      <c r="C18" s="798"/>
      <c r="D18" s="105"/>
      <c r="E18" s="799"/>
      <c r="F18" s="277">
        <f t="shared" si="0"/>
        <v>0</v>
      </c>
      <c r="G18" s="800"/>
      <c r="H18" s="264"/>
      <c r="I18" s="260">
        <f t="shared" si="1"/>
        <v>0</v>
      </c>
      <c r="J18" s="240"/>
    </row>
    <row r="19" spans="1:10" x14ac:dyDescent="0.25">
      <c r="B19" s="2"/>
      <c r="C19" s="798"/>
      <c r="D19" s="105"/>
      <c r="E19" s="799"/>
      <c r="F19" s="277">
        <f t="shared" si="0"/>
        <v>0</v>
      </c>
      <c r="G19" s="800"/>
      <c r="H19" s="264"/>
      <c r="I19" s="260">
        <f t="shared" si="1"/>
        <v>0</v>
      </c>
      <c r="J19" s="240"/>
    </row>
    <row r="20" spans="1:10" x14ac:dyDescent="0.25">
      <c r="B20" s="2"/>
      <c r="C20" s="798"/>
      <c r="D20" s="105"/>
      <c r="E20" s="799"/>
      <c r="F20" s="277">
        <f t="shared" si="0"/>
        <v>0</v>
      </c>
      <c r="G20" s="801"/>
      <c r="H20" s="71"/>
      <c r="I20" s="260">
        <f t="shared" si="1"/>
        <v>0</v>
      </c>
    </row>
    <row r="21" spans="1:10" x14ac:dyDescent="0.25">
      <c r="B21" s="2"/>
      <c r="C21" s="798"/>
      <c r="D21" s="105"/>
      <c r="E21" s="799"/>
      <c r="F21" s="277">
        <f t="shared" si="0"/>
        <v>0</v>
      </c>
      <c r="G21" s="801"/>
      <c r="H21" s="71"/>
      <c r="I21" s="260">
        <f t="shared" si="1"/>
        <v>0</v>
      </c>
    </row>
    <row r="22" spans="1:10" x14ac:dyDescent="0.25">
      <c r="B22" s="2"/>
      <c r="C22" s="798"/>
      <c r="D22" s="105"/>
      <c r="E22" s="799"/>
      <c r="F22" s="277">
        <f t="shared" si="0"/>
        <v>0</v>
      </c>
      <c r="G22" s="801"/>
      <c r="H22" s="71"/>
      <c r="I22" s="260">
        <f t="shared" si="1"/>
        <v>0</v>
      </c>
    </row>
    <row r="23" spans="1:10" x14ac:dyDescent="0.25">
      <c r="B23" s="2"/>
      <c r="C23" s="798"/>
      <c r="D23" s="105"/>
      <c r="E23" s="799"/>
      <c r="F23" s="277">
        <f t="shared" si="0"/>
        <v>0</v>
      </c>
      <c r="G23" s="801"/>
      <c r="H23" s="71"/>
      <c r="I23" s="260">
        <f t="shared" si="1"/>
        <v>0</v>
      </c>
    </row>
    <row r="24" spans="1:10" x14ac:dyDescent="0.25">
      <c r="B24" s="2"/>
      <c r="C24" s="798"/>
      <c r="D24" s="105"/>
      <c r="E24" s="799"/>
      <c r="F24" s="277">
        <f t="shared" si="0"/>
        <v>0</v>
      </c>
      <c r="G24" s="801"/>
      <c r="H24" s="71"/>
      <c r="I24" s="260">
        <f t="shared" si="1"/>
        <v>0</v>
      </c>
    </row>
    <row r="25" spans="1:10" x14ac:dyDescent="0.25">
      <c r="B25" s="2"/>
      <c r="C25" s="798"/>
      <c r="D25" s="105"/>
      <c r="E25" s="799"/>
      <c r="F25" s="277">
        <f t="shared" si="0"/>
        <v>0</v>
      </c>
      <c r="G25" s="801"/>
      <c r="H25" s="71"/>
      <c r="I25" s="260">
        <f t="shared" si="1"/>
        <v>0</v>
      </c>
    </row>
    <row r="26" spans="1:10" x14ac:dyDescent="0.25">
      <c r="B26" s="109"/>
      <c r="C26" s="798"/>
      <c r="D26" s="105"/>
      <c r="E26" s="799"/>
      <c r="F26" s="277">
        <f t="shared" si="0"/>
        <v>0</v>
      </c>
      <c r="G26" s="802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4" t="s">
        <v>21</v>
      </c>
      <c r="E33" s="7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6" t="s">
        <v>4</v>
      </c>
      <c r="E34" s="7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122</v>
      </c>
      <c r="C4" s="102"/>
      <c r="D4" s="135"/>
      <c r="E4" s="86"/>
      <c r="F4" s="73"/>
      <c r="G4" s="928"/>
    </row>
    <row r="5" spans="1:9" x14ac:dyDescent="0.25">
      <c r="A5" s="1277"/>
      <c r="B5" s="1340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77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 t="s">
        <v>431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3" t="s">
        <v>123</v>
      </c>
      <c r="C4" s="102"/>
      <c r="D4" s="135"/>
      <c r="E4" s="86"/>
      <c r="F4" s="73"/>
      <c r="G4" s="1107"/>
    </row>
    <row r="5" spans="1:9" x14ac:dyDescent="0.25">
      <c r="A5" s="1277" t="s">
        <v>52</v>
      </c>
      <c r="B5" s="1344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77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69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70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15">
        <v>119.26</v>
      </c>
      <c r="E9" s="1112">
        <v>44746</v>
      </c>
      <c r="F9" s="1113">
        <f t="shared" si="0"/>
        <v>119.26</v>
      </c>
      <c r="G9" s="694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15">
        <v>85.33</v>
      </c>
      <c r="E10" s="1112">
        <v>44747</v>
      </c>
      <c r="F10" s="1113">
        <f t="shared" si="0"/>
        <v>85.33</v>
      </c>
      <c r="G10" s="694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15">
        <v>222.21</v>
      </c>
      <c r="E11" s="1112">
        <v>44753</v>
      </c>
      <c r="F11" s="1113">
        <f t="shared" si="0"/>
        <v>222.21</v>
      </c>
      <c r="G11" s="694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15">
        <v>193.3</v>
      </c>
      <c r="E12" s="1112">
        <v>44757</v>
      </c>
      <c r="F12" s="1113">
        <f t="shared" si="0"/>
        <v>193.3</v>
      </c>
      <c r="G12" s="694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15"/>
      <c r="E13" s="1112"/>
      <c r="F13" s="1113">
        <f t="shared" si="0"/>
        <v>0</v>
      </c>
      <c r="G13" s="694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15"/>
      <c r="E14" s="1112"/>
      <c r="F14" s="1113">
        <f t="shared" si="0"/>
        <v>0</v>
      </c>
      <c r="G14" s="694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15"/>
      <c r="E15" s="1112"/>
      <c r="F15" s="1113">
        <f t="shared" si="0"/>
        <v>0</v>
      </c>
      <c r="G15" s="694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15"/>
      <c r="E16" s="1116"/>
      <c r="F16" s="1113">
        <f t="shared" si="0"/>
        <v>0</v>
      </c>
      <c r="G16" s="1114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16"/>
      <c r="F17" s="1113">
        <f t="shared" si="0"/>
        <v>0</v>
      </c>
      <c r="G17" s="1114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103" t="s">
        <v>21</v>
      </c>
      <c r="E33" s="1104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105" t="s">
        <v>4</v>
      </c>
      <c r="E34" s="1106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4" t="s">
        <v>319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65" t="s">
        <v>320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6"/>
      <c r="B6" s="1265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49">
        <f>D11</f>
        <v>0</v>
      </c>
      <c r="G11" s="1122"/>
      <c r="H11" s="1123"/>
      <c r="I11" s="1118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49">
        <f>D12</f>
        <v>0</v>
      </c>
      <c r="G12" s="1122"/>
      <c r="H12" s="1123"/>
      <c r="I12" s="1118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49">
        <f t="shared" ref="F13:F73" si="3">D13</f>
        <v>0</v>
      </c>
      <c r="G13" s="1122"/>
      <c r="H13" s="1123"/>
      <c r="I13" s="1118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49">
        <f t="shared" si="3"/>
        <v>0</v>
      </c>
      <c r="G14" s="1122"/>
      <c r="H14" s="1123"/>
      <c r="I14" s="111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0" t="s">
        <v>224</v>
      </c>
      <c r="B1" s="1260"/>
      <c r="C1" s="1260"/>
      <c r="D1" s="1260"/>
      <c r="E1" s="1260"/>
      <c r="F1" s="1260"/>
      <c r="G1" s="1260"/>
      <c r="H1" s="11">
        <v>1</v>
      </c>
      <c r="K1" s="1264" t="s">
        <v>369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66" t="s">
        <v>64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66" t="s">
        <v>64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66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1"/>
      <c r="L6" s="1266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6">
        <v>24.12</v>
      </c>
      <c r="E16" s="777">
        <v>44746</v>
      </c>
      <c r="F16" s="776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6">
        <v>12.21</v>
      </c>
      <c r="E17" s="777">
        <v>44749</v>
      </c>
      <c r="F17" s="776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6">
        <v>118.9</v>
      </c>
      <c r="E18" s="777">
        <v>44753</v>
      </c>
      <c r="F18" s="776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6">
        <v>97.45</v>
      </c>
      <c r="E19" s="777">
        <v>44758</v>
      </c>
      <c r="F19" s="776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6">
        <v>11.83</v>
      </c>
      <c r="E20" s="777">
        <v>44764</v>
      </c>
      <c r="F20" s="776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6">
        <v>23.6</v>
      </c>
      <c r="E21" s="777">
        <v>44764</v>
      </c>
      <c r="F21" s="776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6"/>
      <c r="E22" s="777"/>
      <c r="F22" s="1133">
        <f t="shared" si="6"/>
        <v>0</v>
      </c>
      <c r="G22" s="1134"/>
      <c r="H22" s="1135"/>
      <c r="I22" s="1131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6"/>
      <c r="E23" s="777"/>
      <c r="F23" s="1133">
        <f t="shared" si="6"/>
        <v>0</v>
      </c>
      <c r="G23" s="1134"/>
      <c r="H23" s="1135"/>
      <c r="I23" s="1131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6"/>
      <c r="E24" s="777"/>
      <c r="F24" s="1133">
        <v>0.25</v>
      </c>
      <c r="G24" s="1134"/>
      <c r="H24" s="1135"/>
      <c r="I24" s="1131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36">
        <f t="shared" si="6"/>
        <v>0</v>
      </c>
      <c r="G25" s="1137"/>
      <c r="H25" s="1138"/>
      <c r="I25" s="1131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36">
        <f t="shared" si="6"/>
        <v>0</v>
      </c>
      <c r="G26" s="1137"/>
      <c r="H26" s="1138"/>
      <c r="I26" s="1131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62" t="s">
        <v>11</v>
      </c>
      <c r="D53" s="1263"/>
      <c r="E53" s="57">
        <f>E5+E6-F48+E7</f>
        <v>0</v>
      </c>
      <c r="F53" s="73"/>
      <c r="M53" s="1262" t="s">
        <v>11</v>
      </c>
      <c r="N53" s="1263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0" t="s">
        <v>225</v>
      </c>
      <c r="B1" s="1260"/>
      <c r="C1" s="1260"/>
      <c r="D1" s="1260"/>
      <c r="E1" s="1260"/>
      <c r="F1" s="1260"/>
      <c r="G1" s="1260"/>
      <c r="H1" s="11">
        <v>1</v>
      </c>
      <c r="K1" s="1260" t="s">
        <v>226</v>
      </c>
      <c r="L1" s="1260"/>
      <c r="M1" s="1260"/>
      <c r="N1" s="1260"/>
      <c r="O1" s="1260"/>
      <c r="P1" s="1260"/>
      <c r="Q1" s="1260"/>
      <c r="R1" s="11">
        <v>2</v>
      </c>
      <c r="U1" s="1264" t="s">
        <v>272</v>
      </c>
      <c r="V1" s="1264"/>
      <c r="W1" s="1264"/>
      <c r="X1" s="1264"/>
      <c r="Y1" s="1264"/>
      <c r="Z1" s="1264"/>
      <c r="AA1" s="126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67" t="s">
        <v>73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67" t="s">
        <v>73</v>
      </c>
      <c r="M5" s="853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67" t="s">
        <v>73</v>
      </c>
      <c r="W5" s="989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67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67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67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80"/>
      <c r="B10" s="83">
        <f>B9-C10</f>
        <v>40</v>
      </c>
      <c r="C10" s="243">
        <v>15</v>
      </c>
      <c r="D10" s="776">
        <v>186.49</v>
      </c>
      <c r="E10" s="777">
        <v>44624</v>
      </c>
      <c r="F10" s="776">
        <f t="shared" si="0"/>
        <v>186.49</v>
      </c>
      <c r="G10" s="412" t="s">
        <v>92</v>
      </c>
      <c r="H10" s="937">
        <v>125</v>
      </c>
      <c r="I10" s="273">
        <f>I9-F10</f>
        <v>490.3599999999999</v>
      </c>
      <c r="K10" s="780"/>
      <c r="L10" s="83">
        <f>L9-M10</f>
        <v>12</v>
      </c>
      <c r="M10" s="243">
        <v>10</v>
      </c>
      <c r="N10" s="326">
        <v>115.27</v>
      </c>
      <c r="O10" s="895">
        <v>44729</v>
      </c>
      <c r="P10" s="326">
        <f t="shared" si="1"/>
        <v>115.27</v>
      </c>
      <c r="Q10" s="896" t="s">
        <v>158</v>
      </c>
      <c r="R10" s="296">
        <v>105</v>
      </c>
      <c r="S10" s="273">
        <f>S9-P10</f>
        <v>132.91999999999996</v>
      </c>
      <c r="U10" s="780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6">
        <v>122.76</v>
      </c>
      <c r="E11" s="777">
        <v>44638</v>
      </c>
      <c r="F11" s="776">
        <f t="shared" si="0"/>
        <v>122.76</v>
      </c>
      <c r="G11" s="412" t="s">
        <v>93</v>
      </c>
      <c r="H11" s="93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5">
        <v>44744</v>
      </c>
      <c r="P11" s="326">
        <f t="shared" si="1"/>
        <v>114.92</v>
      </c>
      <c r="Q11" s="896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3">
        <v>184.1</v>
      </c>
      <c r="E12" s="844">
        <v>44664</v>
      </c>
      <c r="F12" s="843">
        <f t="shared" si="0"/>
        <v>184.1</v>
      </c>
      <c r="G12" s="845" t="s">
        <v>101</v>
      </c>
      <c r="H12" s="93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5"/>
      <c r="P12" s="1128">
        <f t="shared" si="1"/>
        <v>0</v>
      </c>
      <c r="Q12" s="1129"/>
      <c r="R12" s="1130"/>
      <c r="S12" s="1131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3">
        <v>122.14</v>
      </c>
      <c r="E13" s="844">
        <v>44667</v>
      </c>
      <c r="F13" s="843">
        <f t="shared" si="0"/>
        <v>122.14</v>
      </c>
      <c r="G13" s="845" t="s">
        <v>102</v>
      </c>
      <c r="H13" s="93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5"/>
      <c r="P13" s="1128">
        <f t="shared" si="1"/>
        <v>0</v>
      </c>
      <c r="Q13" s="1129"/>
      <c r="R13" s="1130"/>
      <c r="S13" s="1131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5"/>
      <c r="F14" s="326">
        <f t="shared" si="0"/>
        <v>0</v>
      </c>
      <c r="G14" s="896"/>
      <c r="H14" s="936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5"/>
      <c r="P14" s="1128">
        <v>18</v>
      </c>
      <c r="Q14" s="1129"/>
      <c r="R14" s="1130"/>
      <c r="S14" s="1131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5"/>
      <c r="F15" s="326">
        <f t="shared" si="0"/>
        <v>0</v>
      </c>
      <c r="G15" s="896"/>
      <c r="H15" s="936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5"/>
      <c r="P15" s="1128">
        <f t="shared" si="1"/>
        <v>0</v>
      </c>
      <c r="Q15" s="1129"/>
      <c r="R15" s="1130"/>
      <c r="S15" s="1131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5"/>
      <c r="F16" s="326">
        <f t="shared" si="0"/>
        <v>0</v>
      </c>
      <c r="G16" s="896"/>
      <c r="H16" s="936"/>
      <c r="I16" s="273">
        <f t="shared" si="4"/>
        <v>61.359999999999914</v>
      </c>
      <c r="L16" s="291">
        <f t="shared" si="5"/>
        <v>0</v>
      </c>
      <c r="M16" s="73"/>
      <c r="N16" s="326"/>
      <c r="O16" s="895"/>
      <c r="P16" s="326">
        <f t="shared" si="1"/>
        <v>0</v>
      </c>
      <c r="Q16" s="896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5"/>
      <c r="F17" s="326">
        <v>0</v>
      </c>
      <c r="G17" s="896"/>
      <c r="H17" s="936"/>
      <c r="I17" s="273">
        <f t="shared" si="4"/>
        <v>61.359999999999914</v>
      </c>
      <c r="L17" s="291">
        <f t="shared" si="5"/>
        <v>0</v>
      </c>
      <c r="M17" s="73"/>
      <c r="N17" s="326"/>
      <c r="O17" s="895"/>
      <c r="P17" s="326">
        <f t="shared" si="1"/>
        <v>0</v>
      </c>
      <c r="Q17" s="896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5"/>
      <c r="F18" s="326">
        <f t="shared" si="0"/>
        <v>0</v>
      </c>
      <c r="G18" s="896"/>
      <c r="H18" s="936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5"/>
      <c r="P18" s="326">
        <f t="shared" si="1"/>
        <v>0</v>
      </c>
      <c r="Q18" s="896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5"/>
      <c r="F19" s="326">
        <f t="shared" si="0"/>
        <v>0</v>
      </c>
      <c r="G19" s="896"/>
      <c r="H19" s="936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5"/>
      <c r="P19" s="326">
        <f t="shared" si="1"/>
        <v>0</v>
      </c>
      <c r="Q19" s="896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5"/>
      <c r="F20" s="326">
        <f t="shared" si="0"/>
        <v>0</v>
      </c>
      <c r="G20" s="896"/>
      <c r="H20" s="936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5"/>
      <c r="F21" s="326">
        <f t="shared" si="0"/>
        <v>0</v>
      </c>
      <c r="G21" s="896"/>
      <c r="H21" s="936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3"/>
      <c r="E22" s="844"/>
      <c r="F22" s="843">
        <f t="shared" si="0"/>
        <v>0</v>
      </c>
      <c r="G22" s="845"/>
      <c r="H22" s="938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62" t="s">
        <v>11</v>
      </c>
      <c r="D47" s="1263"/>
      <c r="E47" s="57">
        <f>E5+E6-F42+E7</f>
        <v>61.359999999999957</v>
      </c>
      <c r="F47" s="73"/>
      <c r="M47" s="1262" t="s">
        <v>11</v>
      </c>
      <c r="N47" s="1263"/>
      <c r="O47" s="57">
        <f>O5+O6-P42+O7</f>
        <v>-11.29000000000002</v>
      </c>
      <c r="P47" s="73"/>
      <c r="W47" s="1262" t="s">
        <v>11</v>
      </c>
      <c r="X47" s="1263"/>
      <c r="Y47" s="57">
        <f>Y5+Y6-Z42+Y7</f>
        <v>190.66000000000003</v>
      </c>
      <c r="Z47" s="73"/>
    </row>
    <row r="50" spans="1:28" x14ac:dyDescent="0.25">
      <c r="A50" s="250"/>
      <c r="B50" s="1250"/>
      <c r="C50" s="686"/>
      <c r="D50" s="272"/>
      <c r="E50" s="257"/>
      <c r="F50" s="253"/>
      <c r="G50" s="258"/>
      <c r="H50" s="240"/>
      <c r="K50" s="250"/>
      <c r="L50" s="1250"/>
      <c r="M50" s="686"/>
      <c r="N50" s="272"/>
      <c r="O50" s="257"/>
      <c r="P50" s="253"/>
      <c r="Q50" s="258"/>
      <c r="R50" s="240"/>
      <c r="U50" s="250"/>
      <c r="V50" s="1250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50"/>
      <c r="C51" s="534"/>
      <c r="D51" s="248"/>
      <c r="E51" s="265"/>
      <c r="F51" s="253"/>
      <c r="G51" s="260"/>
      <c r="H51" s="240"/>
      <c r="K51" s="250"/>
      <c r="L51" s="1250"/>
      <c r="M51" s="534"/>
      <c r="N51" s="248"/>
      <c r="O51" s="265"/>
      <c r="P51" s="253"/>
      <c r="Q51" s="260"/>
      <c r="R51" s="240"/>
      <c r="U51" s="250"/>
      <c r="V51" s="1250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0" t="s">
        <v>227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65" t="s">
        <v>100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65" t="s">
        <v>100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65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65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80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80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5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5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5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5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27">
        <v>98</v>
      </c>
      <c r="S12" s="273">
        <f t="shared" si="6"/>
        <v>1579.65</v>
      </c>
    </row>
    <row r="13" spans="1:19" x14ac:dyDescent="0.25">
      <c r="A13" s="82" t="s">
        <v>33</v>
      </c>
      <c r="B13" s="875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5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5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5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5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5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5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5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5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5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5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5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5">
        <f t="shared" si="3"/>
        <v>16</v>
      </c>
      <c r="C19" s="15">
        <v>10</v>
      </c>
      <c r="D19" s="776">
        <v>117.45</v>
      </c>
      <c r="E19" s="777">
        <v>44747</v>
      </c>
      <c r="F19" s="776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5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6">
        <v>12.07</v>
      </c>
      <c r="E20" s="777">
        <v>44749</v>
      </c>
      <c r="F20" s="776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6">
        <v>117.51</v>
      </c>
      <c r="E21" s="777">
        <v>44749</v>
      </c>
      <c r="F21" s="776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6">
        <v>50.95</v>
      </c>
      <c r="E22" s="777">
        <v>44751</v>
      </c>
      <c r="F22" s="776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6"/>
      <c r="E23" s="777"/>
      <c r="F23" s="776">
        <f t="shared" si="0"/>
        <v>0</v>
      </c>
      <c r="G23" s="1109"/>
      <c r="H23" s="1110"/>
      <c r="I23" s="1118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6"/>
      <c r="E24" s="777"/>
      <c r="F24" s="776">
        <v>0.82</v>
      </c>
      <c r="G24" s="1109"/>
      <c r="H24" s="1110"/>
      <c r="I24" s="1118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6"/>
      <c r="E25" s="777"/>
      <c r="F25" s="776">
        <f t="shared" si="0"/>
        <v>0</v>
      </c>
      <c r="G25" s="1109"/>
      <c r="H25" s="1110"/>
      <c r="I25" s="1118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6"/>
      <c r="E26" s="777"/>
      <c r="F26" s="776">
        <f t="shared" si="0"/>
        <v>0</v>
      </c>
      <c r="G26" s="1109"/>
      <c r="H26" s="1110"/>
      <c r="I26" s="1118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6"/>
      <c r="E27" s="777"/>
      <c r="F27" s="776">
        <f t="shared" si="0"/>
        <v>0</v>
      </c>
      <c r="G27" s="1109"/>
      <c r="H27" s="1110"/>
      <c r="I27" s="1118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6"/>
      <c r="E28" s="777"/>
      <c r="F28" s="776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62" t="s">
        <v>11</v>
      </c>
      <c r="D83" s="1263"/>
      <c r="E83" s="57">
        <f>E5+E6-F78+E7</f>
        <v>-60.389999999999986</v>
      </c>
      <c r="F83" s="73"/>
      <c r="M83" s="1262" t="s">
        <v>11</v>
      </c>
      <c r="N83" s="1263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0" t="s">
        <v>228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  <c r="U1" s="1264" t="s">
        <v>272</v>
      </c>
      <c r="V1" s="1264"/>
      <c r="W1" s="1264"/>
      <c r="X1" s="1264"/>
      <c r="Y1" s="1264"/>
      <c r="Z1" s="1264"/>
      <c r="AA1" s="126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68" t="s">
        <v>74</v>
      </c>
      <c r="C4" s="315"/>
      <c r="D4" s="248"/>
      <c r="E4" s="676"/>
      <c r="F4" s="243"/>
      <c r="G4" s="160"/>
      <c r="H4" s="160"/>
      <c r="K4" s="624"/>
      <c r="L4" s="1268" t="s">
        <v>74</v>
      </c>
      <c r="M4" s="315"/>
      <c r="N4" s="248"/>
      <c r="O4" s="676">
        <v>681.99</v>
      </c>
      <c r="P4" s="243">
        <v>25</v>
      </c>
      <c r="Q4" s="160"/>
      <c r="R4" s="160"/>
      <c r="U4" s="624"/>
      <c r="V4" s="1268" t="s">
        <v>74</v>
      </c>
      <c r="W4" s="315"/>
      <c r="X4" s="248"/>
      <c r="Y4" s="676"/>
      <c r="Z4" s="243"/>
      <c r="AA4" s="160"/>
      <c r="AB4" s="160"/>
    </row>
    <row r="5" spans="1:29" x14ac:dyDescent="0.25">
      <c r="A5" s="1269" t="s">
        <v>121</v>
      </c>
      <c r="B5" s="1265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69" t="s">
        <v>121</v>
      </c>
      <c r="L5" s="1265"/>
      <c r="M5" s="315">
        <v>124</v>
      </c>
      <c r="N5" s="248">
        <v>44751</v>
      </c>
      <c r="O5" s="676">
        <v>4955.87</v>
      </c>
      <c r="P5" s="243">
        <v>180</v>
      </c>
      <c r="Q5" s="258"/>
      <c r="U5" s="1269" t="s">
        <v>397</v>
      </c>
      <c r="V5" s="1265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69"/>
      <c r="B6" s="1265"/>
      <c r="C6" s="546"/>
      <c r="D6" s="248"/>
      <c r="E6" s="677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69"/>
      <c r="L6" s="1265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69"/>
      <c r="V6" s="1265"/>
      <c r="W6" s="546"/>
      <c r="X6" s="248"/>
      <c r="Y6" s="677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81"/>
      <c r="B7" s="270"/>
      <c r="C7" s="281"/>
      <c r="D7" s="272"/>
      <c r="E7" s="676"/>
      <c r="F7" s="243"/>
      <c r="G7" s="240"/>
      <c r="K7" s="781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1"/>
      <c r="V7" s="270">
        <v>0</v>
      </c>
      <c r="W7" s="281"/>
      <c r="X7" s="272" t="s">
        <v>602</v>
      </c>
      <c r="Y7" s="676">
        <v>4.83</v>
      </c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312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80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80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80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6">
        <v>139.97999999999999</v>
      </c>
      <c r="E19" s="777">
        <v>44746</v>
      </c>
      <c r="F19" s="776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6">
        <v>923.55</v>
      </c>
      <c r="E20" s="777">
        <v>44746</v>
      </c>
      <c r="F20" s="776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6">
        <v>105.92</v>
      </c>
      <c r="E21" s="777">
        <v>44747</v>
      </c>
      <c r="F21" s="776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6">
        <v>34.840000000000003</v>
      </c>
      <c r="E22" s="777">
        <v>44748</v>
      </c>
      <c r="F22" s="776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6">
        <v>25.99</v>
      </c>
      <c r="E23" s="777">
        <v>44750</v>
      </c>
      <c r="F23" s="776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6"/>
      <c r="E24" s="777"/>
      <c r="F24" s="776">
        <f t="shared" si="0"/>
        <v>0</v>
      </c>
      <c r="G24" s="1109"/>
      <c r="H24" s="1110"/>
      <c r="I24" s="1118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6"/>
      <c r="E25" s="777"/>
      <c r="F25" s="776">
        <f t="shared" si="0"/>
        <v>0</v>
      </c>
      <c r="G25" s="1109"/>
      <c r="H25" s="1110"/>
      <c r="I25" s="1118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6"/>
      <c r="E26" s="777"/>
      <c r="F26" s="776">
        <v>681.99</v>
      </c>
      <c r="G26" s="1109"/>
      <c r="H26" s="1110"/>
      <c r="I26" s="1118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6"/>
      <c r="E27" s="777"/>
      <c r="F27" s="776">
        <f t="shared" si="0"/>
        <v>0</v>
      </c>
      <c r="G27" s="1109"/>
      <c r="H27" s="1110"/>
      <c r="I27" s="1118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6"/>
      <c r="E28" s="777"/>
      <c r="F28" s="776">
        <f t="shared" si="0"/>
        <v>0</v>
      </c>
      <c r="G28" s="1109"/>
      <c r="H28" s="1110"/>
      <c r="I28" s="1118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6"/>
      <c r="E29" s="777"/>
      <c r="F29" s="776">
        <f t="shared" si="0"/>
        <v>0</v>
      </c>
      <c r="G29" s="1109"/>
      <c r="H29" s="1110"/>
      <c r="I29" s="1118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6"/>
      <c r="E30" s="777"/>
      <c r="F30" s="776">
        <f t="shared" si="0"/>
        <v>0</v>
      </c>
      <c r="G30" s="1109"/>
      <c r="H30" s="1110"/>
      <c r="I30" s="1118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6"/>
      <c r="E31" s="777"/>
      <c r="F31" s="776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6"/>
      <c r="E32" s="777"/>
      <c r="F32" s="776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49">
        <f t="shared" si="1"/>
        <v>0</v>
      </c>
      <c r="Q43" s="1122"/>
      <c r="R43" s="1123"/>
      <c r="S43" s="1118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49">
        <f t="shared" si="1"/>
        <v>0</v>
      </c>
      <c r="Q44" s="1122"/>
      <c r="R44" s="1123"/>
      <c r="S44" s="1118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49">
        <v>383.13</v>
      </c>
      <c r="Q45" s="1122"/>
      <c r="R45" s="1123"/>
      <c r="S45" s="1118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49">
        <f t="shared" si="1"/>
        <v>0</v>
      </c>
      <c r="Q46" s="1122"/>
      <c r="R46" s="1123"/>
      <c r="S46" s="1118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62" t="s">
        <v>11</v>
      </c>
      <c r="D84" s="1263"/>
      <c r="E84" s="57">
        <f>E5+E6-F79+E7</f>
        <v>9.0949470177292824E-13</v>
      </c>
      <c r="F84" s="73"/>
      <c r="M84" s="1262" t="s">
        <v>11</v>
      </c>
      <c r="N84" s="1263"/>
      <c r="O84" s="57">
        <f>O5+O6-P79+O7</f>
        <v>-1848.509999999997</v>
      </c>
      <c r="P84" s="73"/>
      <c r="W84" s="1262" t="s">
        <v>11</v>
      </c>
      <c r="X84" s="1263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2022-08-31T13:43:17Z</dcterms:modified>
</cp:coreProperties>
</file>