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#15  ARCHIVO   2 0 2 2\CENTRAL #12  DICIEMBRE 2022\"/>
    </mc:Choice>
  </mc:AlternateContent>
  <bookViews>
    <workbookView xWindow="-120" yWindow="-120" windowWidth="20730" windowHeight="11160" tabRatio="604" firstSheet="1" activeTab="1"/>
  </bookViews>
  <sheets>
    <sheet name="Gráfico1" sheetId="137" state="hidden" r:id="rId1"/>
    <sheet name="COMPRAS DEL MES " sheetId="38" r:id="rId2"/>
    <sheet name="PIERNA" sheetId="1" r:id="rId3"/>
    <sheet name="   PIERNA   CON  CUERO   " sheetId="200" state="hidden" r:id="rId4"/>
    <sheet name="   P A P A D A       " sheetId="201" r:id="rId5"/>
    <sheet name="PUNTAS DE CAÑA DE LOMO  " sheetId="208" r:id="rId6"/>
    <sheet name="T A Q U E R A          " sheetId="57" r:id="rId7"/>
    <sheet name=" TAMPIQUEÑA     " sheetId="196" r:id="rId8"/>
    <sheet name="T E X A N A      " sheetId="197" r:id="rId9"/>
    <sheet name="CONTRA EXCEL   pulpa blanca" sheetId="129" r:id="rId10"/>
    <sheet name="    P E C H O         " sheetId="179" r:id="rId11"/>
    <sheet name="PULPA    NEGRA     " sheetId="194" state="hidden" r:id="rId12"/>
    <sheet name="FILETE    DE    CERDO  " sheetId="159" r:id="rId13"/>
    <sheet name="  B O L A          " sheetId="198" state="hidden" r:id="rId14"/>
    <sheet name="B U CH E      " sheetId="157" r:id="rId15"/>
    <sheet name="   TOP    S I R L O N       " sheetId="154" state="hidden" r:id="rId16"/>
    <sheet name="PECHO DE    RES   " sheetId="192" r:id="rId17"/>
    <sheet name="QUESOS    GOUDA   AMERLAND  " sheetId="164" state="hidden" r:id="rId18"/>
    <sheet name="PULPA ESPALDILLA " sheetId="185" state="hidden" r:id="rId19"/>
    <sheet name="RECORTE     ESPECIAL    " sheetId="130" state="hidden" r:id="rId20"/>
    <sheet name="   RECORTE  DE   DIAGRAMA " sheetId="202" state="hidden" r:id="rId21"/>
    <sheet name="SALMON          " sheetId="8" r:id="rId22"/>
    <sheet name="CUERO  EN   COMBO  " sheetId="128" r:id="rId23"/>
    <sheet name=" CHAMBARETE   CAJA   " sheetId="203" r:id="rId24"/>
    <sheet name="      A T  U N         " sheetId="135" state="hidden" r:id="rId25"/>
    <sheet name="MENUDO EXCELL   I B P" sheetId="40" r:id="rId26"/>
    <sheet name="ESPALDILLA CARNERO Y CORDERO   " sheetId="54" r:id="rId27"/>
    <sheet name="CARNERO EN CANAL X  CAJA  " sheetId="193" state="hidden" r:id="rId28"/>
    <sheet name="ESPALDILLA     SH    " sheetId="187" r:id="rId29"/>
    <sheet name="QUESOS  GOUDA    " sheetId="14" state="hidden" r:id="rId30"/>
    <sheet name="PIERNA DE CARNERO Nal " sheetId="178" state="hidden" r:id="rId31"/>
    <sheet name="FILETE  TILAPIA   " sheetId="65" r:id="rId32"/>
    <sheet name="CHULETA   DE  CERDO   " sheetId="139" state="hidden" r:id="rId33"/>
    <sheet name="C A M A R O N E S      " sheetId="188" r:id="rId34"/>
    <sheet name="  PUNTAS   DE    CHULETA   " sheetId="205" r:id="rId35"/>
    <sheet name="PIERNA    SH      " sheetId="190" state="hidden" r:id="rId36"/>
    <sheet name="COSTILLA ESPECIAL DE CERDO  " sheetId="133" state="hidden" r:id="rId37"/>
    <sheet name="     CAÑA   DE    LOMO      " sheetId="117" r:id="rId38"/>
    <sheet name="SESOS  CERDO MARQUETA   " sheetId="209" r:id="rId39"/>
    <sheet name="CABEZA DE   LOMO    " sheetId="161" r:id="rId40"/>
    <sheet name="P A V O S           " sheetId="156" state="hidden" r:id="rId41"/>
    <sheet name="CABEZA S-- PAPADA RES" sheetId="210" r:id="rId42"/>
    <sheet name="MANITAS DE CERDO " sheetId="177" r:id="rId43"/>
    <sheet name="TOCINO      NACIONAL        " sheetId="180" r:id="rId44"/>
    <sheet name="C O R B A T A        " sheetId="174" r:id="rId45"/>
    <sheet name="CUERO PANCETA    " sheetId="189" state="hidden" r:id="rId46"/>
    <sheet name="   CUERO   EN   COMBO   " sheetId="195" state="hidden" r:id="rId47"/>
    <sheet name="   G R A S A      " sheetId="204" r:id="rId48"/>
    <sheet name="Hoja2" sheetId="206" r:id="rId49"/>
    <sheet name="Hoja3" sheetId="207" r:id="rId50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53" i="38" l="1"/>
  <c r="Q52" i="38"/>
  <c r="S155" i="38" l="1"/>
  <c r="T155" i="38"/>
  <c r="S156" i="38"/>
  <c r="T156" i="38"/>
  <c r="S157" i="38"/>
  <c r="T157" i="38"/>
  <c r="S158" i="38"/>
  <c r="T158" i="38"/>
  <c r="S159" i="38"/>
  <c r="T159" i="38"/>
  <c r="S160" i="38"/>
  <c r="T160" i="38"/>
  <c r="S161" i="38"/>
  <c r="T161" i="38"/>
  <c r="I155" i="38" l="1"/>
  <c r="S145" i="38"/>
  <c r="T145" i="38" s="1"/>
  <c r="I145" i="38"/>
  <c r="S128" i="38"/>
  <c r="T128" i="38" s="1"/>
  <c r="I128" i="38"/>
  <c r="T127" i="38"/>
  <c r="S127" i="38"/>
  <c r="I127" i="38"/>
  <c r="S126" i="38"/>
  <c r="T126" i="38" s="1"/>
  <c r="I126" i="38"/>
  <c r="S125" i="38"/>
  <c r="T125" i="38" s="1"/>
  <c r="S124" i="38"/>
  <c r="T124" i="38" s="1"/>
  <c r="I125" i="38"/>
  <c r="I124" i="38"/>
  <c r="S122" i="38"/>
  <c r="T122" i="38" s="1"/>
  <c r="I122" i="38"/>
  <c r="S123" i="38"/>
  <c r="T123" i="38" s="1"/>
  <c r="I123" i="38"/>
  <c r="Q50" i="38" l="1"/>
  <c r="Q51" i="38"/>
  <c r="Q54" i="38"/>
  <c r="Q55" i="38"/>
  <c r="V9" i="65" l="1"/>
  <c r="L65" i="65"/>
  <c r="V10" i="65" l="1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V69" i="65" s="1"/>
  <c r="V70" i="65" s="1"/>
  <c r="V71" i="65" s="1"/>
  <c r="V72" i="65" s="1"/>
  <c r="V73" i="65" s="1"/>
  <c r="V74" i="65" s="1"/>
  <c r="V75" i="65" s="1"/>
  <c r="V76" i="65" s="1"/>
  <c r="V77" i="65" s="1"/>
  <c r="V78" i="65" s="1"/>
  <c r="V79" i="65" s="1"/>
  <c r="V80" i="65" s="1"/>
  <c r="V81" i="65" s="1"/>
  <c r="V82" i="65" s="1"/>
  <c r="V83" i="65" s="1"/>
  <c r="V84" i="65" s="1"/>
  <c r="V85" i="65" s="1"/>
  <c r="V86" i="65" s="1"/>
  <c r="V87" i="65" s="1"/>
  <c r="V88" i="65" s="1"/>
  <c r="V89" i="65" s="1"/>
  <c r="V90" i="65" s="1"/>
  <c r="V91" i="65" s="1"/>
  <c r="V92" i="65" s="1"/>
  <c r="V93" i="65" s="1"/>
  <c r="V94" i="65" s="1"/>
  <c r="V95" i="65" s="1"/>
  <c r="V96" i="65" s="1"/>
  <c r="V97" i="65" s="1"/>
  <c r="V98" i="65" s="1"/>
  <c r="V99" i="65" s="1"/>
  <c r="V100" i="65" s="1"/>
  <c r="V101" i="65" s="1"/>
  <c r="V102" i="65" s="1"/>
  <c r="V103" i="65" s="1"/>
  <c r="V104" i="65" s="1"/>
  <c r="V105" i="65" s="1"/>
  <c r="V106" i="65" s="1"/>
  <c r="V107" i="65" s="1"/>
  <c r="U9" i="65" l="1"/>
  <c r="U10" i="65" s="1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U69" i="65" s="1"/>
  <c r="U70" i="65" s="1"/>
  <c r="U71" i="65" s="1"/>
  <c r="U72" i="65" s="1"/>
  <c r="U73" i="65" s="1"/>
  <c r="U74" i="65" s="1"/>
  <c r="U75" i="65" s="1"/>
  <c r="U76" i="65" s="1"/>
  <c r="U77" i="65" s="1"/>
  <c r="U78" i="65" s="1"/>
  <c r="U79" i="65" s="1"/>
  <c r="U80" i="65" s="1"/>
  <c r="U81" i="65" s="1"/>
  <c r="U82" i="65" s="1"/>
  <c r="U83" i="65" s="1"/>
  <c r="U84" i="65" s="1"/>
  <c r="U85" i="65" s="1"/>
  <c r="U86" i="65" s="1"/>
  <c r="U87" i="65" s="1"/>
  <c r="U88" i="65" s="1"/>
  <c r="U89" i="65" s="1"/>
  <c r="U90" i="65" s="1"/>
  <c r="U91" i="65" s="1"/>
  <c r="U92" i="65" s="1"/>
  <c r="U93" i="65" s="1"/>
  <c r="U94" i="65" s="1"/>
  <c r="U95" i="65" s="1"/>
  <c r="U96" i="65" s="1"/>
  <c r="U97" i="65" s="1"/>
  <c r="U98" i="65" s="1"/>
  <c r="U99" i="65" s="1"/>
  <c r="U100" i="65" s="1"/>
  <c r="U101" i="65" s="1"/>
  <c r="U102" i="65" s="1"/>
  <c r="U103" i="65" s="1"/>
  <c r="U104" i="65" s="1"/>
  <c r="U105" i="65" s="1"/>
  <c r="U106" i="65" s="1"/>
  <c r="U107" i="65" s="1"/>
  <c r="P9" i="54"/>
  <c r="D43" i="209" l="1"/>
  <c r="D42" i="209"/>
  <c r="P8" i="157" l="1"/>
  <c r="TJ28" i="1" l="1"/>
  <c r="TJ27" i="1"/>
  <c r="TJ26" i="1"/>
  <c r="TJ25" i="1"/>
  <c r="TJ24" i="1"/>
  <c r="TJ23" i="1"/>
  <c r="TJ22" i="1"/>
  <c r="TJ21" i="1"/>
  <c r="TJ20" i="1"/>
  <c r="TJ19" i="1"/>
  <c r="TJ18" i="1"/>
  <c r="TJ17" i="1"/>
  <c r="TJ16" i="1"/>
  <c r="TJ15" i="1"/>
  <c r="TJ14" i="1"/>
  <c r="TJ13" i="1"/>
  <c r="TJ12" i="1"/>
  <c r="TJ11" i="1"/>
  <c r="TJ10" i="1"/>
  <c r="TJ9" i="1"/>
  <c r="TJ8" i="1"/>
  <c r="SZ28" i="1"/>
  <c r="SZ27" i="1"/>
  <c r="SZ26" i="1"/>
  <c r="SZ25" i="1"/>
  <c r="SZ24" i="1"/>
  <c r="SZ23" i="1"/>
  <c r="SZ22" i="1"/>
  <c r="SZ21" i="1"/>
  <c r="SZ20" i="1"/>
  <c r="SZ19" i="1"/>
  <c r="SZ18" i="1"/>
  <c r="SZ17" i="1"/>
  <c r="SZ16" i="1"/>
  <c r="SZ15" i="1"/>
  <c r="SZ14" i="1"/>
  <c r="SZ13" i="1"/>
  <c r="SZ12" i="1"/>
  <c r="SZ11" i="1"/>
  <c r="SZ10" i="1"/>
  <c r="SZ9" i="1"/>
  <c r="SZ8" i="1"/>
  <c r="SP28" i="1"/>
  <c r="SP27" i="1"/>
  <c r="SP26" i="1"/>
  <c r="SP25" i="1"/>
  <c r="SP24" i="1"/>
  <c r="SP23" i="1"/>
  <c r="SP22" i="1"/>
  <c r="SP21" i="1"/>
  <c r="SP20" i="1"/>
  <c r="SP19" i="1"/>
  <c r="SP18" i="1"/>
  <c r="SP17" i="1"/>
  <c r="SP16" i="1"/>
  <c r="SP15" i="1"/>
  <c r="SP14" i="1"/>
  <c r="SP13" i="1"/>
  <c r="SP12" i="1"/>
  <c r="SP11" i="1"/>
  <c r="SP10" i="1"/>
  <c r="SP9" i="1"/>
  <c r="SP8" i="1"/>
  <c r="AA82" i="129"/>
  <c r="Z79" i="129"/>
  <c r="Y79" i="129"/>
  <c r="AF77" i="129"/>
  <c r="AB77" i="129"/>
  <c r="AF76" i="129"/>
  <c r="AB76" i="129"/>
  <c r="AF75" i="129"/>
  <c r="AB75" i="129"/>
  <c r="AF74" i="129"/>
  <c r="AB74" i="129"/>
  <c r="AF73" i="129"/>
  <c r="AB73" i="129"/>
  <c r="AF72" i="129"/>
  <c r="AB72" i="129"/>
  <c r="AF71" i="129"/>
  <c r="AB71" i="129"/>
  <c r="AF70" i="129"/>
  <c r="AB70" i="129"/>
  <c r="AF69" i="129"/>
  <c r="AB69" i="129"/>
  <c r="AF68" i="129"/>
  <c r="AB68" i="129"/>
  <c r="AF67" i="129"/>
  <c r="AB67" i="129"/>
  <c r="AF66" i="129"/>
  <c r="AB66" i="129"/>
  <c r="AF65" i="129"/>
  <c r="AB65" i="129"/>
  <c r="AF64" i="129"/>
  <c r="AB64" i="129"/>
  <c r="AF63" i="129"/>
  <c r="AB63" i="129"/>
  <c r="AF62" i="129"/>
  <c r="AB62" i="129"/>
  <c r="AF61" i="129"/>
  <c r="AB61" i="129"/>
  <c r="AF60" i="129"/>
  <c r="AB60" i="129"/>
  <c r="AF59" i="129"/>
  <c r="AB59" i="129"/>
  <c r="AF58" i="129"/>
  <c r="AB57" i="129"/>
  <c r="AF57" i="129" s="1"/>
  <c r="AB56" i="129"/>
  <c r="AF56" i="129" s="1"/>
  <c r="AB55" i="129"/>
  <c r="AF55" i="129" s="1"/>
  <c r="AB54" i="129"/>
  <c r="AF54" i="129" s="1"/>
  <c r="AB53" i="129"/>
  <c r="AF53" i="129" s="1"/>
  <c r="AB52" i="129"/>
  <c r="AF52" i="129" s="1"/>
  <c r="AB51" i="129"/>
  <c r="AF51" i="129" s="1"/>
  <c r="AB50" i="129"/>
  <c r="AF50" i="129" s="1"/>
  <c r="AB49" i="129"/>
  <c r="AF49" i="129" s="1"/>
  <c r="AB48" i="129"/>
  <c r="AF48" i="129" s="1"/>
  <c r="AB47" i="129"/>
  <c r="AF47" i="129" s="1"/>
  <c r="AB46" i="129"/>
  <c r="AF46" i="129" s="1"/>
  <c r="AB45" i="129"/>
  <c r="AF45" i="129" s="1"/>
  <c r="AB44" i="129"/>
  <c r="AF44" i="129" s="1"/>
  <c r="AB43" i="129"/>
  <c r="AF43" i="129" s="1"/>
  <c r="AB42" i="129"/>
  <c r="AF42" i="129" s="1"/>
  <c r="AB41" i="129"/>
  <c r="AF41" i="129" s="1"/>
  <c r="AB40" i="129"/>
  <c r="AF40" i="129" s="1"/>
  <c r="AB39" i="129"/>
  <c r="AF39" i="129" s="1"/>
  <c r="AB38" i="129"/>
  <c r="AF38" i="129" s="1"/>
  <c r="AB37" i="129"/>
  <c r="AF37" i="129" s="1"/>
  <c r="AB36" i="129"/>
  <c r="AF36" i="129" s="1"/>
  <c r="AB35" i="129"/>
  <c r="AF35" i="129" s="1"/>
  <c r="AB34" i="129"/>
  <c r="AF34" i="129" s="1"/>
  <c r="AB33" i="129"/>
  <c r="AF33" i="129" s="1"/>
  <c r="AB32" i="129"/>
  <c r="AF32" i="129" s="1"/>
  <c r="AB31" i="129"/>
  <c r="AF31" i="129" s="1"/>
  <c r="AB30" i="129"/>
  <c r="AF30" i="129" s="1"/>
  <c r="AB29" i="129"/>
  <c r="AF29" i="129" s="1"/>
  <c r="AB28" i="129"/>
  <c r="AF28" i="129" s="1"/>
  <c r="AB27" i="129"/>
  <c r="AF27" i="129" s="1"/>
  <c r="AB26" i="129"/>
  <c r="AF26" i="129" s="1"/>
  <c r="AB25" i="129"/>
  <c r="AF25" i="129" s="1"/>
  <c r="AB24" i="129"/>
  <c r="AF24" i="129" s="1"/>
  <c r="AB23" i="129"/>
  <c r="AF23" i="129" s="1"/>
  <c r="AB22" i="129"/>
  <c r="AF22" i="129" s="1"/>
  <c r="AB21" i="129"/>
  <c r="AF21" i="129" s="1"/>
  <c r="AB20" i="129"/>
  <c r="AF20" i="129" s="1"/>
  <c r="AB19" i="129"/>
  <c r="AF19" i="129" s="1"/>
  <c r="AB18" i="129"/>
  <c r="AF18" i="129" s="1"/>
  <c r="AB17" i="129"/>
  <c r="AF17" i="129" s="1"/>
  <c r="AB16" i="129"/>
  <c r="AF16" i="129" s="1"/>
  <c r="AB15" i="129"/>
  <c r="AF15" i="129" s="1"/>
  <c r="AB14" i="129"/>
  <c r="AF14" i="129" s="1"/>
  <c r="AB13" i="129"/>
  <c r="AF13" i="129" s="1"/>
  <c r="AB12" i="129"/>
  <c r="AF12" i="129" s="1"/>
  <c r="AB11" i="129"/>
  <c r="AF11" i="129" s="1"/>
  <c r="AB10" i="129"/>
  <c r="X10" i="129"/>
  <c r="X11" i="129" s="1"/>
  <c r="X12" i="129" s="1"/>
  <c r="X13" i="129" s="1"/>
  <c r="X14" i="129" s="1"/>
  <c r="X15" i="129" s="1"/>
  <c r="X16" i="129" s="1"/>
  <c r="X17" i="129" s="1"/>
  <c r="X18" i="129" s="1"/>
  <c r="X19" i="129" s="1"/>
  <c r="X20" i="129" s="1"/>
  <c r="X21" i="129" s="1"/>
  <c r="X22" i="129" s="1"/>
  <c r="X23" i="129" s="1"/>
  <c r="X24" i="129" s="1"/>
  <c r="X25" i="129" s="1"/>
  <c r="X26" i="129" s="1"/>
  <c r="X27" i="129" s="1"/>
  <c r="X28" i="129" s="1"/>
  <c r="X29" i="129" s="1"/>
  <c r="X30" i="129" s="1"/>
  <c r="X31" i="129" s="1"/>
  <c r="X32" i="129" s="1"/>
  <c r="X33" i="129" s="1"/>
  <c r="X34" i="129" s="1"/>
  <c r="X35" i="129" s="1"/>
  <c r="X36" i="129" s="1"/>
  <c r="X37" i="129" s="1"/>
  <c r="X38" i="129" s="1"/>
  <c r="X39" i="129" s="1"/>
  <c r="X40" i="129" s="1"/>
  <c r="X41" i="129" s="1"/>
  <c r="X42" i="129" s="1"/>
  <c r="X43" i="129" s="1"/>
  <c r="X44" i="129" s="1"/>
  <c r="X45" i="129" s="1"/>
  <c r="X46" i="129" s="1"/>
  <c r="X47" i="129" s="1"/>
  <c r="X48" i="129" s="1"/>
  <c r="X49" i="129" s="1"/>
  <c r="X50" i="129" s="1"/>
  <c r="X51" i="129" s="1"/>
  <c r="X52" i="129" s="1"/>
  <c r="X53" i="129" s="1"/>
  <c r="X54" i="129" s="1"/>
  <c r="X55" i="129" s="1"/>
  <c r="X56" i="129" s="1"/>
  <c r="X57" i="129" s="1"/>
  <c r="X58" i="129" s="1"/>
  <c r="X59" i="129" s="1"/>
  <c r="X60" i="129" s="1"/>
  <c r="X61" i="129" s="1"/>
  <c r="X62" i="129" s="1"/>
  <c r="X63" i="129" s="1"/>
  <c r="X64" i="129" s="1"/>
  <c r="X65" i="129" s="1"/>
  <c r="X66" i="129" s="1"/>
  <c r="X67" i="129" s="1"/>
  <c r="X68" i="129" s="1"/>
  <c r="X69" i="129" s="1"/>
  <c r="X70" i="129" s="1"/>
  <c r="X71" i="129" s="1"/>
  <c r="X72" i="129" s="1"/>
  <c r="X73" i="129" s="1"/>
  <c r="X74" i="129" s="1"/>
  <c r="X75" i="129" s="1"/>
  <c r="X76" i="129" s="1"/>
  <c r="TJ29" i="1" l="1"/>
  <c r="SZ29" i="1"/>
  <c r="SP29" i="1"/>
  <c r="AB79" i="129"/>
  <c r="AF10" i="129"/>
  <c r="AE10" i="129"/>
  <c r="AE11" i="129" s="1"/>
  <c r="AE12" i="129" s="1"/>
  <c r="AE13" i="129" s="1"/>
  <c r="AE14" i="129" s="1"/>
  <c r="AE15" i="129" s="1"/>
  <c r="AE16" i="129" s="1"/>
  <c r="AE17" i="129" s="1"/>
  <c r="AE18" i="129" s="1"/>
  <c r="AE19" i="129" s="1"/>
  <c r="AE20" i="129" s="1"/>
  <c r="AE21" i="129" s="1"/>
  <c r="AE22" i="129" s="1"/>
  <c r="AE23" i="129" s="1"/>
  <c r="AE24" i="129" s="1"/>
  <c r="AE25" i="129" s="1"/>
  <c r="AE26" i="129" s="1"/>
  <c r="AE27" i="129" s="1"/>
  <c r="AE28" i="129" s="1"/>
  <c r="AE29" i="129" s="1"/>
  <c r="AE30" i="129" s="1"/>
  <c r="AE31" i="129" s="1"/>
  <c r="AE32" i="129" s="1"/>
  <c r="AE33" i="129" s="1"/>
  <c r="AE34" i="129" s="1"/>
  <c r="AE35" i="129" s="1"/>
  <c r="AE36" i="129" s="1"/>
  <c r="AE37" i="129" s="1"/>
  <c r="AE38" i="129" s="1"/>
  <c r="AE39" i="129" s="1"/>
  <c r="AE40" i="129" s="1"/>
  <c r="AE41" i="129" s="1"/>
  <c r="AE42" i="129" s="1"/>
  <c r="AE43" i="129" s="1"/>
  <c r="AE44" i="129" s="1"/>
  <c r="AE45" i="129" s="1"/>
  <c r="AE46" i="129" s="1"/>
  <c r="AE47" i="129" s="1"/>
  <c r="AE48" i="129" s="1"/>
  <c r="AE49" i="129" s="1"/>
  <c r="AE50" i="129" s="1"/>
  <c r="AE51" i="129" s="1"/>
  <c r="AE52" i="129" s="1"/>
  <c r="AE53" i="129" s="1"/>
  <c r="AE54" i="129" s="1"/>
  <c r="AE55" i="129" s="1"/>
  <c r="AE56" i="129" s="1"/>
  <c r="AE57" i="129" s="1"/>
  <c r="AE58" i="129" s="1"/>
  <c r="AE59" i="129" s="1"/>
  <c r="AE60" i="129" s="1"/>
  <c r="AE61" i="129" s="1"/>
  <c r="AE62" i="129" s="1"/>
  <c r="AE63" i="129" s="1"/>
  <c r="AE64" i="129" s="1"/>
  <c r="AE65" i="129" s="1"/>
  <c r="AE66" i="129" s="1"/>
  <c r="AE67" i="129" s="1"/>
  <c r="AE68" i="129" s="1"/>
  <c r="AE69" i="129" s="1"/>
  <c r="AE70" i="129" s="1"/>
  <c r="AE71" i="129" s="1"/>
  <c r="AE72" i="129" s="1"/>
  <c r="AE73" i="129" s="1"/>
  <c r="AE74" i="129" s="1"/>
  <c r="AE75" i="129" s="1"/>
  <c r="AE76" i="129" s="1"/>
  <c r="AE77" i="129" s="1"/>
  <c r="AA84" i="129" l="1"/>
  <c r="AC6" i="129"/>
  <c r="AD6" i="129" s="1"/>
  <c r="AM115" i="40" l="1"/>
  <c r="AO118" i="40" s="1"/>
  <c r="AN114" i="40"/>
  <c r="AP114" i="40" s="1"/>
  <c r="AU114" i="40" s="1"/>
  <c r="AP113" i="40"/>
  <c r="AU113" i="40" s="1"/>
  <c r="AN113" i="40"/>
  <c r="AK113" i="40"/>
  <c r="AN112" i="40"/>
  <c r="AP112" i="40" s="1"/>
  <c r="AU112" i="40" s="1"/>
  <c r="AU111" i="40"/>
  <c r="AN111" i="40"/>
  <c r="AP111" i="40" s="1"/>
  <c r="AN110" i="40"/>
  <c r="AP110" i="40" s="1"/>
  <c r="AU110" i="40" s="1"/>
  <c r="AN109" i="40"/>
  <c r="AP109" i="40" s="1"/>
  <c r="AU109" i="40" s="1"/>
  <c r="AN108" i="40"/>
  <c r="AP108" i="40" s="1"/>
  <c r="AU108" i="40" s="1"/>
  <c r="AN107" i="40"/>
  <c r="AP107" i="40" s="1"/>
  <c r="AU107" i="40" s="1"/>
  <c r="AN106" i="40"/>
  <c r="AP106" i="40" s="1"/>
  <c r="AU106" i="40" s="1"/>
  <c r="AN105" i="40"/>
  <c r="AP105" i="40" s="1"/>
  <c r="AU105" i="40" s="1"/>
  <c r="AN104" i="40"/>
  <c r="AP104" i="40" s="1"/>
  <c r="AU104" i="40" s="1"/>
  <c r="AU103" i="40"/>
  <c r="AN103" i="40"/>
  <c r="AP103" i="40" s="1"/>
  <c r="AN102" i="40"/>
  <c r="AP102" i="40" s="1"/>
  <c r="AU102" i="40" s="1"/>
  <c r="AN101" i="40"/>
  <c r="AP101" i="40" s="1"/>
  <c r="AU101" i="40" s="1"/>
  <c r="AN100" i="40"/>
  <c r="AP100" i="40" s="1"/>
  <c r="AU100" i="40" s="1"/>
  <c r="AN99" i="40"/>
  <c r="AP99" i="40" s="1"/>
  <c r="AU99" i="40" s="1"/>
  <c r="AN98" i="40"/>
  <c r="AP98" i="40" s="1"/>
  <c r="AU98" i="40" s="1"/>
  <c r="AN97" i="40"/>
  <c r="AP97" i="40" s="1"/>
  <c r="AU97" i="40" s="1"/>
  <c r="AN96" i="40"/>
  <c r="AP96" i="40" s="1"/>
  <c r="AU96" i="40" s="1"/>
  <c r="AU95" i="40"/>
  <c r="AN95" i="40"/>
  <c r="AP95" i="40" s="1"/>
  <c r="AN94" i="40"/>
  <c r="AP94" i="40" s="1"/>
  <c r="AU94" i="40" s="1"/>
  <c r="AN93" i="40"/>
  <c r="AP93" i="40" s="1"/>
  <c r="AU93" i="40" s="1"/>
  <c r="AN92" i="40"/>
  <c r="AP92" i="40" s="1"/>
  <c r="AU92" i="40" s="1"/>
  <c r="AN91" i="40"/>
  <c r="AP91" i="40" s="1"/>
  <c r="AU91" i="40" s="1"/>
  <c r="AN90" i="40"/>
  <c r="AP90" i="40" s="1"/>
  <c r="AU90" i="40" s="1"/>
  <c r="AN89" i="40"/>
  <c r="AP89" i="40" s="1"/>
  <c r="AU89" i="40" s="1"/>
  <c r="AN88" i="40"/>
  <c r="AP88" i="40" s="1"/>
  <c r="AU88" i="40" s="1"/>
  <c r="AU87" i="40"/>
  <c r="AN87" i="40"/>
  <c r="AP87" i="40" s="1"/>
  <c r="AN86" i="40"/>
  <c r="AP86" i="40" s="1"/>
  <c r="AU86" i="40" s="1"/>
  <c r="AN85" i="40"/>
  <c r="AP85" i="40" s="1"/>
  <c r="AU85" i="40" s="1"/>
  <c r="AN84" i="40"/>
  <c r="AP84" i="40" s="1"/>
  <c r="AU84" i="40" s="1"/>
  <c r="AN83" i="40"/>
  <c r="AP83" i="40" s="1"/>
  <c r="AU83" i="40" s="1"/>
  <c r="AN82" i="40"/>
  <c r="AP82" i="40" s="1"/>
  <c r="AU82" i="40" s="1"/>
  <c r="AN81" i="40"/>
  <c r="AP81" i="40" s="1"/>
  <c r="AU81" i="40" s="1"/>
  <c r="AN80" i="40"/>
  <c r="AP80" i="40" s="1"/>
  <c r="AU80" i="40" s="1"/>
  <c r="AU79" i="40"/>
  <c r="AN79" i="40"/>
  <c r="AP79" i="40" s="1"/>
  <c r="AN78" i="40"/>
  <c r="AP78" i="40" s="1"/>
  <c r="AU78" i="40" s="1"/>
  <c r="AN77" i="40"/>
  <c r="AP77" i="40" s="1"/>
  <c r="AU77" i="40" s="1"/>
  <c r="AN76" i="40"/>
  <c r="AP76" i="40" s="1"/>
  <c r="AU76" i="40" s="1"/>
  <c r="AN75" i="40"/>
  <c r="AP75" i="40" s="1"/>
  <c r="AU75" i="40" s="1"/>
  <c r="AN74" i="40"/>
  <c r="AP74" i="40" s="1"/>
  <c r="AU74" i="40" s="1"/>
  <c r="AP73" i="40"/>
  <c r="AU73" i="40" s="1"/>
  <c r="AN73" i="40"/>
  <c r="AN72" i="40"/>
  <c r="AP72" i="40" s="1"/>
  <c r="AU72" i="40" s="1"/>
  <c r="AU71" i="40"/>
  <c r="AN71" i="40"/>
  <c r="AP71" i="40" s="1"/>
  <c r="AN70" i="40"/>
  <c r="AP70" i="40" s="1"/>
  <c r="AU70" i="40" s="1"/>
  <c r="AN69" i="40"/>
  <c r="AP69" i="40" s="1"/>
  <c r="AU69" i="40" s="1"/>
  <c r="AN68" i="40"/>
  <c r="AP68" i="40" s="1"/>
  <c r="AU68" i="40" s="1"/>
  <c r="AN67" i="40"/>
  <c r="AP67" i="40" s="1"/>
  <c r="AU67" i="40" s="1"/>
  <c r="AN66" i="40"/>
  <c r="AP66" i="40" s="1"/>
  <c r="AU66" i="40" s="1"/>
  <c r="AN65" i="40"/>
  <c r="AP65" i="40" s="1"/>
  <c r="AU65" i="40" s="1"/>
  <c r="AN64" i="40"/>
  <c r="AP64" i="40" s="1"/>
  <c r="AU64" i="40" s="1"/>
  <c r="AU63" i="40"/>
  <c r="AN63" i="40"/>
  <c r="AP63" i="40" s="1"/>
  <c r="AN62" i="40"/>
  <c r="AP62" i="40" s="1"/>
  <c r="AU62" i="40" s="1"/>
  <c r="AN61" i="40"/>
  <c r="AP61" i="40" s="1"/>
  <c r="AU61" i="40" s="1"/>
  <c r="AP60" i="40"/>
  <c r="AU60" i="40" s="1"/>
  <c r="AN60" i="40"/>
  <c r="AN59" i="40"/>
  <c r="AP59" i="40" s="1"/>
  <c r="AU59" i="40" s="1"/>
  <c r="AP58" i="40"/>
  <c r="AU58" i="40" s="1"/>
  <c r="AN58" i="40"/>
  <c r="AN57" i="40"/>
  <c r="AP57" i="40" s="1"/>
  <c r="AU57" i="40" s="1"/>
  <c r="AN56" i="40"/>
  <c r="AP56" i="40" s="1"/>
  <c r="AU56" i="40" s="1"/>
  <c r="AN55" i="40"/>
  <c r="AP55" i="40" s="1"/>
  <c r="AU55" i="40" s="1"/>
  <c r="AN54" i="40"/>
  <c r="AP54" i="40" s="1"/>
  <c r="AU54" i="40" s="1"/>
  <c r="AN53" i="40"/>
  <c r="AP53" i="40" s="1"/>
  <c r="AU53" i="40" s="1"/>
  <c r="AP52" i="40"/>
  <c r="AU52" i="40" s="1"/>
  <c r="AN52" i="40"/>
  <c r="AN51" i="40"/>
  <c r="AP51" i="40" s="1"/>
  <c r="AU51" i="40" s="1"/>
  <c r="AP50" i="40"/>
  <c r="AU50" i="40" s="1"/>
  <c r="AN50" i="40"/>
  <c r="AN49" i="40"/>
  <c r="AP49" i="40" s="1"/>
  <c r="AU49" i="40" s="1"/>
  <c r="AP48" i="40"/>
  <c r="AU48" i="40" s="1"/>
  <c r="AN48" i="40"/>
  <c r="AN47" i="40"/>
  <c r="AP47" i="40" s="1"/>
  <c r="AU47" i="40" s="1"/>
  <c r="AN46" i="40"/>
  <c r="AP46" i="40" s="1"/>
  <c r="AU46" i="40" s="1"/>
  <c r="AP45" i="40"/>
  <c r="AU45" i="40" s="1"/>
  <c r="AN45" i="40"/>
  <c r="AN44" i="40"/>
  <c r="AP44" i="40" s="1"/>
  <c r="AU44" i="40" s="1"/>
  <c r="AN43" i="40"/>
  <c r="AP43" i="40" s="1"/>
  <c r="AU43" i="40" s="1"/>
  <c r="AP42" i="40"/>
  <c r="AU42" i="40" s="1"/>
  <c r="AN42" i="40"/>
  <c r="AN41" i="40"/>
  <c r="AP41" i="40" s="1"/>
  <c r="AU41" i="40" s="1"/>
  <c r="AP40" i="40"/>
  <c r="AU40" i="40" s="1"/>
  <c r="AN40" i="40"/>
  <c r="AN39" i="40"/>
  <c r="AP39" i="40" s="1"/>
  <c r="AU39" i="40" s="1"/>
  <c r="AN38" i="40"/>
  <c r="AP38" i="40" s="1"/>
  <c r="AU38" i="40" s="1"/>
  <c r="AN37" i="40"/>
  <c r="AP37" i="40" s="1"/>
  <c r="AU37" i="40" s="1"/>
  <c r="AN36" i="40"/>
  <c r="AP36" i="40" s="1"/>
  <c r="AU36" i="40" s="1"/>
  <c r="AN35" i="40"/>
  <c r="AP35" i="40" s="1"/>
  <c r="AU35" i="40" s="1"/>
  <c r="AN34" i="40"/>
  <c r="AP34" i="40" s="1"/>
  <c r="AU34" i="40" s="1"/>
  <c r="AN33" i="40"/>
  <c r="AP33" i="40" s="1"/>
  <c r="AU33" i="40" s="1"/>
  <c r="AN32" i="40"/>
  <c r="AP32" i="40" s="1"/>
  <c r="AU32" i="40" s="1"/>
  <c r="AN31" i="40"/>
  <c r="AP31" i="40" s="1"/>
  <c r="AU31" i="40" s="1"/>
  <c r="AN30" i="40"/>
  <c r="AP30" i="40" s="1"/>
  <c r="AU30" i="40" s="1"/>
  <c r="AN29" i="40"/>
  <c r="AP29" i="40" s="1"/>
  <c r="AU29" i="40" s="1"/>
  <c r="AN28" i="40"/>
  <c r="AP28" i="40" s="1"/>
  <c r="AU28" i="40" s="1"/>
  <c r="AN27" i="40"/>
  <c r="AP27" i="40" s="1"/>
  <c r="AU27" i="40" s="1"/>
  <c r="AN26" i="40"/>
  <c r="AP26" i="40" s="1"/>
  <c r="AU26" i="40" s="1"/>
  <c r="AN25" i="40"/>
  <c r="AP25" i="40" s="1"/>
  <c r="AU25" i="40" s="1"/>
  <c r="AN24" i="40"/>
  <c r="AP24" i="40" s="1"/>
  <c r="AU24" i="40" s="1"/>
  <c r="AN23" i="40"/>
  <c r="AP23" i="40" s="1"/>
  <c r="AU23" i="40" s="1"/>
  <c r="AN22" i="40"/>
  <c r="AP22" i="40" s="1"/>
  <c r="AU22" i="40" s="1"/>
  <c r="AN21" i="40"/>
  <c r="AP21" i="40" s="1"/>
  <c r="AU21" i="40" s="1"/>
  <c r="AN20" i="40"/>
  <c r="AP20" i="40" s="1"/>
  <c r="AU20" i="40" s="1"/>
  <c r="AN19" i="40"/>
  <c r="AP19" i="40" s="1"/>
  <c r="AU19" i="40" s="1"/>
  <c r="AN18" i="40"/>
  <c r="AP18" i="40" s="1"/>
  <c r="AU18" i="40" s="1"/>
  <c r="AN17" i="40"/>
  <c r="AP17" i="40" s="1"/>
  <c r="AU17" i="40" s="1"/>
  <c r="AN16" i="40"/>
  <c r="AP16" i="40" s="1"/>
  <c r="AU16" i="40" s="1"/>
  <c r="AN15" i="40"/>
  <c r="AP15" i="40" s="1"/>
  <c r="AU15" i="40" s="1"/>
  <c r="AN14" i="40"/>
  <c r="AP14" i="40" s="1"/>
  <c r="AU14" i="40" s="1"/>
  <c r="AN13" i="40"/>
  <c r="AP13" i="40" s="1"/>
  <c r="AU13" i="40" s="1"/>
  <c r="AN12" i="40"/>
  <c r="AP12" i="40" s="1"/>
  <c r="AU12" i="40" s="1"/>
  <c r="AN11" i="40"/>
  <c r="AP11" i="40" s="1"/>
  <c r="AU11" i="40" s="1"/>
  <c r="AN10" i="40"/>
  <c r="AP10" i="40" s="1"/>
  <c r="AU10" i="40" s="1"/>
  <c r="AT9" i="40"/>
  <c r="AT10" i="40" s="1"/>
  <c r="AT11" i="40" s="1"/>
  <c r="AT12" i="40" s="1"/>
  <c r="AT13" i="40" s="1"/>
  <c r="AT14" i="40" s="1"/>
  <c r="AT15" i="40" s="1"/>
  <c r="AT16" i="40" s="1"/>
  <c r="AT17" i="40" s="1"/>
  <c r="AT18" i="40" s="1"/>
  <c r="AT19" i="40" s="1"/>
  <c r="AT20" i="40" s="1"/>
  <c r="AT21" i="40" s="1"/>
  <c r="AT22" i="40" s="1"/>
  <c r="AT23" i="40" s="1"/>
  <c r="AT24" i="40" s="1"/>
  <c r="AT25" i="40" s="1"/>
  <c r="AT26" i="40" s="1"/>
  <c r="AT27" i="40" s="1"/>
  <c r="AT28" i="40" s="1"/>
  <c r="AT29" i="40" s="1"/>
  <c r="AT30" i="40" s="1"/>
  <c r="AT31" i="40" s="1"/>
  <c r="AT32" i="40" s="1"/>
  <c r="AT33" i="40" s="1"/>
  <c r="AT34" i="40" s="1"/>
  <c r="AT35" i="40" s="1"/>
  <c r="AT36" i="40" s="1"/>
  <c r="AT37" i="40" s="1"/>
  <c r="AT38" i="40" s="1"/>
  <c r="AT39" i="40" s="1"/>
  <c r="AT40" i="40" s="1"/>
  <c r="AT41" i="40" s="1"/>
  <c r="AT42" i="40" s="1"/>
  <c r="AT43" i="40" s="1"/>
  <c r="AT44" i="40" s="1"/>
  <c r="AT45" i="40" s="1"/>
  <c r="AT46" i="40" s="1"/>
  <c r="AT47" i="40" s="1"/>
  <c r="AT48" i="40" s="1"/>
  <c r="AT49" i="40" s="1"/>
  <c r="AT50" i="40" s="1"/>
  <c r="AT51" i="40" s="1"/>
  <c r="AT52" i="40" s="1"/>
  <c r="AT53" i="40" s="1"/>
  <c r="AT54" i="40" s="1"/>
  <c r="AT55" i="40" s="1"/>
  <c r="AT56" i="40" s="1"/>
  <c r="AT57" i="40" s="1"/>
  <c r="AT58" i="40" s="1"/>
  <c r="AT59" i="40" s="1"/>
  <c r="AT60" i="40" s="1"/>
  <c r="AT61" i="40" s="1"/>
  <c r="AT62" i="40" s="1"/>
  <c r="AT63" i="40" s="1"/>
  <c r="AT64" i="40" s="1"/>
  <c r="AT65" i="40" s="1"/>
  <c r="AT66" i="40" s="1"/>
  <c r="AT67" i="40" s="1"/>
  <c r="AT68" i="40" s="1"/>
  <c r="AT69" i="40" s="1"/>
  <c r="AT70" i="40" s="1"/>
  <c r="AT71" i="40" s="1"/>
  <c r="AT72" i="40" s="1"/>
  <c r="AT73" i="40" s="1"/>
  <c r="AT74" i="40" s="1"/>
  <c r="AT75" i="40" s="1"/>
  <c r="AT76" i="40" s="1"/>
  <c r="AT77" i="40" s="1"/>
  <c r="AT78" i="40" s="1"/>
  <c r="AT79" i="40" s="1"/>
  <c r="AT80" i="40" s="1"/>
  <c r="AT81" i="40" s="1"/>
  <c r="AT82" i="40" s="1"/>
  <c r="AT83" i="40" s="1"/>
  <c r="AT84" i="40" s="1"/>
  <c r="AT85" i="40" s="1"/>
  <c r="AT86" i="40" s="1"/>
  <c r="AT87" i="40" s="1"/>
  <c r="AT88" i="40" s="1"/>
  <c r="AT89" i="40" s="1"/>
  <c r="AT90" i="40" s="1"/>
  <c r="AT91" i="40" s="1"/>
  <c r="AT92" i="40" s="1"/>
  <c r="AT93" i="40" s="1"/>
  <c r="AT94" i="40" s="1"/>
  <c r="AT95" i="40" s="1"/>
  <c r="AT96" i="40" s="1"/>
  <c r="AT97" i="40" s="1"/>
  <c r="AT98" i="40" s="1"/>
  <c r="AT99" i="40" s="1"/>
  <c r="AT100" i="40" s="1"/>
  <c r="AT101" i="40" s="1"/>
  <c r="AT102" i="40" s="1"/>
  <c r="AT103" i="40" s="1"/>
  <c r="AT104" i="40" s="1"/>
  <c r="AT105" i="40" s="1"/>
  <c r="AT106" i="40" s="1"/>
  <c r="AT107" i="40" s="1"/>
  <c r="AT108" i="40" s="1"/>
  <c r="AT109" i="40" s="1"/>
  <c r="AT110" i="40" s="1"/>
  <c r="AT111" i="40" s="1"/>
  <c r="AT112" i="40" s="1"/>
  <c r="AT113" i="40" s="1"/>
  <c r="AN9" i="40"/>
  <c r="SF28" i="1"/>
  <c r="SF27" i="1"/>
  <c r="SF26" i="1"/>
  <c r="SF25" i="1"/>
  <c r="SF24" i="1"/>
  <c r="SF23" i="1"/>
  <c r="SF22" i="1"/>
  <c r="SF21" i="1"/>
  <c r="SF20" i="1"/>
  <c r="SF19" i="1"/>
  <c r="SF18" i="1"/>
  <c r="SF17" i="1"/>
  <c r="SF16" i="1"/>
  <c r="SF15" i="1"/>
  <c r="SF14" i="1"/>
  <c r="SF13" i="1"/>
  <c r="SF12" i="1"/>
  <c r="SF11" i="1"/>
  <c r="SF10" i="1"/>
  <c r="SF9" i="1"/>
  <c r="SF8" i="1"/>
  <c r="RV28" i="1"/>
  <c r="RV27" i="1"/>
  <c r="RV26" i="1"/>
  <c r="RV25" i="1"/>
  <c r="RV24" i="1"/>
  <c r="RV23" i="1"/>
  <c r="RV22" i="1"/>
  <c r="RV21" i="1"/>
  <c r="RV20" i="1"/>
  <c r="RV19" i="1"/>
  <c r="RV18" i="1"/>
  <c r="RV17" i="1"/>
  <c r="RV16" i="1"/>
  <c r="RV15" i="1"/>
  <c r="RV14" i="1"/>
  <c r="RV13" i="1"/>
  <c r="RV12" i="1"/>
  <c r="RV11" i="1"/>
  <c r="RV10" i="1"/>
  <c r="RV9" i="1"/>
  <c r="RV8" i="1"/>
  <c r="RL28" i="1"/>
  <c r="RL27" i="1"/>
  <c r="RL26" i="1"/>
  <c r="RL25" i="1"/>
  <c r="RL24" i="1"/>
  <c r="RL23" i="1"/>
  <c r="RL22" i="1"/>
  <c r="RL21" i="1"/>
  <c r="RL20" i="1"/>
  <c r="RL19" i="1"/>
  <c r="RL18" i="1"/>
  <c r="RL17" i="1"/>
  <c r="RL16" i="1"/>
  <c r="RL15" i="1"/>
  <c r="RL14" i="1"/>
  <c r="RL13" i="1"/>
  <c r="RL12" i="1"/>
  <c r="RL11" i="1"/>
  <c r="RL10" i="1"/>
  <c r="RL9" i="1"/>
  <c r="RL8" i="1"/>
  <c r="X78" i="197"/>
  <c r="W78" i="197"/>
  <c r="Y81" i="197" s="1"/>
  <c r="Z76" i="197"/>
  <c r="Z75" i="197"/>
  <c r="Z74" i="197"/>
  <c r="Z73" i="197"/>
  <c r="Z72" i="197"/>
  <c r="Z71" i="197"/>
  <c r="Z70" i="197"/>
  <c r="Z69" i="197"/>
  <c r="Z68" i="197"/>
  <c r="Z67" i="197"/>
  <c r="Z66" i="197"/>
  <c r="Z65" i="197"/>
  <c r="Z64" i="197"/>
  <c r="Z63" i="197"/>
  <c r="Z62" i="197"/>
  <c r="Z61" i="197"/>
  <c r="Z60" i="197"/>
  <c r="Z59" i="197"/>
  <c r="Z58" i="197"/>
  <c r="Z57" i="197"/>
  <c r="Z56" i="197"/>
  <c r="Z55" i="197"/>
  <c r="Z54" i="197"/>
  <c r="Z53" i="197"/>
  <c r="Z52" i="197"/>
  <c r="Z51" i="197"/>
  <c r="Z50" i="197"/>
  <c r="Z49" i="197"/>
  <c r="Z48" i="197"/>
  <c r="Z47" i="197"/>
  <c r="Z46" i="197"/>
  <c r="Z45" i="197"/>
  <c r="Z44" i="197"/>
  <c r="Z43" i="197"/>
  <c r="Z42" i="197"/>
  <c r="Z41" i="197"/>
  <c r="Z40" i="197"/>
  <c r="Z39" i="197"/>
  <c r="Z38" i="197"/>
  <c r="Z37" i="197"/>
  <c r="Z36" i="197"/>
  <c r="Z35" i="197"/>
  <c r="Z34" i="197"/>
  <c r="Z33" i="197"/>
  <c r="Z32" i="197"/>
  <c r="Z31" i="197"/>
  <c r="Z30" i="197"/>
  <c r="Z29" i="197"/>
  <c r="Z28" i="197"/>
  <c r="Z27" i="197"/>
  <c r="Z26" i="197"/>
  <c r="Z25" i="197"/>
  <c r="Z24" i="197"/>
  <c r="Z23" i="197"/>
  <c r="Z22" i="197"/>
  <c r="Z21" i="197"/>
  <c r="Z20" i="197"/>
  <c r="Z19" i="197"/>
  <c r="Z18" i="197"/>
  <c r="Z17" i="197"/>
  <c r="Z16" i="197"/>
  <c r="Z15" i="197"/>
  <c r="Z14" i="197"/>
  <c r="Z13" i="197"/>
  <c r="Z12" i="197"/>
  <c r="Z11" i="197"/>
  <c r="Z10" i="197"/>
  <c r="Z9" i="197"/>
  <c r="AC9" i="197" s="1"/>
  <c r="AC10" i="197" s="1"/>
  <c r="AC11" i="197" s="1"/>
  <c r="AC12" i="197" s="1"/>
  <c r="AC13" i="197" s="1"/>
  <c r="AC14" i="197" s="1"/>
  <c r="AC15" i="197" s="1"/>
  <c r="AC16" i="197" s="1"/>
  <c r="AC17" i="197" s="1"/>
  <c r="AC18" i="197" s="1"/>
  <c r="AC19" i="197" s="1"/>
  <c r="AC20" i="197" s="1"/>
  <c r="AC21" i="197" s="1"/>
  <c r="AC22" i="197" s="1"/>
  <c r="AC23" i="197" s="1"/>
  <c r="AC24" i="197" s="1"/>
  <c r="AC25" i="197" s="1"/>
  <c r="AC26" i="197" s="1"/>
  <c r="AC27" i="197" s="1"/>
  <c r="AC28" i="197" s="1"/>
  <c r="AC29" i="197" s="1"/>
  <c r="AC30" i="197" s="1"/>
  <c r="AC31" i="197" s="1"/>
  <c r="AC32" i="197" s="1"/>
  <c r="AC33" i="197" s="1"/>
  <c r="AC34" i="197" s="1"/>
  <c r="AC35" i="197" s="1"/>
  <c r="AC36" i="197" s="1"/>
  <c r="AC37" i="197" s="1"/>
  <c r="AC38" i="197" s="1"/>
  <c r="AC39" i="197" s="1"/>
  <c r="AC40" i="197" s="1"/>
  <c r="AC41" i="197" s="1"/>
  <c r="AC42" i="197" s="1"/>
  <c r="AC43" i="197" s="1"/>
  <c r="AC44" i="197" s="1"/>
  <c r="AC45" i="197" s="1"/>
  <c r="AC46" i="197" s="1"/>
  <c r="AC47" i="197" s="1"/>
  <c r="AC48" i="197" s="1"/>
  <c r="AC49" i="197" s="1"/>
  <c r="AC50" i="197" s="1"/>
  <c r="AC51" i="197" s="1"/>
  <c r="AC52" i="197" s="1"/>
  <c r="AC53" i="197" s="1"/>
  <c r="AC54" i="197" s="1"/>
  <c r="AC55" i="197" s="1"/>
  <c r="AC56" i="197" s="1"/>
  <c r="AC57" i="197" s="1"/>
  <c r="AC58" i="197" s="1"/>
  <c r="AC59" i="197" s="1"/>
  <c r="AC60" i="197" s="1"/>
  <c r="AC61" i="197" s="1"/>
  <c r="AC62" i="197" s="1"/>
  <c r="AC63" i="197" s="1"/>
  <c r="AC64" i="197" s="1"/>
  <c r="AC65" i="197" s="1"/>
  <c r="AC66" i="197" s="1"/>
  <c r="AC67" i="197" s="1"/>
  <c r="AC68" i="197" s="1"/>
  <c r="AC69" i="197" s="1"/>
  <c r="AC70" i="197" s="1"/>
  <c r="AC71" i="197" s="1"/>
  <c r="AC72" i="197" s="1"/>
  <c r="AC73" i="197" s="1"/>
  <c r="AC74" i="197" s="1"/>
  <c r="AC75" i="197" s="1"/>
  <c r="AC76" i="197" s="1"/>
  <c r="V9" i="197"/>
  <c r="V10" i="197" s="1"/>
  <c r="V11" i="197" s="1"/>
  <c r="V12" i="197" s="1"/>
  <c r="V13" i="197" s="1"/>
  <c r="V14" i="197" s="1"/>
  <c r="V15" i="197" s="1"/>
  <c r="V16" i="197" s="1"/>
  <c r="V17" i="197" s="1"/>
  <c r="V18" i="197" s="1"/>
  <c r="V19" i="197" s="1"/>
  <c r="V20" i="197" s="1"/>
  <c r="V21" i="197" s="1"/>
  <c r="V22" i="197" s="1"/>
  <c r="V23" i="197" s="1"/>
  <c r="V24" i="197" s="1"/>
  <c r="V25" i="197" s="1"/>
  <c r="V26" i="197" s="1"/>
  <c r="V27" i="197" s="1"/>
  <c r="V28" i="197" s="1"/>
  <c r="V29" i="197" s="1"/>
  <c r="V30" i="197" s="1"/>
  <c r="V31" i="197" s="1"/>
  <c r="V32" i="197" s="1"/>
  <c r="V33" i="197" s="1"/>
  <c r="V34" i="197" s="1"/>
  <c r="V35" i="197" s="1"/>
  <c r="V36" i="197" s="1"/>
  <c r="V37" i="197" s="1"/>
  <c r="V38" i="197" s="1"/>
  <c r="V39" i="197" s="1"/>
  <c r="V40" i="197" s="1"/>
  <c r="V41" i="197" s="1"/>
  <c r="V42" i="197" s="1"/>
  <c r="V43" i="197" s="1"/>
  <c r="V44" i="197" s="1"/>
  <c r="V45" i="197" s="1"/>
  <c r="V46" i="197" s="1"/>
  <c r="V47" i="197" s="1"/>
  <c r="V48" i="197" s="1"/>
  <c r="V49" i="197" s="1"/>
  <c r="V50" i="197" s="1"/>
  <c r="V51" i="197" s="1"/>
  <c r="V52" i="197" s="1"/>
  <c r="V53" i="197" s="1"/>
  <c r="V54" i="197" s="1"/>
  <c r="V55" i="197" s="1"/>
  <c r="V56" i="197" s="1"/>
  <c r="V57" i="197" s="1"/>
  <c r="V58" i="197" s="1"/>
  <c r="V59" i="197" s="1"/>
  <c r="V60" i="197" s="1"/>
  <c r="V61" i="197" s="1"/>
  <c r="V62" i="197" s="1"/>
  <c r="V63" i="197" s="1"/>
  <c r="V64" i="197" s="1"/>
  <c r="V65" i="197" s="1"/>
  <c r="V66" i="197" s="1"/>
  <c r="V67" i="197" s="1"/>
  <c r="V68" i="197" s="1"/>
  <c r="V69" i="197" s="1"/>
  <c r="V70" i="197" s="1"/>
  <c r="V71" i="197" s="1"/>
  <c r="V72" i="197" s="1"/>
  <c r="V73" i="197" s="1"/>
  <c r="V74" i="197" s="1"/>
  <c r="V75" i="197" s="1"/>
  <c r="P9" i="196"/>
  <c r="N42" i="196"/>
  <c r="M42" i="196"/>
  <c r="O45" i="196" s="1"/>
  <c r="P40" i="196"/>
  <c r="P39" i="196"/>
  <c r="P38" i="196"/>
  <c r="P37" i="196"/>
  <c r="P36" i="196"/>
  <c r="P35" i="196"/>
  <c r="P34" i="196"/>
  <c r="P33" i="196"/>
  <c r="P32" i="196"/>
  <c r="P31" i="196"/>
  <c r="P30" i="196"/>
  <c r="P29" i="196"/>
  <c r="P28" i="196"/>
  <c r="P27" i="196"/>
  <c r="P26" i="196"/>
  <c r="P25" i="196"/>
  <c r="P24" i="196"/>
  <c r="P23" i="196"/>
  <c r="P22" i="196"/>
  <c r="P21" i="196"/>
  <c r="P20" i="196"/>
  <c r="P19" i="196"/>
  <c r="P18" i="196"/>
  <c r="P17" i="196"/>
  <c r="P16" i="196"/>
  <c r="P15" i="196"/>
  <c r="P14" i="196"/>
  <c r="P13" i="196"/>
  <c r="P12" i="196"/>
  <c r="P11" i="196"/>
  <c r="P10" i="196"/>
  <c r="L9" i="196"/>
  <c r="L10" i="196" s="1"/>
  <c r="L11" i="196" s="1"/>
  <c r="L12" i="196" s="1"/>
  <c r="L13" i="196" s="1"/>
  <c r="L14" i="196" s="1"/>
  <c r="L15" i="196" s="1"/>
  <c r="L16" i="196" s="1"/>
  <c r="L17" i="196" s="1"/>
  <c r="L18" i="196" s="1"/>
  <c r="L19" i="196" s="1"/>
  <c r="L20" i="196" s="1"/>
  <c r="L21" i="196" s="1"/>
  <c r="L22" i="196" s="1"/>
  <c r="L23" i="196" s="1"/>
  <c r="L24" i="196" s="1"/>
  <c r="L25" i="196" s="1"/>
  <c r="L26" i="196" s="1"/>
  <c r="L27" i="196" s="1"/>
  <c r="L28" i="196" s="1"/>
  <c r="L29" i="196" s="1"/>
  <c r="L30" i="196" s="1"/>
  <c r="L31" i="196" s="1"/>
  <c r="L32" i="196" s="1"/>
  <c r="L33" i="196" s="1"/>
  <c r="L34" i="196" s="1"/>
  <c r="L35" i="196" s="1"/>
  <c r="L36" i="196" s="1"/>
  <c r="L37" i="196" s="1"/>
  <c r="L38" i="196" s="1"/>
  <c r="L39" i="196" s="1"/>
  <c r="L40" i="196" s="1"/>
  <c r="D41" i="209"/>
  <c r="D40" i="209"/>
  <c r="SF29" i="1" l="1"/>
  <c r="RL29" i="1"/>
  <c r="RV29" i="1"/>
  <c r="AS10" i="40"/>
  <c r="AS11" i="40" s="1"/>
  <c r="AS12" i="40" s="1"/>
  <c r="AS13" i="40" s="1"/>
  <c r="AS14" i="40" s="1"/>
  <c r="AS15" i="40" s="1"/>
  <c r="AS16" i="40" s="1"/>
  <c r="AS17" i="40" s="1"/>
  <c r="AS18" i="40" s="1"/>
  <c r="AS19" i="40" s="1"/>
  <c r="AS20" i="40" s="1"/>
  <c r="AS21" i="40" s="1"/>
  <c r="AS22" i="40" s="1"/>
  <c r="AS23" i="40" s="1"/>
  <c r="AS24" i="40" s="1"/>
  <c r="AN115" i="40"/>
  <c r="AP9" i="40"/>
  <c r="AS9" i="40" s="1"/>
  <c r="Z78" i="197"/>
  <c r="AA6" i="197" s="1"/>
  <c r="AB6" i="197" s="1"/>
  <c r="Y83" i="197"/>
  <c r="P42" i="196"/>
  <c r="O47" i="196" s="1"/>
  <c r="S9" i="196"/>
  <c r="S10" i="196" s="1"/>
  <c r="S11" i="196" s="1"/>
  <c r="S12" i="196" s="1"/>
  <c r="S13" i="196" s="1"/>
  <c r="S14" i="196" s="1"/>
  <c r="S15" i="196" s="1"/>
  <c r="S16" i="196" s="1"/>
  <c r="S17" i="196" s="1"/>
  <c r="S18" i="196" s="1"/>
  <c r="S19" i="196" s="1"/>
  <c r="S20" i="196" s="1"/>
  <c r="S21" i="196" s="1"/>
  <c r="S22" i="196" s="1"/>
  <c r="S23" i="196" s="1"/>
  <c r="S24" i="196" s="1"/>
  <c r="S25" i="196" s="1"/>
  <c r="S26" i="196" s="1"/>
  <c r="S27" i="196" s="1"/>
  <c r="S28" i="196" s="1"/>
  <c r="S29" i="196" s="1"/>
  <c r="S30" i="196" s="1"/>
  <c r="S31" i="196" s="1"/>
  <c r="S32" i="196" s="1"/>
  <c r="S33" i="196" s="1"/>
  <c r="S34" i="196" s="1"/>
  <c r="S35" i="196" s="1"/>
  <c r="S36" i="196" s="1"/>
  <c r="S37" i="196" s="1"/>
  <c r="S38" i="196" s="1"/>
  <c r="S39" i="196" s="1"/>
  <c r="S40" i="196" s="1"/>
  <c r="PM30" i="1"/>
  <c r="QH29" i="1"/>
  <c r="RB28" i="1"/>
  <c r="RB27" i="1"/>
  <c r="RB26" i="1"/>
  <c r="RB25" i="1"/>
  <c r="RB24" i="1"/>
  <c r="RB23" i="1"/>
  <c r="RB22" i="1"/>
  <c r="RB21" i="1"/>
  <c r="RB20" i="1"/>
  <c r="RB19" i="1"/>
  <c r="RB18" i="1"/>
  <c r="RB17" i="1"/>
  <c r="RB16" i="1"/>
  <c r="RB15" i="1"/>
  <c r="RB14" i="1"/>
  <c r="RB13" i="1"/>
  <c r="RB12" i="1"/>
  <c r="RB11" i="1"/>
  <c r="RB10" i="1"/>
  <c r="RB9" i="1"/>
  <c r="RB8" i="1"/>
  <c r="QR28" i="1"/>
  <c r="QR27" i="1"/>
  <c r="QR26" i="1"/>
  <c r="QR25" i="1"/>
  <c r="QR24" i="1"/>
  <c r="QR23" i="1"/>
  <c r="QR22" i="1"/>
  <c r="QR21" i="1"/>
  <c r="QR20" i="1"/>
  <c r="QR19" i="1"/>
  <c r="QR18" i="1"/>
  <c r="QR17" i="1"/>
  <c r="QR16" i="1"/>
  <c r="QR15" i="1"/>
  <c r="QR14" i="1"/>
  <c r="QR13" i="1"/>
  <c r="QR12" i="1"/>
  <c r="QR11" i="1"/>
  <c r="QR10" i="1"/>
  <c r="QR9" i="1"/>
  <c r="QR8" i="1"/>
  <c r="QH28" i="1"/>
  <c r="QH27" i="1"/>
  <c r="QH26" i="1"/>
  <c r="QH25" i="1"/>
  <c r="QH24" i="1"/>
  <c r="QH23" i="1"/>
  <c r="QH22" i="1"/>
  <c r="QH21" i="1"/>
  <c r="QH20" i="1"/>
  <c r="QH19" i="1"/>
  <c r="QH18" i="1"/>
  <c r="QH17" i="1"/>
  <c r="QH16" i="1"/>
  <c r="QH15" i="1"/>
  <c r="QH14" i="1"/>
  <c r="QH13" i="1"/>
  <c r="QH12" i="1"/>
  <c r="QH11" i="1"/>
  <c r="QH10" i="1"/>
  <c r="QH9" i="1"/>
  <c r="QH8" i="1"/>
  <c r="PX28" i="1"/>
  <c r="PX27" i="1"/>
  <c r="PX26" i="1"/>
  <c r="PX25" i="1"/>
  <c r="PX24" i="1"/>
  <c r="PX23" i="1"/>
  <c r="PX22" i="1"/>
  <c r="PX21" i="1"/>
  <c r="PX20" i="1"/>
  <c r="PX19" i="1"/>
  <c r="PX18" i="1"/>
  <c r="PX17" i="1"/>
  <c r="PX16" i="1"/>
  <c r="PX15" i="1"/>
  <c r="PX14" i="1"/>
  <c r="PX13" i="1"/>
  <c r="PX12" i="1"/>
  <c r="PX11" i="1"/>
  <c r="PX10" i="1"/>
  <c r="PX9" i="1"/>
  <c r="PX8" i="1"/>
  <c r="AP115" i="40" l="1"/>
  <c r="AS25" i="40"/>
  <c r="AS26" i="40" s="1"/>
  <c r="AS27" i="40" s="1"/>
  <c r="AS28" i="40" s="1"/>
  <c r="AS29" i="40" s="1"/>
  <c r="AS30" i="40" s="1"/>
  <c r="AS31" i="40" s="1"/>
  <c r="AS32" i="40" s="1"/>
  <c r="AS33" i="40" s="1"/>
  <c r="AS34" i="40" s="1"/>
  <c r="AS35" i="40" s="1"/>
  <c r="AS36" i="40" s="1"/>
  <c r="AS37" i="40" s="1"/>
  <c r="AS38" i="40" s="1"/>
  <c r="AS39" i="40" s="1"/>
  <c r="AS40" i="40" s="1"/>
  <c r="AS41" i="40" s="1"/>
  <c r="AS42" i="40" s="1"/>
  <c r="AS43" i="40" s="1"/>
  <c r="AS44" i="40" s="1"/>
  <c r="AS45" i="40" s="1"/>
  <c r="AS46" i="40" s="1"/>
  <c r="AS47" i="40" s="1"/>
  <c r="AS48" i="40" s="1"/>
  <c r="AS49" i="40" s="1"/>
  <c r="AS50" i="40" s="1"/>
  <c r="AS51" i="40" s="1"/>
  <c r="AS52" i="40" s="1"/>
  <c r="AS53" i="40" s="1"/>
  <c r="AS54" i="40" s="1"/>
  <c r="AS55" i="40" s="1"/>
  <c r="AS56" i="40" s="1"/>
  <c r="AS57" i="40" s="1"/>
  <c r="AS58" i="40" s="1"/>
  <c r="AS59" i="40" s="1"/>
  <c r="AS60" i="40" s="1"/>
  <c r="AS61" i="40" s="1"/>
  <c r="AS62" i="40" s="1"/>
  <c r="AS63" i="40" s="1"/>
  <c r="AS64" i="40" s="1"/>
  <c r="AS65" i="40" s="1"/>
  <c r="AS66" i="40" s="1"/>
  <c r="AS67" i="40" s="1"/>
  <c r="AS68" i="40" s="1"/>
  <c r="AS69" i="40" s="1"/>
  <c r="AS70" i="40" s="1"/>
  <c r="AS71" i="40" s="1"/>
  <c r="AS72" i="40" s="1"/>
  <c r="AS73" i="40" s="1"/>
  <c r="AS74" i="40" s="1"/>
  <c r="AS75" i="40" s="1"/>
  <c r="AS76" i="40" s="1"/>
  <c r="AS77" i="40" s="1"/>
  <c r="AS78" i="40" s="1"/>
  <c r="AS79" i="40" s="1"/>
  <c r="AS80" i="40" s="1"/>
  <c r="AS81" i="40" s="1"/>
  <c r="AS82" i="40" s="1"/>
  <c r="AS83" i="40" s="1"/>
  <c r="AS84" i="40" s="1"/>
  <c r="AS85" i="40" s="1"/>
  <c r="AS86" i="40" s="1"/>
  <c r="AS87" i="40" s="1"/>
  <c r="AS88" i="40" s="1"/>
  <c r="AS89" i="40" s="1"/>
  <c r="AS90" i="40" s="1"/>
  <c r="AS91" i="40" s="1"/>
  <c r="AS92" i="40" s="1"/>
  <c r="AS93" i="40" s="1"/>
  <c r="AS94" i="40" s="1"/>
  <c r="AS95" i="40" s="1"/>
  <c r="AS96" i="40" s="1"/>
  <c r="AS97" i="40" s="1"/>
  <c r="AS98" i="40" s="1"/>
  <c r="AS99" i="40" s="1"/>
  <c r="AS100" i="40" s="1"/>
  <c r="AS101" i="40" s="1"/>
  <c r="AS102" i="40" s="1"/>
  <c r="AS103" i="40" s="1"/>
  <c r="AS104" i="40" s="1"/>
  <c r="AS105" i="40" s="1"/>
  <c r="AS106" i="40" s="1"/>
  <c r="AS107" i="40" s="1"/>
  <c r="AS108" i="40" s="1"/>
  <c r="AS109" i="40" s="1"/>
  <c r="AS110" i="40" s="1"/>
  <c r="AS111" i="40" s="1"/>
  <c r="AS112" i="40" s="1"/>
  <c r="AS113" i="40" s="1"/>
  <c r="AU9" i="40"/>
  <c r="Q6" i="196"/>
  <c r="R6" i="196" s="1"/>
  <c r="RB29" i="1"/>
  <c r="PX29" i="1"/>
  <c r="D39" i="209"/>
  <c r="T29" i="205"/>
  <c r="T30" i="205"/>
  <c r="T31" i="205"/>
  <c r="T32" i="205"/>
  <c r="T33" i="205"/>
  <c r="T34" i="205"/>
  <c r="T35" i="205"/>
  <c r="T36" i="205"/>
  <c r="Q29" i="205"/>
  <c r="Q30" i="205"/>
  <c r="Q31" i="205"/>
  <c r="Q32" i="205"/>
  <c r="Q33" i="205"/>
  <c r="Q34" i="205"/>
  <c r="Q35" i="205"/>
  <c r="Q36" i="205"/>
  <c r="AO120" i="40" l="1"/>
  <c r="AQ5" i="40"/>
  <c r="AR5" i="40" s="1"/>
  <c r="Y34" i="117"/>
  <c r="Z34" i="117"/>
  <c r="D38" i="209" l="1"/>
  <c r="Z33" i="117"/>
  <c r="Y33" i="117"/>
  <c r="D37" i="209" l="1"/>
  <c r="F37" i="209"/>
  <c r="I37" i="209" s="1"/>
  <c r="F38" i="209"/>
  <c r="F39" i="209"/>
  <c r="F40" i="209"/>
  <c r="F41" i="209"/>
  <c r="F42" i="209"/>
  <c r="F43" i="209"/>
  <c r="F44" i="209"/>
  <c r="F45" i="209"/>
  <c r="F46" i="209"/>
  <c r="F47" i="209"/>
  <c r="J37" i="209"/>
  <c r="J38" i="209" s="1"/>
  <c r="J39" i="209" s="1"/>
  <c r="J40" i="209" s="1"/>
  <c r="J41" i="209" s="1"/>
  <c r="J42" i="209" s="1"/>
  <c r="J43" i="209" s="1"/>
  <c r="J44" i="209" s="1"/>
  <c r="J45" i="209" s="1"/>
  <c r="J46" i="209" s="1"/>
  <c r="J47" i="209" s="1"/>
  <c r="J48" i="209" s="1"/>
  <c r="I38" i="209" l="1"/>
  <c r="I39" i="209" s="1"/>
  <c r="I40" i="209" s="1"/>
  <c r="I41" i="209" s="1"/>
  <c r="I42" i="209" s="1"/>
  <c r="I43" i="209" s="1"/>
  <c r="I44" i="209" s="1"/>
  <c r="I45" i="209" s="1"/>
  <c r="I46" i="209" s="1"/>
  <c r="I47" i="209" s="1"/>
  <c r="I48" i="209" s="1"/>
  <c r="Z24" i="117"/>
  <c r="Y24" i="117"/>
  <c r="B11" i="179" l="1"/>
  <c r="B12" i="179" s="1"/>
  <c r="B13" i="179" s="1"/>
  <c r="B14" i="179" s="1"/>
  <c r="B15" i="179" s="1"/>
  <c r="B16" i="179" s="1"/>
  <c r="B17" i="179" s="1"/>
  <c r="B18" i="179" s="1"/>
  <c r="B19" i="179" s="1"/>
  <c r="B20" i="179" s="1"/>
  <c r="B21" i="179" s="1"/>
  <c r="B22" i="179" s="1"/>
  <c r="B23" i="179" s="1"/>
  <c r="B24" i="179" s="1"/>
  <c r="B25" i="179" s="1"/>
  <c r="B26" i="179" s="1"/>
  <c r="B27" i="179" s="1"/>
  <c r="B28" i="179" s="1"/>
  <c r="B29" i="179" s="1"/>
  <c r="B30" i="179" s="1"/>
  <c r="B31" i="179" s="1"/>
  <c r="B32" i="179" s="1"/>
  <c r="B33" i="179" s="1"/>
  <c r="B10" i="179"/>
  <c r="B9" i="179"/>
  <c r="Z22" i="117" l="1"/>
  <c r="Y22" i="117"/>
  <c r="F29" i="205" l="1"/>
  <c r="F30" i="205"/>
  <c r="I30" i="205" s="1"/>
  <c r="F31" i="205"/>
  <c r="I31" i="205" s="1"/>
  <c r="F32" i="205"/>
  <c r="I32" i="205" s="1"/>
  <c r="F33" i="205"/>
  <c r="I33" i="205" s="1"/>
  <c r="F34" i="205"/>
  <c r="F36" i="205"/>
  <c r="I36" i="205" s="1"/>
  <c r="I29" i="205"/>
  <c r="I34" i="205"/>
  <c r="I35" i="205"/>
  <c r="D11" i="174" l="1"/>
  <c r="FM30" i="1" l="1"/>
  <c r="O11" i="65"/>
  <c r="Z18" i="117"/>
  <c r="Y18" i="117"/>
  <c r="D26" i="205"/>
  <c r="C26" i="205"/>
  <c r="CA8" i="1" l="1"/>
  <c r="CA9" i="1"/>
  <c r="Q43" i="38" l="1"/>
  <c r="Q154" i="38"/>
  <c r="Q15" i="38" l="1"/>
  <c r="Q44" i="38" l="1"/>
  <c r="Q42" i="38" l="1"/>
  <c r="Q5" i="38"/>
  <c r="Q4" i="38"/>
  <c r="Q41" i="38"/>
  <c r="Q45" i="38" l="1"/>
  <c r="Q47" i="38"/>
  <c r="Q48" i="38"/>
  <c r="Q38" i="38"/>
  <c r="Q49" i="38" l="1"/>
  <c r="Q46" i="38"/>
  <c r="X62" i="177" l="1"/>
  <c r="W62" i="177"/>
  <c r="Z66" i="177" s="1"/>
  <c r="Z57" i="177"/>
  <c r="Z56" i="177"/>
  <c r="Z55" i="177"/>
  <c r="Z54" i="177"/>
  <c r="Z53" i="177"/>
  <c r="Z52" i="177"/>
  <c r="Z51" i="177"/>
  <c r="Z50" i="177"/>
  <c r="Z49" i="177"/>
  <c r="Z48" i="177"/>
  <c r="Z47" i="177"/>
  <c r="Z46" i="177"/>
  <c r="Z45" i="177"/>
  <c r="Z44" i="177"/>
  <c r="Z43" i="177"/>
  <c r="Z42" i="177"/>
  <c r="Z41" i="177"/>
  <c r="Z40" i="177"/>
  <c r="Z39" i="177"/>
  <c r="Z38" i="177"/>
  <c r="Z37" i="177"/>
  <c r="Z36" i="177"/>
  <c r="Z35" i="177"/>
  <c r="Z34" i="177"/>
  <c r="Z33" i="177"/>
  <c r="Z32" i="177"/>
  <c r="Z31" i="177"/>
  <c r="Z30" i="177"/>
  <c r="Z29" i="177"/>
  <c r="Z28" i="177"/>
  <c r="Z27" i="177"/>
  <c r="Z26" i="177"/>
  <c r="Z25" i="177"/>
  <c r="Z24" i="177"/>
  <c r="Z23" i="177"/>
  <c r="Z22" i="177"/>
  <c r="Z21" i="177"/>
  <c r="Z20" i="177"/>
  <c r="Z19" i="177"/>
  <c r="Z18" i="177"/>
  <c r="Z17" i="177"/>
  <c r="Z16" i="177"/>
  <c r="Z15" i="177"/>
  <c r="Z14" i="177"/>
  <c r="Z13" i="177"/>
  <c r="Z12" i="177"/>
  <c r="Z11" i="177"/>
  <c r="Z62" i="177" s="1"/>
  <c r="V11" i="177"/>
  <c r="V12" i="177" s="1"/>
  <c r="V13" i="177" s="1"/>
  <c r="V14" i="177" s="1"/>
  <c r="V15" i="177" s="1"/>
  <c r="V16" i="177" s="1"/>
  <c r="V17" i="177" s="1"/>
  <c r="V18" i="177" s="1"/>
  <c r="V19" i="177" s="1"/>
  <c r="V20" i="177" s="1"/>
  <c r="V21" i="177" s="1"/>
  <c r="V22" i="177" s="1"/>
  <c r="V23" i="177" s="1"/>
  <c r="V24" i="177" s="1"/>
  <c r="V25" i="177" s="1"/>
  <c r="V26" i="177" s="1"/>
  <c r="V27" i="177" s="1"/>
  <c r="V28" i="177" s="1"/>
  <c r="V29" i="177" s="1"/>
  <c r="V30" i="177" s="1"/>
  <c r="V31" i="177" s="1"/>
  <c r="V32" i="177" s="1"/>
  <c r="V33" i="177" s="1"/>
  <c r="V34" i="177" s="1"/>
  <c r="V35" i="177" s="1"/>
  <c r="V36" i="177" s="1"/>
  <c r="V37" i="177" s="1"/>
  <c r="V38" i="177" s="1"/>
  <c r="V39" i="177" s="1"/>
  <c r="V40" i="177" s="1"/>
  <c r="V41" i="177" s="1"/>
  <c r="V42" i="177" s="1"/>
  <c r="V43" i="177" s="1"/>
  <c r="V44" i="177" s="1"/>
  <c r="V45" i="177" s="1"/>
  <c r="V46" i="177" s="1"/>
  <c r="V47" i="177" s="1"/>
  <c r="V48" i="177" s="1"/>
  <c r="V49" i="177" s="1"/>
  <c r="V50" i="177" s="1"/>
  <c r="V51" i="177" s="1"/>
  <c r="V52" i="177" s="1"/>
  <c r="V53" i="177" s="1"/>
  <c r="V54" i="177" s="1"/>
  <c r="V55" i="177" s="1"/>
  <c r="V56" i="177" s="1"/>
  <c r="V57" i="177" s="1"/>
  <c r="V58" i="177" s="1"/>
  <c r="AC10" i="177"/>
  <c r="AC11" i="177" s="1"/>
  <c r="AC12" i="177" s="1"/>
  <c r="AC13" i="177" s="1"/>
  <c r="AC14" i="177" s="1"/>
  <c r="AC15" i="177" s="1"/>
  <c r="AC16" i="177" s="1"/>
  <c r="AC17" i="177" s="1"/>
  <c r="AC18" i="177" s="1"/>
  <c r="AC19" i="177" s="1"/>
  <c r="AC20" i="177" s="1"/>
  <c r="AC21" i="177" s="1"/>
  <c r="AC22" i="177" s="1"/>
  <c r="AC23" i="177" s="1"/>
  <c r="AC24" i="177" s="1"/>
  <c r="AC25" i="177" s="1"/>
  <c r="AC26" i="177" s="1"/>
  <c r="AC27" i="177" s="1"/>
  <c r="AC28" i="177" s="1"/>
  <c r="AC29" i="177" s="1"/>
  <c r="AC30" i="177" s="1"/>
  <c r="AC31" i="177" s="1"/>
  <c r="AC32" i="177" s="1"/>
  <c r="AC33" i="177" s="1"/>
  <c r="AC34" i="177" s="1"/>
  <c r="AC35" i="177" s="1"/>
  <c r="AC36" i="177" s="1"/>
  <c r="AC37" i="177" s="1"/>
  <c r="AC38" i="177" s="1"/>
  <c r="AC39" i="177" s="1"/>
  <c r="AC40" i="177" s="1"/>
  <c r="AC41" i="177" s="1"/>
  <c r="AC42" i="177" s="1"/>
  <c r="AC43" i="177" s="1"/>
  <c r="AC44" i="177" s="1"/>
  <c r="AC45" i="177" s="1"/>
  <c r="AC46" i="177" s="1"/>
  <c r="AC47" i="177" s="1"/>
  <c r="AC48" i="177" s="1"/>
  <c r="AC49" i="177" s="1"/>
  <c r="AC50" i="177" s="1"/>
  <c r="AC51" i="177" s="1"/>
  <c r="AC52" i="177" s="1"/>
  <c r="AC53" i="177" s="1"/>
  <c r="AC54" i="177" s="1"/>
  <c r="AC55" i="177" s="1"/>
  <c r="AC56" i="177" s="1"/>
  <c r="AC57" i="177" s="1"/>
  <c r="AC58" i="177" s="1"/>
  <c r="Z10" i="177"/>
  <c r="V10" i="177"/>
  <c r="I157" i="38"/>
  <c r="I156" i="38"/>
  <c r="AA5" i="177" l="1"/>
  <c r="AB5" i="177" s="1"/>
  <c r="Z65" i="177"/>
  <c r="N38" i="205"/>
  <c r="O40" i="205" s="1"/>
  <c r="Q28" i="205"/>
  <c r="T28" i="205" s="1"/>
  <c r="Q27" i="205"/>
  <c r="T27" i="205" s="1"/>
  <c r="Q26" i="205"/>
  <c r="T26" i="205" s="1"/>
  <c r="Q25" i="205"/>
  <c r="T25" i="205" s="1"/>
  <c r="Q24" i="205"/>
  <c r="T24" i="205" s="1"/>
  <c r="Q23" i="205"/>
  <c r="T23" i="205" s="1"/>
  <c r="Q22" i="205"/>
  <c r="T22" i="205" s="1"/>
  <c r="Q21" i="205"/>
  <c r="T21" i="205" s="1"/>
  <c r="Q20" i="205"/>
  <c r="T20" i="205" s="1"/>
  <c r="Q19" i="205"/>
  <c r="T19" i="205" s="1"/>
  <c r="Q18" i="205"/>
  <c r="T18" i="205" s="1"/>
  <c r="Q17" i="205"/>
  <c r="T17" i="205" s="1"/>
  <c r="Q16" i="205"/>
  <c r="T16" i="205" s="1"/>
  <c r="Q15" i="205"/>
  <c r="T15" i="205" s="1"/>
  <c r="Q14" i="205"/>
  <c r="T14" i="205" s="1"/>
  <c r="Q13" i="205"/>
  <c r="T13" i="205" s="1"/>
  <c r="Q12" i="205"/>
  <c r="T12" i="205" s="1"/>
  <c r="Q11" i="205"/>
  <c r="T11" i="205" s="1"/>
  <c r="Q10" i="205"/>
  <c r="T10" i="205" s="1"/>
  <c r="Q9" i="205"/>
  <c r="M9" i="205"/>
  <c r="M10" i="205" s="1"/>
  <c r="M11" i="205" s="1"/>
  <c r="M12" i="205" s="1"/>
  <c r="M13" i="205" s="1"/>
  <c r="M14" i="205" s="1"/>
  <c r="M15" i="205" s="1"/>
  <c r="M16" i="205" s="1"/>
  <c r="M17" i="205" s="1"/>
  <c r="M18" i="205" s="1"/>
  <c r="M19" i="205" s="1"/>
  <c r="M20" i="205" s="1"/>
  <c r="M21" i="205" s="1"/>
  <c r="M22" i="205" s="1"/>
  <c r="M23" i="205" s="1"/>
  <c r="M24" i="205" s="1"/>
  <c r="M25" i="205" s="1"/>
  <c r="M26" i="205" s="1"/>
  <c r="N27" i="203"/>
  <c r="M27" i="203"/>
  <c r="P30" i="203" s="1"/>
  <c r="K27" i="203"/>
  <c r="P26" i="203"/>
  <c r="P25" i="203"/>
  <c r="P24" i="203"/>
  <c r="P23" i="203"/>
  <c r="P22" i="203"/>
  <c r="P21" i="203"/>
  <c r="P20" i="203"/>
  <c r="P19" i="203"/>
  <c r="P18" i="203"/>
  <c r="P17" i="203"/>
  <c r="P16" i="203"/>
  <c r="P15" i="203"/>
  <c r="P14" i="203"/>
  <c r="P13" i="203"/>
  <c r="P12" i="203"/>
  <c r="P11" i="203"/>
  <c r="P10" i="203"/>
  <c r="P9" i="203"/>
  <c r="L9" i="203"/>
  <c r="L10" i="203" s="1"/>
  <c r="L11" i="203" s="1"/>
  <c r="L12" i="203" s="1"/>
  <c r="L13" i="203" s="1"/>
  <c r="L14" i="203" s="1"/>
  <c r="L15" i="203" s="1"/>
  <c r="L16" i="203" s="1"/>
  <c r="L17" i="203" s="1"/>
  <c r="L18" i="203" s="1"/>
  <c r="L19" i="203" s="1"/>
  <c r="L20" i="203" s="1"/>
  <c r="L21" i="203" s="1"/>
  <c r="L22" i="203" s="1"/>
  <c r="L23" i="203" s="1"/>
  <c r="L24" i="203" s="1"/>
  <c r="L25" i="203" s="1"/>
  <c r="L26" i="203" s="1"/>
  <c r="N36" i="157"/>
  <c r="M36" i="157"/>
  <c r="P39" i="157" s="1"/>
  <c r="K36" i="157"/>
  <c r="P35" i="157"/>
  <c r="P34" i="157"/>
  <c r="P33" i="157"/>
  <c r="P32" i="157"/>
  <c r="P31" i="157"/>
  <c r="P30" i="157"/>
  <c r="P29" i="157"/>
  <c r="P28" i="157"/>
  <c r="P27" i="157"/>
  <c r="P26" i="157"/>
  <c r="P25" i="157"/>
  <c r="P24" i="157"/>
  <c r="P23" i="157"/>
  <c r="P22" i="157"/>
  <c r="P21" i="157"/>
  <c r="P20" i="157"/>
  <c r="P19" i="157"/>
  <c r="P18" i="157"/>
  <c r="P17" i="157"/>
  <c r="P16" i="157"/>
  <c r="P15" i="157"/>
  <c r="P14" i="157"/>
  <c r="P13" i="157"/>
  <c r="P12" i="157"/>
  <c r="P11" i="157"/>
  <c r="P10" i="157"/>
  <c r="P9" i="157"/>
  <c r="L8" i="157"/>
  <c r="L9" i="157" s="1"/>
  <c r="L10" i="157" s="1"/>
  <c r="L11" i="157" s="1"/>
  <c r="L12" i="157" s="1"/>
  <c r="L13" i="157" s="1"/>
  <c r="L14" i="157" s="1"/>
  <c r="L15" i="157" s="1"/>
  <c r="L16" i="157" s="1"/>
  <c r="L17" i="157" s="1"/>
  <c r="L18" i="157" s="1"/>
  <c r="L19" i="157" s="1"/>
  <c r="L20" i="157" s="1"/>
  <c r="L21" i="157" s="1"/>
  <c r="L22" i="157" s="1"/>
  <c r="L23" i="157" s="1"/>
  <c r="L24" i="157" s="1"/>
  <c r="L25" i="157" s="1"/>
  <c r="L26" i="157" s="1"/>
  <c r="L27" i="157" s="1"/>
  <c r="L28" i="157" s="1"/>
  <c r="L29" i="157" s="1"/>
  <c r="L30" i="157" s="1"/>
  <c r="L31" i="157" s="1"/>
  <c r="L32" i="157" s="1"/>
  <c r="L33" i="157" s="1"/>
  <c r="L34" i="157" s="1"/>
  <c r="L35" i="157" s="1"/>
  <c r="N68" i="54"/>
  <c r="M68" i="54"/>
  <c r="O71" i="54" s="1"/>
  <c r="P67" i="54"/>
  <c r="P52" i="54"/>
  <c r="P51" i="54"/>
  <c r="P50" i="54"/>
  <c r="P49" i="54"/>
  <c r="P48" i="54"/>
  <c r="P47" i="54"/>
  <c r="P46" i="54"/>
  <c r="P45" i="54"/>
  <c r="P44" i="54"/>
  <c r="P43" i="54"/>
  <c r="P42" i="54"/>
  <c r="P41" i="54"/>
  <c r="P40" i="54"/>
  <c r="P39" i="54"/>
  <c r="P38" i="54"/>
  <c r="P37" i="54"/>
  <c r="P36" i="54"/>
  <c r="P35" i="54"/>
  <c r="P34" i="54"/>
  <c r="P33" i="54"/>
  <c r="P32" i="54"/>
  <c r="P31" i="54"/>
  <c r="P30" i="54"/>
  <c r="P29" i="54"/>
  <c r="P28" i="54"/>
  <c r="P27" i="54"/>
  <c r="P26" i="54"/>
  <c r="P25" i="54"/>
  <c r="P24" i="54"/>
  <c r="P23" i="54"/>
  <c r="P22" i="54"/>
  <c r="P21" i="54"/>
  <c r="P20" i="54"/>
  <c r="P19" i="54"/>
  <c r="P18" i="54"/>
  <c r="P17" i="54"/>
  <c r="P16" i="54"/>
  <c r="P15" i="54"/>
  <c r="P14" i="54"/>
  <c r="P13" i="54"/>
  <c r="P12" i="54"/>
  <c r="P11" i="54"/>
  <c r="P10" i="54"/>
  <c r="S9" i="54"/>
  <c r="S10" i="54" s="1"/>
  <c r="L9" i="54"/>
  <c r="L10" i="54" s="1"/>
  <c r="L11" i="54" s="1"/>
  <c r="L12" i="54" s="1"/>
  <c r="L13" i="54" s="1"/>
  <c r="L14" i="54" s="1"/>
  <c r="L15" i="54" s="1"/>
  <c r="L16" i="54" s="1"/>
  <c r="L17" i="54" s="1"/>
  <c r="L18" i="54" s="1"/>
  <c r="L19" i="54" s="1"/>
  <c r="L20" i="54" s="1"/>
  <c r="L21" i="54" s="1"/>
  <c r="L22" i="54" s="1"/>
  <c r="L23" i="54" s="1"/>
  <c r="L24" i="54" s="1"/>
  <c r="L25" i="54" s="1"/>
  <c r="L26" i="54" s="1"/>
  <c r="L27" i="54" s="1"/>
  <c r="L28" i="54" s="1"/>
  <c r="L29" i="54" s="1"/>
  <c r="L30" i="54" s="1"/>
  <c r="L31" i="54" s="1"/>
  <c r="L32" i="54" s="1"/>
  <c r="L33" i="54" s="1"/>
  <c r="L34" i="54" s="1"/>
  <c r="L35" i="54" s="1"/>
  <c r="L36" i="54" s="1"/>
  <c r="L37" i="54" s="1"/>
  <c r="L38" i="54" s="1"/>
  <c r="L39" i="54" s="1"/>
  <c r="L40" i="54" s="1"/>
  <c r="L41" i="54" s="1"/>
  <c r="L42" i="54" s="1"/>
  <c r="L43" i="54" s="1"/>
  <c r="L44" i="54" s="1"/>
  <c r="L45" i="54" s="1"/>
  <c r="L46" i="54" s="1"/>
  <c r="L47" i="54" s="1"/>
  <c r="L48" i="54" s="1"/>
  <c r="L49" i="54" s="1"/>
  <c r="L50" i="54" s="1"/>
  <c r="L51" i="54" s="1"/>
  <c r="L52" i="54" s="1"/>
  <c r="X48" i="57"/>
  <c r="W48" i="57"/>
  <c r="Y51" i="57" s="1"/>
  <c r="Z46" i="57"/>
  <c r="AC46" i="57" s="1"/>
  <c r="Z45" i="57"/>
  <c r="Z44" i="57"/>
  <c r="Z43" i="57"/>
  <c r="Z42" i="57"/>
  <c r="Z41" i="57"/>
  <c r="Z40" i="57"/>
  <c r="Z39" i="57"/>
  <c r="Z38" i="57"/>
  <c r="Z37" i="57"/>
  <c r="Z36" i="57"/>
  <c r="Z35" i="57"/>
  <c r="Z34" i="57"/>
  <c r="Z33" i="57"/>
  <c r="Z32" i="57"/>
  <c r="Z31" i="57"/>
  <c r="Z30" i="57"/>
  <c r="Z29" i="57"/>
  <c r="Z28" i="57"/>
  <c r="Z27" i="57"/>
  <c r="Z26" i="57"/>
  <c r="Z25" i="57"/>
  <c r="Z24" i="57"/>
  <c r="Z23" i="57"/>
  <c r="Z22" i="57"/>
  <c r="Z21" i="57"/>
  <c r="Z20" i="57"/>
  <c r="Z19" i="57"/>
  <c r="Z18" i="57"/>
  <c r="Z17" i="57"/>
  <c r="Z16" i="57"/>
  <c r="Z15" i="57"/>
  <c r="Z14" i="57"/>
  <c r="Z13" i="57"/>
  <c r="Z12" i="57"/>
  <c r="Z11" i="57"/>
  <c r="Z10" i="57"/>
  <c r="AC9" i="57"/>
  <c r="AC10" i="57" s="1"/>
  <c r="AC11" i="57" s="1"/>
  <c r="AC12" i="57" s="1"/>
  <c r="AC13" i="57" s="1"/>
  <c r="AC14" i="57" s="1"/>
  <c r="AC15" i="57" s="1"/>
  <c r="AC16" i="57" s="1"/>
  <c r="AC17" i="57" s="1"/>
  <c r="AC18" i="57" s="1"/>
  <c r="AC19" i="57" s="1"/>
  <c r="AC20" i="57" s="1"/>
  <c r="AC21" i="57" s="1"/>
  <c r="AC22" i="57" s="1"/>
  <c r="AC23" i="57" s="1"/>
  <c r="AC24" i="57" s="1"/>
  <c r="AC25" i="57" s="1"/>
  <c r="AC26" i="57" s="1"/>
  <c r="AC27" i="57" s="1"/>
  <c r="AC28" i="57" s="1"/>
  <c r="AC29" i="57" s="1"/>
  <c r="AC30" i="57" s="1"/>
  <c r="AC31" i="57" s="1"/>
  <c r="AC32" i="57" s="1"/>
  <c r="AC33" i="57" s="1"/>
  <c r="AC34" i="57" s="1"/>
  <c r="AC35" i="57" s="1"/>
  <c r="AC36" i="57" s="1"/>
  <c r="AC37" i="57" s="1"/>
  <c r="AC38" i="57" s="1"/>
  <c r="AC39" i="57" s="1"/>
  <c r="AC40" i="57" s="1"/>
  <c r="AC41" i="57" s="1"/>
  <c r="AC42" i="57" s="1"/>
  <c r="AC43" i="57" s="1"/>
  <c r="AC44" i="57" s="1"/>
  <c r="AC45" i="57" s="1"/>
  <c r="Z9" i="57"/>
  <c r="V9" i="57"/>
  <c r="V10" i="57" s="1"/>
  <c r="V11" i="57" s="1"/>
  <c r="V12" i="57" s="1"/>
  <c r="V13" i="57" s="1"/>
  <c r="V14" i="57" s="1"/>
  <c r="V15" i="57" s="1"/>
  <c r="V16" i="57" s="1"/>
  <c r="V17" i="57" s="1"/>
  <c r="V18" i="57" s="1"/>
  <c r="V19" i="57" s="1"/>
  <c r="V20" i="57" s="1"/>
  <c r="V21" i="57" s="1"/>
  <c r="V22" i="57" s="1"/>
  <c r="V23" i="57" s="1"/>
  <c r="V24" i="57" s="1"/>
  <c r="V25" i="57" s="1"/>
  <c r="V26" i="57" s="1"/>
  <c r="V27" i="57" s="1"/>
  <c r="V28" i="57" s="1"/>
  <c r="V29" i="57" s="1"/>
  <c r="V30" i="57" s="1"/>
  <c r="V31" i="57" s="1"/>
  <c r="V32" i="57" s="1"/>
  <c r="V33" i="57" s="1"/>
  <c r="V34" i="57" s="1"/>
  <c r="V35" i="57" s="1"/>
  <c r="V36" i="57" s="1"/>
  <c r="V37" i="57" s="1"/>
  <c r="V38" i="57" s="1"/>
  <c r="V39" i="57" s="1"/>
  <c r="V40" i="57" s="1"/>
  <c r="V41" i="57" s="1"/>
  <c r="V42" i="57" s="1"/>
  <c r="V43" i="57" s="1"/>
  <c r="V44" i="57" s="1"/>
  <c r="V45" i="57" s="1"/>
  <c r="Z48" i="57" l="1"/>
  <c r="Y53" i="57" s="1"/>
  <c r="M27" i="205"/>
  <c r="M28" i="205" s="1"/>
  <c r="M29" i="205" s="1"/>
  <c r="M30" i="205" s="1"/>
  <c r="M31" i="205" s="1"/>
  <c r="M32" i="205" s="1"/>
  <c r="M33" i="205" s="1"/>
  <c r="M34" i="205" s="1"/>
  <c r="M35" i="205" s="1"/>
  <c r="M36" i="205" s="1"/>
  <c r="M37" i="205" s="1"/>
  <c r="O37" i="205" s="1"/>
  <c r="T9" i="205"/>
  <c r="U9" i="205"/>
  <c r="U10" i="205" s="1"/>
  <c r="U11" i="205" s="1"/>
  <c r="U12" i="205" s="1"/>
  <c r="U13" i="205" s="1"/>
  <c r="U14" i="205" s="1"/>
  <c r="U15" i="205" s="1"/>
  <c r="U16" i="205" s="1"/>
  <c r="U17" i="205" s="1"/>
  <c r="U18" i="205" s="1"/>
  <c r="U19" i="205" s="1"/>
  <c r="U20" i="205" s="1"/>
  <c r="U21" i="205" s="1"/>
  <c r="U22" i="205" s="1"/>
  <c r="U23" i="205" s="1"/>
  <c r="U24" i="205" s="1"/>
  <c r="U25" i="205" s="1"/>
  <c r="U26" i="205" s="1"/>
  <c r="U27" i="205" s="1"/>
  <c r="U28" i="205" s="1"/>
  <c r="U29" i="205" s="1"/>
  <c r="U30" i="205" s="1"/>
  <c r="U31" i="205" s="1"/>
  <c r="U32" i="205" s="1"/>
  <c r="U33" i="205" s="1"/>
  <c r="U34" i="205" s="1"/>
  <c r="U35" i="205" s="1"/>
  <c r="U36" i="205" s="1"/>
  <c r="P27" i="203"/>
  <c r="P29" i="203" s="1"/>
  <c r="S9" i="203"/>
  <c r="S10" i="203" s="1"/>
  <c r="S11" i="203" s="1"/>
  <c r="S12" i="203" s="1"/>
  <c r="S13" i="203" s="1"/>
  <c r="S14" i="203" s="1"/>
  <c r="S15" i="203" s="1"/>
  <c r="S16" i="203" s="1"/>
  <c r="S17" i="203" s="1"/>
  <c r="S18" i="203" s="1"/>
  <c r="S19" i="203" s="1"/>
  <c r="S20" i="203" s="1"/>
  <c r="S21" i="203" s="1"/>
  <c r="S22" i="203" s="1"/>
  <c r="S23" i="203" s="1"/>
  <c r="S24" i="203" s="1"/>
  <c r="S25" i="203" s="1"/>
  <c r="S26" i="203" s="1"/>
  <c r="P36" i="157"/>
  <c r="Q5" i="157" s="1"/>
  <c r="R5" i="157" s="1"/>
  <c r="P38" i="157"/>
  <c r="S8" i="157"/>
  <c r="S9" i="157" s="1"/>
  <c r="S10" i="157" s="1"/>
  <c r="S11" i="157" s="1"/>
  <c r="S12" i="157" s="1"/>
  <c r="S13" i="157" s="1"/>
  <c r="S14" i="157" s="1"/>
  <c r="S15" i="157" s="1"/>
  <c r="S16" i="157" s="1"/>
  <c r="S17" i="157" s="1"/>
  <c r="S18" i="157" s="1"/>
  <c r="S19" i="157" s="1"/>
  <c r="S20" i="157" s="1"/>
  <c r="S21" i="157" s="1"/>
  <c r="S22" i="157" s="1"/>
  <c r="S23" i="157" s="1"/>
  <c r="S24" i="157" s="1"/>
  <c r="S25" i="157" s="1"/>
  <c r="S26" i="157" s="1"/>
  <c r="S27" i="157" s="1"/>
  <c r="S28" i="157" s="1"/>
  <c r="S29" i="157" s="1"/>
  <c r="S30" i="157" s="1"/>
  <c r="S31" i="157" s="1"/>
  <c r="S32" i="157" s="1"/>
  <c r="S33" i="157" s="1"/>
  <c r="S34" i="157" s="1"/>
  <c r="S11" i="54"/>
  <c r="S12" i="54" s="1"/>
  <c r="S13" i="54" s="1"/>
  <c r="S14" i="54" s="1"/>
  <c r="S15" i="54" s="1"/>
  <c r="S16" i="54" s="1"/>
  <c r="S17" i="54" s="1"/>
  <c r="S18" i="54" s="1"/>
  <c r="S19" i="54" s="1"/>
  <c r="S20" i="54" s="1"/>
  <c r="S21" i="54" s="1"/>
  <c r="S22" i="54" s="1"/>
  <c r="S23" i="54" s="1"/>
  <c r="S24" i="54" s="1"/>
  <c r="S25" i="54" s="1"/>
  <c r="S26" i="54" s="1"/>
  <c r="S27" i="54" s="1"/>
  <c r="S28" i="54" s="1"/>
  <c r="S29" i="54" s="1"/>
  <c r="S30" i="54" s="1"/>
  <c r="S31" i="54" s="1"/>
  <c r="S32" i="54" s="1"/>
  <c r="S33" i="54" s="1"/>
  <c r="S34" i="54" s="1"/>
  <c r="S35" i="54" s="1"/>
  <c r="S36" i="54" s="1"/>
  <c r="S37" i="54" s="1"/>
  <c r="S38" i="54" s="1"/>
  <c r="S39" i="54" s="1"/>
  <c r="S40" i="54" s="1"/>
  <c r="S41" i="54" s="1"/>
  <c r="S42" i="54" s="1"/>
  <c r="S43" i="54" s="1"/>
  <c r="S44" i="54" s="1"/>
  <c r="S45" i="54" s="1"/>
  <c r="S46" i="54" s="1"/>
  <c r="S47" i="54" s="1"/>
  <c r="S48" i="54" s="1"/>
  <c r="S49" i="54" s="1"/>
  <c r="S50" i="54" s="1"/>
  <c r="S51" i="54" s="1"/>
  <c r="S52" i="54" s="1"/>
  <c r="S67" i="54" s="1"/>
  <c r="P68" i="54"/>
  <c r="Q18" i="38"/>
  <c r="Q19" i="38"/>
  <c r="AA6" i="57" l="1"/>
  <c r="AB6" i="57" s="1"/>
  <c r="O38" i="205"/>
  <c r="Q37" i="205"/>
  <c r="T37" i="205" s="1"/>
  <c r="T38" i="205" s="1"/>
  <c r="Q6" i="203"/>
  <c r="R6" i="203" s="1"/>
  <c r="O73" i="54"/>
  <c r="Q5" i="54"/>
  <c r="R5" i="54" s="1"/>
  <c r="Q35" i="38"/>
  <c r="U37" i="205" l="1"/>
  <c r="Q38" i="205"/>
  <c r="Q33" i="38"/>
  <c r="Q26" i="38"/>
  <c r="Q40" i="38"/>
  <c r="Q39" i="38"/>
  <c r="Q36" i="38"/>
  <c r="Q32" i="38"/>
  <c r="Q34" i="38"/>
  <c r="Q31" i="38"/>
  <c r="Q29" i="38"/>
  <c r="Q28" i="38"/>
  <c r="Q30" i="38"/>
  <c r="Q27" i="38"/>
  <c r="Q22" i="38"/>
  <c r="Q21" i="38"/>
  <c r="R5" i="205" l="1"/>
  <c r="S5" i="205" s="1"/>
  <c r="P41" i="205"/>
  <c r="S101" i="38"/>
  <c r="T101" i="38"/>
  <c r="Q101" i="38"/>
  <c r="I101" i="38"/>
  <c r="I102" i="38"/>
  <c r="F101" i="38"/>
  <c r="S111" i="38" l="1"/>
  <c r="T111" i="38"/>
  <c r="I111" i="38"/>
  <c r="S113" i="38"/>
  <c r="T113" i="38"/>
  <c r="I113" i="38"/>
  <c r="S117" i="38"/>
  <c r="T117" i="38"/>
  <c r="Q117" i="38"/>
  <c r="F117" i="38"/>
  <c r="I117" i="38"/>
  <c r="S118" i="38"/>
  <c r="T118" i="38"/>
  <c r="Q118" i="38"/>
  <c r="F118" i="38"/>
  <c r="I118" i="38"/>
  <c r="S104" i="38"/>
  <c r="T104" i="38" s="1"/>
  <c r="I104" i="38"/>
  <c r="I105" i="38"/>
  <c r="Q25" i="38" l="1"/>
  <c r="Q24" i="38" l="1"/>
  <c r="Q20" i="38"/>
  <c r="Q37" i="38"/>
  <c r="Q23" i="38"/>
  <c r="O79" i="129" l="1"/>
  <c r="N79" i="129"/>
  <c r="P82" i="129" s="1"/>
  <c r="Q77" i="129"/>
  <c r="U77" i="129" s="1"/>
  <c r="U76" i="129"/>
  <c r="Q76" i="129"/>
  <c r="U75" i="129"/>
  <c r="Q75" i="129"/>
  <c r="U74" i="129"/>
  <c r="Q74" i="129"/>
  <c r="U73" i="129"/>
  <c r="Q73" i="129"/>
  <c r="U72" i="129"/>
  <c r="Q72" i="129"/>
  <c r="U71" i="129"/>
  <c r="Q71" i="129"/>
  <c r="U70" i="129"/>
  <c r="Q70" i="129"/>
  <c r="U69" i="129"/>
  <c r="Q69" i="129"/>
  <c r="U68" i="129"/>
  <c r="Q68" i="129"/>
  <c r="U67" i="129"/>
  <c r="Q67" i="129"/>
  <c r="U66" i="129"/>
  <c r="Q66" i="129"/>
  <c r="U65" i="129"/>
  <c r="Q65" i="129"/>
  <c r="U64" i="129"/>
  <c r="Q64" i="129"/>
  <c r="U63" i="129"/>
  <c r="Q63" i="129"/>
  <c r="U62" i="129"/>
  <c r="Q62" i="129"/>
  <c r="U61" i="129"/>
  <c r="Q61" i="129"/>
  <c r="U60" i="129"/>
  <c r="Q60" i="129"/>
  <c r="U59" i="129"/>
  <c r="Q59" i="129"/>
  <c r="U58" i="129"/>
  <c r="U57" i="129"/>
  <c r="Q57" i="129"/>
  <c r="U56" i="129"/>
  <c r="Q56" i="129"/>
  <c r="U55" i="129"/>
  <c r="Q55" i="129"/>
  <c r="U54" i="129"/>
  <c r="Q54" i="129"/>
  <c r="U53" i="129"/>
  <c r="Q53" i="129"/>
  <c r="U52" i="129"/>
  <c r="Q52" i="129"/>
  <c r="U51" i="129"/>
  <c r="Q51" i="129"/>
  <c r="U50" i="129"/>
  <c r="Q50" i="129"/>
  <c r="U49" i="129"/>
  <c r="Q49" i="129"/>
  <c r="U48" i="129"/>
  <c r="Q48" i="129"/>
  <c r="U47" i="129"/>
  <c r="Q47" i="129"/>
  <c r="U46" i="129"/>
  <c r="Q46" i="129"/>
  <c r="U45" i="129"/>
  <c r="Q45" i="129"/>
  <c r="U44" i="129"/>
  <c r="Q44" i="129"/>
  <c r="U43" i="129"/>
  <c r="Q43" i="129"/>
  <c r="U42" i="129"/>
  <c r="Q42" i="129"/>
  <c r="U41" i="129"/>
  <c r="Q41" i="129"/>
  <c r="U40" i="129"/>
  <c r="Q40" i="129"/>
  <c r="U39" i="129"/>
  <c r="Q39" i="129"/>
  <c r="U38" i="129"/>
  <c r="Q38" i="129"/>
  <c r="U37" i="129"/>
  <c r="Q37" i="129"/>
  <c r="U36" i="129"/>
  <c r="Q36" i="129"/>
  <c r="U35" i="129"/>
  <c r="Q35" i="129"/>
  <c r="U34" i="129"/>
  <c r="Q34" i="129"/>
  <c r="U33" i="129"/>
  <c r="Q33" i="129"/>
  <c r="U32" i="129"/>
  <c r="Q32" i="129"/>
  <c r="U31" i="129"/>
  <c r="Q31" i="129"/>
  <c r="U30" i="129"/>
  <c r="Q30" i="129"/>
  <c r="U29" i="129"/>
  <c r="Q29" i="129"/>
  <c r="U28" i="129"/>
  <c r="Q28" i="129"/>
  <c r="U27" i="129"/>
  <c r="Q27" i="129"/>
  <c r="U26" i="129"/>
  <c r="Q26" i="129"/>
  <c r="U25" i="129"/>
  <c r="Q25" i="129"/>
  <c r="U24" i="129"/>
  <c r="Q24" i="129"/>
  <c r="U23" i="129"/>
  <c r="Q23" i="129"/>
  <c r="Q22" i="129"/>
  <c r="U22" i="129" s="1"/>
  <c r="Q21" i="129"/>
  <c r="U21" i="129" s="1"/>
  <c r="Q20" i="129"/>
  <c r="U20" i="129" s="1"/>
  <c r="Q19" i="129"/>
  <c r="U19" i="129" s="1"/>
  <c r="Q18" i="129"/>
  <c r="U18" i="129" s="1"/>
  <c r="Q17" i="129"/>
  <c r="U17" i="129" s="1"/>
  <c r="Q16" i="129"/>
  <c r="U16" i="129" s="1"/>
  <c r="Q15" i="129"/>
  <c r="U15" i="129" s="1"/>
  <c r="Q14" i="129"/>
  <c r="U14" i="129" s="1"/>
  <c r="Q13" i="129"/>
  <c r="U13" i="129" s="1"/>
  <c r="Q12" i="129"/>
  <c r="U12" i="129" s="1"/>
  <c r="Q11" i="129"/>
  <c r="U11" i="129" s="1"/>
  <c r="Q10" i="129"/>
  <c r="U10" i="129" s="1"/>
  <c r="M10" i="129"/>
  <c r="M11" i="129" s="1"/>
  <c r="M12" i="129" s="1"/>
  <c r="M13" i="129" s="1"/>
  <c r="M14" i="129" s="1"/>
  <c r="M15" i="129" s="1"/>
  <c r="M16" i="129" s="1"/>
  <c r="M17" i="129" s="1"/>
  <c r="M18" i="129" s="1"/>
  <c r="M19" i="129" s="1"/>
  <c r="M20" i="129" s="1"/>
  <c r="M21" i="129" s="1"/>
  <c r="M22" i="129" s="1"/>
  <c r="M23" i="129" s="1"/>
  <c r="M24" i="129" s="1"/>
  <c r="M25" i="129" s="1"/>
  <c r="M26" i="129" s="1"/>
  <c r="M27" i="129" s="1"/>
  <c r="M28" i="129" s="1"/>
  <c r="M29" i="129" s="1"/>
  <c r="M30" i="129" s="1"/>
  <c r="M31" i="129" s="1"/>
  <c r="M32" i="129" s="1"/>
  <c r="M33" i="129" s="1"/>
  <c r="M34" i="129" s="1"/>
  <c r="M35" i="129" s="1"/>
  <c r="M36" i="129" s="1"/>
  <c r="M37" i="129" s="1"/>
  <c r="M38" i="129" s="1"/>
  <c r="M39" i="129" s="1"/>
  <c r="M40" i="129" s="1"/>
  <c r="M41" i="129" s="1"/>
  <c r="M42" i="129" s="1"/>
  <c r="M43" i="129" s="1"/>
  <c r="M44" i="129" s="1"/>
  <c r="M45" i="129" s="1"/>
  <c r="M46" i="129" s="1"/>
  <c r="M47" i="129" s="1"/>
  <c r="M48" i="129" s="1"/>
  <c r="M49" i="129" s="1"/>
  <c r="M50" i="129" s="1"/>
  <c r="M51" i="129" s="1"/>
  <c r="M52" i="129" s="1"/>
  <c r="M53" i="129" s="1"/>
  <c r="M54" i="129" s="1"/>
  <c r="M55" i="129" s="1"/>
  <c r="M56" i="129" s="1"/>
  <c r="M57" i="129" s="1"/>
  <c r="M58" i="129" s="1"/>
  <c r="M59" i="129" s="1"/>
  <c r="M60" i="129" s="1"/>
  <c r="M61" i="129" s="1"/>
  <c r="M62" i="129" s="1"/>
  <c r="M63" i="129" s="1"/>
  <c r="M64" i="129" s="1"/>
  <c r="M65" i="129" s="1"/>
  <c r="M66" i="129" s="1"/>
  <c r="M67" i="129" s="1"/>
  <c r="M68" i="129" s="1"/>
  <c r="M69" i="129" s="1"/>
  <c r="M70" i="129" s="1"/>
  <c r="M71" i="129" s="1"/>
  <c r="M72" i="129" s="1"/>
  <c r="M73" i="129" s="1"/>
  <c r="M74" i="129" s="1"/>
  <c r="M75" i="129" s="1"/>
  <c r="M76" i="129" s="1"/>
  <c r="AR78" i="188"/>
  <c r="AQ78" i="188"/>
  <c r="AS81" i="188" s="1"/>
  <c r="AT76" i="188"/>
  <c r="AT75" i="188"/>
  <c r="AT74" i="188"/>
  <c r="AT73" i="188"/>
  <c r="AT72" i="188"/>
  <c r="AT71" i="188"/>
  <c r="AT70" i="188"/>
  <c r="AT69" i="188"/>
  <c r="AT68" i="188"/>
  <c r="AT67" i="188"/>
  <c r="AT66" i="188"/>
  <c r="AT65" i="188"/>
  <c r="AT64" i="188"/>
  <c r="AT63" i="188"/>
  <c r="AT62" i="188"/>
  <c r="AT61" i="188"/>
  <c r="AT60" i="188"/>
  <c r="AT59" i="188"/>
  <c r="AT58" i="188"/>
  <c r="AT57" i="188"/>
  <c r="AT56" i="188"/>
  <c r="AT55" i="188"/>
  <c r="AT54" i="188"/>
  <c r="AT53" i="188"/>
  <c r="AT52" i="188"/>
  <c r="AT51" i="188"/>
  <c r="AT50" i="188"/>
  <c r="AT49" i="188"/>
  <c r="AT48" i="188"/>
  <c r="AT47" i="188"/>
  <c r="AT46" i="188"/>
  <c r="AT45" i="188"/>
  <c r="AT44" i="188"/>
  <c r="AT43" i="188"/>
  <c r="AT42" i="188"/>
  <c r="AT41" i="188"/>
  <c r="AT40" i="188"/>
  <c r="AT39" i="188"/>
  <c r="AT38" i="188"/>
  <c r="AT37" i="188"/>
  <c r="AT36" i="188"/>
  <c r="AT35" i="188"/>
  <c r="AT34" i="188"/>
  <c r="AT33" i="188"/>
  <c r="AT32" i="188"/>
  <c r="AT31" i="188"/>
  <c r="AT30" i="188"/>
  <c r="AT29" i="188"/>
  <c r="AT28" i="188"/>
  <c r="AT27" i="188"/>
  <c r="AT26" i="188"/>
  <c r="AT25" i="188"/>
  <c r="AT24" i="188"/>
  <c r="AT23" i="188"/>
  <c r="AT22" i="188"/>
  <c r="AT21" i="188"/>
  <c r="AT20" i="188"/>
  <c r="AT19" i="188"/>
  <c r="AT18" i="188"/>
  <c r="AT17" i="188"/>
  <c r="AT16" i="188"/>
  <c r="AT15" i="188"/>
  <c r="AT14" i="188"/>
  <c r="AT13" i="188"/>
  <c r="AT12" i="188"/>
  <c r="AT11" i="188"/>
  <c r="AT10" i="188"/>
  <c r="AT9" i="188"/>
  <c r="AW9" i="188" s="1"/>
  <c r="AP9" i="188"/>
  <c r="AP10" i="188" s="1"/>
  <c r="AP11" i="188" s="1"/>
  <c r="AP12" i="188" s="1"/>
  <c r="AP13" i="188" s="1"/>
  <c r="AP14" i="188" s="1"/>
  <c r="AP15" i="188" s="1"/>
  <c r="AP16" i="188" s="1"/>
  <c r="AP17" i="188" s="1"/>
  <c r="AP18" i="188" s="1"/>
  <c r="AP19" i="188" s="1"/>
  <c r="AP20" i="188" s="1"/>
  <c r="AP21" i="188" s="1"/>
  <c r="AP22" i="188" s="1"/>
  <c r="AP23" i="188" s="1"/>
  <c r="AP24" i="188" s="1"/>
  <c r="AP25" i="188" s="1"/>
  <c r="AP26" i="188" s="1"/>
  <c r="AP27" i="188" s="1"/>
  <c r="AP28" i="188" s="1"/>
  <c r="AP29" i="188" s="1"/>
  <c r="AP30" i="188" s="1"/>
  <c r="AP31" i="188" s="1"/>
  <c r="AP32" i="188" s="1"/>
  <c r="AP33" i="188" s="1"/>
  <c r="AP34" i="188" s="1"/>
  <c r="AP35" i="188" s="1"/>
  <c r="AP36" i="188" s="1"/>
  <c r="AP37" i="188" s="1"/>
  <c r="AP38" i="188" s="1"/>
  <c r="AP39" i="188" s="1"/>
  <c r="AP40" i="188" s="1"/>
  <c r="AP41" i="188" s="1"/>
  <c r="AP42" i="188" s="1"/>
  <c r="AP43" i="188" s="1"/>
  <c r="AP44" i="188" s="1"/>
  <c r="AP45" i="188" s="1"/>
  <c r="AP46" i="188" s="1"/>
  <c r="AP47" i="188" s="1"/>
  <c r="AP48" i="188" s="1"/>
  <c r="AP49" i="188" s="1"/>
  <c r="AP50" i="188" s="1"/>
  <c r="AP51" i="188" s="1"/>
  <c r="AP52" i="188" s="1"/>
  <c r="AP53" i="188" s="1"/>
  <c r="AP54" i="188" s="1"/>
  <c r="AP55" i="188" s="1"/>
  <c r="AP56" i="188" s="1"/>
  <c r="AP57" i="188" s="1"/>
  <c r="AP58" i="188" s="1"/>
  <c r="AP59" i="188" s="1"/>
  <c r="AP60" i="188" s="1"/>
  <c r="AP61" i="188" s="1"/>
  <c r="AP62" i="188" s="1"/>
  <c r="AP63" i="188" s="1"/>
  <c r="AP64" i="188" s="1"/>
  <c r="AP65" i="188" s="1"/>
  <c r="AP66" i="188" s="1"/>
  <c r="AP67" i="188" s="1"/>
  <c r="AP68" i="188" s="1"/>
  <c r="AP69" i="188" s="1"/>
  <c r="AP70" i="188" s="1"/>
  <c r="AP71" i="188" s="1"/>
  <c r="AP72" i="188" s="1"/>
  <c r="AP73" i="188" s="1"/>
  <c r="AP74" i="188" s="1"/>
  <c r="AP75" i="188" s="1"/>
  <c r="X32" i="180"/>
  <c r="Z33" i="180" s="1"/>
  <c r="W32" i="180"/>
  <c r="Z34" i="180" s="1"/>
  <c r="Z28" i="180"/>
  <c r="Z27" i="180"/>
  <c r="Z26" i="180"/>
  <c r="Z25" i="180"/>
  <c r="Z24" i="180"/>
  <c r="Z23" i="180"/>
  <c r="Z22" i="180"/>
  <c r="Z21" i="180"/>
  <c r="Z20" i="180"/>
  <c r="Z19" i="180"/>
  <c r="Z18" i="180"/>
  <c r="Z17" i="180"/>
  <c r="Z16" i="180"/>
  <c r="Z15" i="180"/>
  <c r="Z14" i="180"/>
  <c r="Z13" i="180"/>
  <c r="Z12" i="180"/>
  <c r="Z11" i="180"/>
  <c r="Z10" i="180"/>
  <c r="Z9" i="180"/>
  <c r="AC8" i="180"/>
  <c r="AC9" i="180" s="1"/>
  <c r="AC10" i="180" s="1"/>
  <c r="AC11" i="180" s="1"/>
  <c r="AC12" i="180" s="1"/>
  <c r="AC13" i="180" s="1"/>
  <c r="AC14" i="180" s="1"/>
  <c r="AC15" i="180" s="1"/>
  <c r="AC16" i="180" s="1"/>
  <c r="AC17" i="180" s="1"/>
  <c r="AC18" i="180" s="1"/>
  <c r="AC19" i="180" s="1"/>
  <c r="AC20" i="180" s="1"/>
  <c r="AC21" i="180" s="1"/>
  <c r="AC22" i="180" s="1"/>
  <c r="AC23" i="180" s="1"/>
  <c r="AC24" i="180" s="1"/>
  <c r="AC25" i="180" s="1"/>
  <c r="AC26" i="180" s="1"/>
  <c r="AC27" i="180" s="1"/>
  <c r="AC28" i="180" s="1"/>
  <c r="Z8" i="180"/>
  <c r="Z32" i="180" s="1"/>
  <c r="AA5" i="180" s="1"/>
  <c r="AB5" i="180" s="1"/>
  <c r="V8" i="180"/>
  <c r="V9" i="180" s="1"/>
  <c r="V10" i="180" s="1"/>
  <c r="V11" i="180" s="1"/>
  <c r="V12" i="180" s="1"/>
  <c r="V13" i="180" s="1"/>
  <c r="V14" i="180" s="1"/>
  <c r="V15" i="180" s="1"/>
  <c r="V16" i="180" s="1"/>
  <c r="V17" i="180" s="1"/>
  <c r="V18" i="180" s="1"/>
  <c r="V19" i="180" s="1"/>
  <c r="V20" i="180" s="1"/>
  <c r="V21" i="180" s="1"/>
  <c r="V22" i="180" s="1"/>
  <c r="V23" i="180" s="1"/>
  <c r="V24" i="180" s="1"/>
  <c r="V25" i="180" s="1"/>
  <c r="V26" i="180" s="1"/>
  <c r="V27" i="180" s="1"/>
  <c r="V28" i="180" s="1"/>
  <c r="M32" i="180"/>
  <c r="AW10" i="188" l="1"/>
  <c r="AW11" i="188" s="1"/>
  <c r="AW12" i="188" s="1"/>
  <c r="AW13" i="188" s="1"/>
  <c r="AW14" i="188" s="1"/>
  <c r="AW15" i="188" s="1"/>
  <c r="AW16" i="188" s="1"/>
  <c r="AW17" i="188" s="1"/>
  <c r="AW18" i="188" s="1"/>
  <c r="AW19" i="188" s="1"/>
  <c r="AW20" i="188" s="1"/>
  <c r="AW21" i="188" s="1"/>
  <c r="AW22" i="188" s="1"/>
  <c r="AW23" i="188" s="1"/>
  <c r="AW24" i="188" s="1"/>
  <c r="AW25" i="188" s="1"/>
  <c r="AW26" i="188" s="1"/>
  <c r="AW27" i="188" s="1"/>
  <c r="AW28" i="188" s="1"/>
  <c r="AW29" i="188" s="1"/>
  <c r="AW30" i="188" s="1"/>
  <c r="AW31" i="188" s="1"/>
  <c r="AW32" i="188" s="1"/>
  <c r="AW33" i="188" s="1"/>
  <c r="AW34" i="188" s="1"/>
  <c r="AW35" i="188" s="1"/>
  <c r="AW36" i="188" s="1"/>
  <c r="AW37" i="188" s="1"/>
  <c r="AW38" i="188" s="1"/>
  <c r="AW39" i="188" s="1"/>
  <c r="AW40" i="188" s="1"/>
  <c r="AW41" i="188" s="1"/>
  <c r="AW42" i="188" s="1"/>
  <c r="AW43" i="188" s="1"/>
  <c r="AW44" i="188" s="1"/>
  <c r="AW45" i="188" s="1"/>
  <c r="AW46" i="188" s="1"/>
  <c r="AW47" i="188" s="1"/>
  <c r="AW48" i="188" s="1"/>
  <c r="AW49" i="188" s="1"/>
  <c r="AW50" i="188" s="1"/>
  <c r="AW51" i="188" s="1"/>
  <c r="AW52" i="188" s="1"/>
  <c r="AW53" i="188" s="1"/>
  <c r="AW54" i="188" s="1"/>
  <c r="AW55" i="188" s="1"/>
  <c r="AW56" i="188" s="1"/>
  <c r="AW57" i="188" s="1"/>
  <c r="AW58" i="188" s="1"/>
  <c r="AW59" i="188" s="1"/>
  <c r="AW60" i="188" s="1"/>
  <c r="AW61" i="188" s="1"/>
  <c r="AW62" i="188" s="1"/>
  <c r="AW63" i="188" s="1"/>
  <c r="AW64" i="188" s="1"/>
  <c r="AW65" i="188" s="1"/>
  <c r="AW66" i="188" s="1"/>
  <c r="AW67" i="188" s="1"/>
  <c r="AW68" i="188" s="1"/>
  <c r="AW69" i="188" s="1"/>
  <c r="AW70" i="188" s="1"/>
  <c r="AW71" i="188" s="1"/>
  <c r="AW72" i="188" s="1"/>
  <c r="AW73" i="188" s="1"/>
  <c r="AW74" i="188" s="1"/>
  <c r="AW75" i="188" s="1"/>
  <c r="AW76" i="188" s="1"/>
  <c r="T10" i="129"/>
  <c r="T11" i="129" s="1"/>
  <c r="T12" i="129" s="1"/>
  <c r="T13" i="129" s="1"/>
  <c r="T14" i="129" s="1"/>
  <c r="T15" i="129" s="1"/>
  <c r="T16" i="129" s="1"/>
  <c r="T17" i="129" s="1"/>
  <c r="T18" i="129" s="1"/>
  <c r="T19" i="129" s="1"/>
  <c r="T20" i="129" s="1"/>
  <c r="T21" i="129" s="1"/>
  <c r="T22" i="129" s="1"/>
  <c r="T23" i="129" s="1"/>
  <c r="T24" i="129" s="1"/>
  <c r="T25" i="129" s="1"/>
  <c r="T26" i="129" s="1"/>
  <c r="T27" i="129" s="1"/>
  <c r="T28" i="129" s="1"/>
  <c r="T29" i="129" s="1"/>
  <c r="T30" i="129" s="1"/>
  <c r="T31" i="129" s="1"/>
  <c r="T32" i="129" s="1"/>
  <c r="T33" i="129" s="1"/>
  <c r="T34" i="129" s="1"/>
  <c r="T35" i="129" s="1"/>
  <c r="T36" i="129" s="1"/>
  <c r="T37" i="129" s="1"/>
  <c r="T38" i="129" s="1"/>
  <c r="T39" i="129" s="1"/>
  <c r="T40" i="129" s="1"/>
  <c r="T41" i="129" s="1"/>
  <c r="T42" i="129" s="1"/>
  <c r="T43" i="129" s="1"/>
  <c r="T44" i="129" s="1"/>
  <c r="T45" i="129" s="1"/>
  <c r="T46" i="129" s="1"/>
  <c r="T47" i="129" s="1"/>
  <c r="T48" i="129" s="1"/>
  <c r="T49" i="129" s="1"/>
  <c r="T50" i="129" s="1"/>
  <c r="T51" i="129" s="1"/>
  <c r="T52" i="129" s="1"/>
  <c r="T53" i="129" s="1"/>
  <c r="T54" i="129" s="1"/>
  <c r="T55" i="129" s="1"/>
  <c r="T56" i="129" s="1"/>
  <c r="T57" i="129" s="1"/>
  <c r="T58" i="129" s="1"/>
  <c r="T59" i="129" s="1"/>
  <c r="T60" i="129" s="1"/>
  <c r="T61" i="129" s="1"/>
  <c r="T62" i="129" s="1"/>
  <c r="T63" i="129" s="1"/>
  <c r="T64" i="129" s="1"/>
  <c r="T65" i="129" s="1"/>
  <c r="T66" i="129" s="1"/>
  <c r="T67" i="129" s="1"/>
  <c r="T68" i="129" s="1"/>
  <c r="T69" i="129" s="1"/>
  <c r="T70" i="129" s="1"/>
  <c r="T71" i="129" s="1"/>
  <c r="T72" i="129" s="1"/>
  <c r="T73" i="129" s="1"/>
  <c r="T74" i="129" s="1"/>
  <c r="T75" i="129" s="1"/>
  <c r="T76" i="129" s="1"/>
  <c r="T77" i="129" s="1"/>
  <c r="Q79" i="129"/>
  <c r="P84" i="129" s="1"/>
  <c r="AT78" i="188"/>
  <c r="N56" i="187"/>
  <c r="M56" i="187"/>
  <c r="O59" i="187" s="1"/>
  <c r="P55" i="187"/>
  <c r="P54" i="187"/>
  <c r="P53" i="187"/>
  <c r="P52" i="187"/>
  <c r="P51" i="187"/>
  <c r="P50" i="187"/>
  <c r="P49" i="187"/>
  <c r="P48" i="187"/>
  <c r="P47" i="187"/>
  <c r="P46" i="187"/>
  <c r="P45" i="187"/>
  <c r="P44" i="187"/>
  <c r="P43" i="187"/>
  <c r="P42" i="187"/>
  <c r="P41" i="187"/>
  <c r="P40" i="187"/>
  <c r="P39" i="187"/>
  <c r="P38" i="187"/>
  <c r="P37" i="187"/>
  <c r="P36" i="187"/>
  <c r="P35" i="187"/>
  <c r="P34" i="187"/>
  <c r="P33" i="187"/>
  <c r="P32" i="187"/>
  <c r="P31" i="187"/>
  <c r="P30" i="187"/>
  <c r="P29" i="187"/>
  <c r="P28" i="187"/>
  <c r="P27" i="187"/>
  <c r="P26" i="187"/>
  <c r="P25" i="187"/>
  <c r="P24" i="187"/>
  <c r="P23" i="187"/>
  <c r="P22" i="187"/>
  <c r="P21" i="187"/>
  <c r="P20" i="187"/>
  <c r="P19" i="187"/>
  <c r="P18" i="187"/>
  <c r="P17" i="187"/>
  <c r="P16" i="187"/>
  <c r="P15" i="187"/>
  <c r="P14" i="187"/>
  <c r="P13" i="187"/>
  <c r="P12" i="187"/>
  <c r="P11" i="187"/>
  <c r="P10" i="187"/>
  <c r="P56" i="187" s="1"/>
  <c r="L10" i="187"/>
  <c r="L11" i="187" s="1"/>
  <c r="L12" i="187" s="1"/>
  <c r="L13" i="187" s="1"/>
  <c r="L14" i="187" s="1"/>
  <c r="L15" i="187" s="1"/>
  <c r="L16" i="187" s="1"/>
  <c r="L17" i="187" s="1"/>
  <c r="L18" i="187" s="1"/>
  <c r="L19" i="187" s="1"/>
  <c r="L20" i="187" s="1"/>
  <c r="L21" i="187" s="1"/>
  <c r="L22" i="187" s="1"/>
  <c r="L23" i="187" s="1"/>
  <c r="L24" i="187" s="1"/>
  <c r="L25" i="187" s="1"/>
  <c r="L26" i="187" s="1"/>
  <c r="L27" i="187" s="1"/>
  <c r="L28" i="187" s="1"/>
  <c r="L29" i="187" s="1"/>
  <c r="L30" i="187" s="1"/>
  <c r="L31" i="187" s="1"/>
  <c r="L32" i="187" s="1"/>
  <c r="L33" i="187" s="1"/>
  <c r="L34" i="187" s="1"/>
  <c r="L35" i="187" s="1"/>
  <c r="L36" i="187" s="1"/>
  <c r="L37" i="187" s="1"/>
  <c r="L38" i="187" s="1"/>
  <c r="L39" i="187" s="1"/>
  <c r="L40" i="187" s="1"/>
  <c r="L41" i="187" s="1"/>
  <c r="L42" i="187" s="1"/>
  <c r="L43" i="187" s="1"/>
  <c r="L44" i="187" s="1"/>
  <c r="L45" i="187" s="1"/>
  <c r="L46" i="187" s="1"/>
  <c r="L47" i="187" s="1"/>
  <c r="L48" i="187" s="1"/>
  <c r="L49" i="187" s="1"/>
  <c r="L50" i="187" s="1"/>
  <c r="L51" i="187" s="1"/>
  <c r="L52" i="187" s="1"/>
  <c r="L53" i="187" s="1"/>
  <c r="L54" i="187" s="1"/>
  <c r="O73" i="161"/>
  <c r="L73" i="161"/>
  <c r="Q72" i="161"/>
  <c r="Q37" i="161"/>
  <c r="U37" i="161" s="1"/>
  <c r="U36" i="161"/>
  <c r="Q36" i="161"/>
  <c r="U35" i="161"/>
  <c r="Q35" i="161"/>
  <c r="U34" i="161"/>
  <c r="Q34" i="161"/>
  <c r="U33" i="161"/>
  <c r="Q33" i="161"/>
  <c r="U32" i="161"/>
  <c r="Q32" i="161"/>
  <c r="U31" i="161"/>
  <c r="Q31" i="161"/>
  <c r="U30" i="161"/>
  <c r="Q30" i="161"/>
  <c r="U29" i="161"/>
  <c r="Q29" i="161"/>
  <c r="U28" i="161"/>
  <c r="Q28" i="161"/>
  <c r="U27" i="161"/>
  <c r="Q27" i="161"/>
  <c r="U26" i="161"/>
  <c r="Q26" i="161"/>
  <c r="U25" i="161"/>
  <c r="Q25" i="161"/>
  <c r="U24" i="161"/>
  <c r="Q24" i="161"/>
  <c r="U23" i="161"/>
  <c r="Q23" i="161"/>
  <c r="U22" i="161"/>
  <c r="Q22" i="161"/>
  <c r="U21" i="161"/>
  <c r="Q21" i="161"/>
  <c r="U20" i="161"/>
  <c r="Q20" i="161"/>
  <c r="U19" i="161"/>
  <c r="Q19" i="161"/>
  <c r="U18" i="161"/>
  <c r="Q18" i="161"/>
  <c r="U17" i="161"/>
  <c r="Q17" i="161"/>
  <c r="U16" i="161"/>
  <c r="Q16" i="161"/>
  <c r="U15" i="161"/>
  <c r="Q15" i="161"/>
  <c r="U14" i="161"/>
  <c r="Q14" i="161"/>
  <c r="U13" i="161"/>
  <c r="Q13" i="161"/>
  <c r="U12" i="161"/>
  <c r="Q12" i="161"/>
  <c r="U11" i="161"/>
  <c r="Q11" i="161"/>
  <c r="Q10" i="161"/>
  <c r="U10" i="161" s="1"/>
  <c r="U9" i="161"/>
  <c r="Q9" i="161"/>
  <c r="M9" i="161"/>
  <c r="M10" i="161" s="1"/>
  <c r="M11" i="161" s="1"/>
  <c r="M12" i="161" s="1"/>
  <c r="M13" i="161" s="1"/>
  <c r="M14" i="161" s="1"/>
  <c r="M15" i="161" s="1"/>
  <c r="M16" i="161" s="1"/>
  <c r="M17" i="161" s="1"/>
  <c r="M18" i="161" s="1"/>
  <c r="M19" i="161" s="1"/>
  <c r="M20" i="161" s="1"/>
  <c r="M21" i="161" s="1"/>
  <c r="M22" i="161" s="1"/>
  <c r="M23" i="161" s="1"/>
  <c r="M24" i="161" s="1"/>
  <c r="M25" i="161" s="1"/>
  <c r="M26" i="161" s="1"/>
  <c r="M27" i="161" s="1"/>
  <c r="Q73" i="161" l="1"/>
  <c r="R5" i="161" s="1"/>
  <c r="Q75" i="161" s="1"/>
  <c r="R6" i="129"/>
  <c r="S6" i="129" s="1"/>
  <c r="AS83" i="188"/>
  <c r="AU6" i="188"/>
  <c r="AV6" i="188" s="1"/>
  <c r="Q4" i="187"/>
  <c r="R4" i="187" s="1"/>
  <c r="O61" i="187"/>
  <c r="S10" i="187"/>
  <c r="S11" i="187" s="1"/>
  <c r="S12" i="187" s="1"/>
  <c r="S13" i="187" s="1"/>
  <c r="S14" i="187" s="1"/>
  <c r="S15" i="187" s="1"/>
  <c r="S16" i="187" s="1"/>
  <c r="S17" i="187" s="1"/>
  <c r="S18" i="187" s="1"/>
  <c r="S19" i="187" s="1"/>
  <c r="S20" i="187" s="1"/>
  <c r="S21" i="187" s="1"/>
  <c r="S22" i="187" s="1"/>
  <c r="S23" i="187" s="1"/>
  <c r="S24" i="187" s="1"/>
  <c r="S25" i="187" s="1"/>
  <c r="S26" i="187" s="1"/>
  <c r="S27" i="187" s="1"/>
  <c r="S28" i="187" s="1"/>
  <c r="S29" i="187" s="1"/>
  <c r="S30" i="187" s="1"/>
  <c r="S31" i="187" s="1"/>
  <c r="S32" i="187" s="1"/>
  <c r="S33" i="187" s="1"/>
  <c r="S34" i="187" s="1"/>
  <c r="S35" i="187" s="1"/>
  <c r="S36" i="187" s="1"/>
  <c r="S37" i="187" s="1"/>
  <c r="S38" i="187" s="1"/>
  <c r="S39" i="187" s="1"/>
  <c r="S40" i="187" s="1"/>
  <c r="S41" i="187" s="1"/>
  <c r="S42" i="187" s="1"/>
  <c r="S43" i="187" s="1"/>
  <c r="S44" i="187" s="1"/>
  <c r="S45" i="187" s="1"/>
  <c r="S46" i="187" s="1"/>
  <c r="S47" i="187" s="1"/>
  <c r="S48" i="187" s="1"/>
  <c r="S49" i="187" s="1"/>
  <c r="S50" i="187" s="1"/>
  <c r="S51" i="187" s="1"/>
  <c r="S52" i="187" s="1"/>
  <c r="S53" i="187" s="1"/>
  <c r="S54" i="187" s="1"/>
  <c r="S55" i="187" s="1"/>
  <c r="M37" i="161"/>
  <c r="M72" i="161" s="1"/>
  <c r="M28" i="161"/>
  <c r="M29" i="161" s="1"/>
  <c r="M30" i="161" s="1"/>
  <c r="M31" i="161" s="1"/>
  <c r="M32" i="161" s="1"/>
  <c r="M33" i="161" s="1"/>
  <c r="M34" i="161" s="1"/>
  <c r="M35" i="161" s="1"/>
  <c r="M36" i="161" s="1"/>
  <c r="U72" i="161"/>
  <c r="T9" i="161"/>
  <c r="T10" i="161" s="1"/>
  <c r="T11" i="161" s="1"/>
  <c r="T12" i="161" s="1"/>
  <c r="T13" i="161" s="1"/>
  <c r="T14" i="161" s="1"/>
  <c r="T15" i="161" s="1"/>
  <c r="T16" i="161" s="1"/>
  <c r="T17" i="161" s="1"/>
  <c r="T18" i="161" s="1"/>
  <c r="T19" i="161" s="1"/>
  <c r="T20" i="161" s="1"/>
  <c r="T21" i="161" s="1"/>
  <c r="T22" i="161" s="1"/>
  <c r="T23" i="161" s="1"/>
  <c r="T24" i="161" s="1"/>
  <c r="T25" i="161" s="1"/>
  <c r="T26" i="161" s="1"/>
  <c r="T27" i="161" s="1"/>
  <c r="T28" i="161" s="1"/>
  <c r="T29" i="161" s="1"/>
  <c r="T30" i="161" s="1"/>
  <c r="T31" i="161" s="1"/>
  <c r="T32" i="161" s="1"/>
  <c r="T33" i="161" s="1"/>
  <c r="T34" i="161" s="1"/>
  <c r="T35" i="161" s="1"/>
  <c r="T36" i="161" s="1"/>
  <c r="T37" i="161" s="1"/>
  <c r="T72" i="161" s="1"/>
  <c r="Q8" i="38"/>
  <c r="Q13" i="38"/>
  <c r="S5" i="161" l="1"/>
  <c r="Q16" i="38"/>
  <c r="Q9" i="38"/>
  <c r="Q112" i="38" l="1"/>
  <c r="Q14" i="38"/>
  <c r="Q10" i="38" l="1"/>
  <c r="AH78" i="188" l="1"/>
  <c r="AG78" i="188"/>
  <c r="AI81" i="188" s="1"/>
  <c r="AJ76" i="188"/>
  <c r="AJ75" i="188"/>
  <c r="AJ74" i="188"/>
  <c r="AJ73" i="188"/>
  <c r="AJ72" i="188"/>
  <c r="AJ71" i="188"/>
  <c r="AJ70" i="188"/>
  <c r="AJ69" i="188"/>
  <c r="AJ68" i="188"/>
  <c r="AJ67" i="188"/>
  <c r="AJ66" i="188"/>
  <c r="AJ65" i="188"/>
  <c r="AJ64" i="188"/>
  <c r="AJ63" i="188"/>
  <c r="AJ62" i="188"/>
  <c r="AJ61" i="188"/>
  <c r="AJ60" i="188"/>
  <c r="AJ59" i="188"/>
  <c r="AJ58" i="188"/>
  <c r="AJ57" i="188"/>
  <c r="AJ56" i="188"/>
  <c r="AJ55" i="188"/>
  <c r="AJ54" i="188"/>
  <c r="AJ53" i="188"/>
  <c r="AJ52" i="188"/>
  <c r="AJ51" i="188"/>
  <c r="AJ50" i="188"/>
  <c r="AJ49" i="188"/>
  <c r="AJ48" i="188"/>
  <c r="AJ47" i="188"/>
  <c r="AJ46" i="188"/>
  <c r="AJ45" i="188"/>
  <c r="AJ44" i="188"/>
  <c r="AJ43" i="188"/>
  <c r="AJ42" i="188"/>
  <c r="AJ41" i="188"/>
  <c r="AJ40" i="188"/>
  <c r="AJ39" i="188"/>
  <c r="AJ38" i="188"/>
  <c r="AJ37" i="188"/>
  <c r="AJ36" i="188"/>
  <c r="AJ35" i="188"/>
  <c r="AJ34" i="188"/>
  <c r="AJ33" i="188"/>
  <c r="AJ32" i="188"/>
  <c r="AJ31" i="188"/>
  <c r="AJ30" i="188"/>
  <c r="AJ29" i="188"/>
  <c r="AJ28" i="188"/>
  <c r="AJ27" i="188"/>
  <c r="AJ26" i="188"/>
  <c r="AJ25" i="188"/>
  <c r="AJ24" i="188"/>
  <c r="AJ23" i="188"/>
  <c r="AJ22" i="188"/>
  <c r="AJ21" i="188"/>
  <c r="AJ20" i="188"/>
  <c r="AJ19" i="188"/>
  <c r="AJ18" i="188"/>
  <c r="AJ17" i="188"/>
  <c r="AJ16" i="188"/>
  <c r="AJ15" i="188"/>
  <c r="AJ14" i="188"/>
  <c r="AJ13" i="188"/>
  <c r="AJ12" i="188"/>
  <c r="AJ11" i="188"/>
  <c r="AJ10" i="188"/>
  <c r="AJ9" i="188"/>
  <c r="AM9" i="188" s="1"/>
  <c r="AM10" i="188" s="1"/>
  <c r="AM11" i="188" s="1"/>
  <c r="AM12" i="188" s="1"/>
  <c r="AM13" i="188" s="1"/>
  <c r="AM14" i="188" s="1"/>
  <c r="AM15" i="188" s="1"/>
  <c r="AM16" i="188" s="1"/>
  <c r="AM17" i="188" s="1"/>
  <c r="AM18" i="188" s="1"/>
  <c r="AM19" i="188" s="1"/>
  <c r="AM20" i="188" s="1"/>
  <c r="AM21" i="188" s="1"/>
  <c r="AM22" i="188" s="1"/>
  <c r="AM23" i="188" s="1"/>
  <c r="AM24" i="188" s="1"/>
  <c r="AM25" i="188" s="1"/>
  <c r="AM26" i="188" s="1"/>
  <c r="AM27" i="188" s="1"/>
  <c r="AM28" i="188" s="1"/>
  <c r="AM29" i="188" s="1"/>
  <c r="AM30" i="188" s="1"/>
  <c r="AM31" i="188" s="1"/>
  <c r="AM32" i="188" s="1"/>
  <c r="AM33" i="188" s="1"/>
  <c r="AM34" i="188" s="1"/>
  <c r="AM35" i="188" s="1"/>
  <c r="AM36" i="188" s="1"/>
  <c r="AM37" i="188" s="1"/>
  <c r="AM38" i="188" s="1"/>
  <c r="AM39" i="188" s="1"/>
  <c r="AM40" i="188" s="1"/>
  <c r="AM41" i="188" s="1"/>
  <c r="AM42" i="188" s="1"/>
  <c r="AM43" i="188" s="1"/>
  <c r="AM44" i="188" s="1"/>
  <c r="AM45" i="188" s="1"/>
  <c r="AM46" i="188" s="1"/>
  <c r="AM47" i="188" s="1"/>
  <c r="AM48" i="188" s="1"/>
  <c r="AM49" i="188" s="1"/>
  <c r="AM50" i="188" s="1"/>
  <c r="AM51" i="188" s="1"/>
  <c r="AM52" i="188" s="1"/>
  <c r="AM53" i="188" s="1"/>
  <c r="AM54" i="188" s="1"/>
  <c r="AM55" i="188" s="1"/>
  <c r="AM56" i="188" s="1"/>
  <c r="AM57" i="188" s="1"/>
  <c r="AM58" i="188" s="1"/>
  <c r="AM59" i="188" s="1"/>
  <c r="AM60" i="188" s="1"/>
  <c r="AM61" i="188" s="1"/>
  <c r="AM62" i="188" s="1"/>
  <c r="AM63" i="188" s="1"/>
  <c r="AM64" i="188" s="1"/>
  <c r="AM65" i="188" s="1"/>
  <c r="AM66" i="188" s="1"/>
  <c r="AM67" i="188" s="1"/>
  <c r="AM68" i="188" s="1"/>
  <c r="AM69" i="188" s="1"/>
  <c r="AM70" i="188" s="1"/>
  <c r="AM71" i="188" s="1"/>
  <c r="AM72" i="188" s="1"/>
  <c r="AM73" i="188" s="1"/>
  <c r="AM74" i="188" s="1"/>
  <c r="AM75" i="188" s="1"/>
  <c r="AM76" i="188" s="1"/>
  <c r="AF9" i="188"/>
  <c r="AF10" i="188" s="1"/>
  <c r="AF11" i="188" s="1"/>
  <c r="AF12" i="188" s="1"/>
  <c r="AF13" i="188" s="1"/>
  <c r="AF14" i="188" s="1"/>
  <c r="AF15" i="188" s="1"/>
  <c r="AF16" i="188" s="1"/>
  <c r="AF17" i="188" s="1"/>
  <c r="AF18" i="188" s="1"/>
  <c r="AF19" i="188" s="1"/>
  <c r="AF20" i="188" s="1"/>
  <c r="AF21" i="188" s="1"/>
  <c r="AF22" i="188" s="1"/>
  <c r="AF23" i="188" s="1"/>
  <c r="AF24" i="188" s="1"/>
  <c r="AF25" i="188" s="1"/>
  <c r="AF26" i="188" s="1"/>
  <c r="AF27" i="188" s="1"/>
  <c r="AF28" i="188" s="1"/>
  <c r="AF29" i="188" s="1"/>
  <c r="AF30" i="188" s="1"/>
  <c r="AF31" i="188" s="1"/>
  <c r="AF32" i="188" s="1"/>
  <c r="AF33" i="188" s="1"/>
  <c r="AF34" i="188" s="1"/>
  <c r="AF35" i="188" s="1"/>
  <c r="AF36" i="188" s="1"/>
  <c r="AF37" i="188" s="1"/>
  <c r="AF38" i="188" s="1"/>
  <c r="AF39" i="188" s="1"/>
  <c r="AF40" i="188" s="1"/>
  <c r="AF41" i="188" s="1"/>
  <c r="AF42" i="188" s="1"/>
  <c r="AF43" i="188" s="1"/>
  <c r="AF44" i="188" s="1"/>
  <c r="AF45" i="188" s="1"/>
  <c r="AF46" i="188" s="1"/>
  <c r="AF47" i="188" s="1"/>
  <c r="AF48" i="188" s="1"/>
  <c r="AF49" i="188" s="1"/>
  <c r="AF50" i="188" s="1"/>
  <c r="AF51" i="188" s="1"/>
  <c r="AF52" i="188" s="1"/>
  <c r="AF53" i="188" s="1"/>
  <c r="AF54" i="188" s="1"/>
  <c r="AF55" i="188" s="1"/>
  <c r="AF56" i="188" s="1"/>
  <c r="AF57" i="188" s="1"/>
  <c r="AF58" i="188" s="1"/>
  <c r="AF59" i="188" s="1"/>
  <c r="AF60" i="188" s="1"/>
  <c r="AF61" i="188" s="1"/>
  <c r="AF62" i="188" s="1"/>
  <c r="AF63" i="188" s="1"/>
  <c r="AF64" i="188" s="1"/>
  <c r="AF65" i="188" s="1"/>
  <c r="AF66" i="188" s="1"/>
  <c r="AF67" i="188" s="1"/>
  <c r="AF68" i="188" s="1"/>
  <c r="AF69" i="188" s="1"/>
  <c r="AF70" i="188" s="1"/>
  <c r="AF71" i="188" s="1"/>
  <c r="AF72" i="188" s="1"/>
  <c r="AF73" i="188" s="1"/>
  <c r="AF74" i="188" s="1"/>
  <c r="AF75" i="188" s="1"/>
  <c r="X78" i="188"/>
  <c r="W78" i="188"/>
  <c r="Y81" i="188" s="1"/>
  <c r="Z76" i="188"/>
  <c r="Z75" i="188"/>
  <c r="Z74" i="188"/>
  <c r="Z73" i="188"/>
  <c r="Z72" i="188"/>
  <c r="Z71" i="188"/>
  <c r="Z70" i="188"/>
  <c r="Z69" i="188"/>
  <c r="Z68" i="188"/>
  <c r="Z67" i="188"/>
  <c r="Z66" i="188"/>
  <c r="Z65" i="188"/>
  <c r="Z64" i="188"/>
  <c r="Z63" i="188"/>
  <c r="Z62" i="188"/>
  <c r="Z61" i="188"/>
  <c r="Z60" i="188"/>
  <c r="Z59" i="188"/>
  <c r="Z58" i="188"/>
  <c r="Z57" i="188"/>
  <c r="Z56" i="188"/>
  <c r="Z55" i="188"/>
  <c r="Z54" i="188"/>
  <c r="Z53" i="188"/>
  <c r="Z52" i="188"/>
  <c r="Z51" i="188"/>
  <c r="Z50" i="188"/>
  <c r="Z49" i="188"/>
  <c r="Z48" i="188"/>
  <c r="Z47" i="188"/>
  <c r="Z46" i="188"/>
  <c r="Z45" i="188"/>
  <c r="Z44" i="188"/>
  <c r="Z43" i="188"/>
  <c r="Z42" i="188"/>
  <c r="Z41" i="188"/>
  <c r="Z40" i="188"/>
  <c r="Z39" i="188"/>
  <c r="Z38" i="188"/>
  <c r="Z37" i="188"/>
  <c r="Z36" i="188"/>
  <c r="Z35" i="188"/>
  <c r="Z34" i="188"/>
  <c r="Z33" i="188"/>
  <c r="Z32" i="188"/>
  <c r="Z31" i="188"/>
  <c r="Z30" i="188"/>
  <c r="Z29" i="188"/>
  <c r="Z28" i="188"/>
  <c r="Z27" i="188"/>
  <c r="Z26" i="188"/>
  <c r="Z25" i="188"/>
  <c r="Z24" i="188"/>
  <c r="Z23" i="188"/>
  <c r="Z22" i="188"/>
  <c r="Z21" i="188"/>
  <c r="Z20" i="188"/>
  <c r="Z19" i="188"/>
  <c r="Z18" i="188"/>
  <c r="Z17" i="188"/>
  <c r="Z16" i="188"/>
  <c r="Z15" i="188"/>
  <c r="Z14" i="188"/>
  <c r="Z13" i="188"/>
  <c r="Z12" i="188"/>
  <c r="Z11" i="188"/>
  <c r="Z10" i="188"/>
  <c r="Z9" i="188"/>
  <c r="V9" i="188"/>
  <c r="V10" i="188" s="1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V69" i="188" s="1"/>
  <c r="V70" i="188" s="1"/>
  <c r="V71" i="188" s="1"/>
  <c r="V72" i="188" s="1"/>
  <c r="V73" i="188" s="1"/>
  <c r="V74" i="188" s="1"/>
  <c r="V75" i="188" s="1"/>
  <c r="O109" i="65"/>
  <c r="P111" i="65" s="1"/>
  <c r="P108" i="65"/>
  <c r="R108" i="65" s="1"/>
  <c r="P107" i="65"/>
  <c r="R107" i="65" s="1"/>
  <c r="W107" i="65" s="1"/>
  <c r="R106" i="65"/>
  <c r="P106" i="65"/>
  <c r="P105" i="65"/>
  <c r="R105" i="65" s="1"/>
  <c r="R104" i="65"/>
  <c r="P104" i="65"/>
  <c r="P103" i="65"/>
  <c r="R103" i="65" s="1"/>
  <c r="R102" i="65"/>
  <c r="P102" i="65"/>
  <c r="P101" i="65"/>
  <c r="R101" i="65" s="1"/>
  <c r="R100" i="65"/>
  <c r="P100" i="65"/>
  <c r="P99" i="65"/>
  <c r="R99" i="65" s="1"/>
  <c r="R98" i="65"/>
  <c r="P98" i="65"/>
  <c r="P97" i="65"/>
  <c r="R97" i="65" s="1"/>
  <c r="R96" i="65"/>
  <c r="P96" i="65"/>
  <c r="P95" i="65"/>
  <c r="R95" i="65" s="1"/>
  <c r="R94" i="65"/>
  <c r="P94" i="65"/>
  <c r="P93" i="65"/>
  <c r="R93" i="65" s="1"/>
  <c r="R92" i="65"/>
  <c r="P92" i="65"/>
  <c r="P91" i="65"/>
  <c r="R91" i="65" s="1"/>
  <c r="R90" i="65"/>
  <c r="P90" i="65"/>
  <c r="P89" i="65"/>
  <c r="R89" i="65" s="1"/>
  <c r="R88" i="65"/>
  <c r="P88" i="65"/>
  <c r="P87" i="65"/>
  <c r="R87" i="65" s="1"/>
  <c r="R86" i="65"/>
  <c r="P86" i="65"/>
  <c r="P85" i="65"/>
  <c r="R85" i="65" s="1"/>
  <c r="R84" i="65"/>
  <c r="P84" i="65"/>
  <c r="R83" i="65"/>
  <c r="W83" i="65" s="1"/>
  <c r="P83" i="65"/>
  <c r="R82" i="65"/>
  <c r="W82" i="65" s="1"/>
  <c r="P82" i="65"/>
  <c r="W81" i="65"/>
  <c r="P81" i="65"/>
  <c r="R81" i="65" s="1"/>
  <c r="W80" i="65"/>
  <c r="R80" i="65"/>
  <c r="P80" i="65"/>
  <c r="R79" i="65"/>
  <c r="W79" i="65" s="1"/>
  <c r="P79" i="65"/>
  <c r="R78" i="65"/>
  <c r="W78" i="65" s="1"/>
  <c r="P78" i="65"/>
  <c r="P77" i="65"/>
  <c r="R77" i="65" s="1"/>
  <c r="W77" i="65" s="1"/>
  <c r="P76" i="65"/>
  <c r="R76" i="65" s="1"/>
  <c r="W76" i="65" s="1"/>
  <c r="R75" i="65"/>
  <c r="W75" i="65" s="1"/>
  <c r="P75" i="65"/>
  <c r="R74" i="65"/>
  <c r="W74" i="65" s="1"/>
  <c r="P74" i="65"/>
  <c r="P73" i="65"/>
  <c r="R73" i="65" s="1"/>
  <c r="W73" i="65" s="1"/>
  <c r="P72" i="65"/>
  <c r="R72" i="65" s="1"/>
  <c r="W72" i="65" s="1"/>
  <c r="R71" i="65"/>
  <c r="W71" i="65" s="1"/>
  <c r="P71" i="65"/>
  <c r="R70" i="65"/>
  <c r="W70" i="65" s="1"/>
  <c r="P70" i="65"/>
  <c r="W69" i="65"/>
  <c r="P69" i="65"/>
  <c r="R69" i="65" s="1"/>
  <c r="R68" i="65"/>
  <c r="W68" i="65" s="1"/>
  <c r="P68" i="65"/>
  <c r="R67" i="65"/>
  <c r="W67" i="65" s="1"/>
  <c r="P67" i="65"/>
  <c r="R66" i="65"/>
  <c r="W66" i="65" s="1"/>
  <c r="P66" i="65"/>
  <c r="W65" i="65"/>
  <c r="P65" i="65"/>
  <c r="R65" i="65" s="1"/>
  <c r="W64" i="65"/>
  <c r="R64" i="65"/>
  <c r="P64" i="65"/>
  <c r="R63" i="65"/>
  <c r="W63" i="65" s="1"/>
  <c r="P63" i="65"/>
  <c r="R62" i="65"/>
  <c r="W62" i="65" s="1"/>
  <c r="P62" i="65"/>
  <c r="P61" i="65"/>
  <c r="R61" i="65" s="1"/>
  <c r="W61" i="65" s="1"/>
  <c r="P60" i="65"/>
  <c r="R60" i="65" s="1"/>
  <c r="W60" i="65" s="1"/>
  <c r="R59" i="65"/>
  <c r="W59" i="65" s="1"/>
  <c r="P59" i="65"/>
  <c r="R58" i="65"/>
  <c r="W58" i="65" s="1"/>
  <c r="P58" i="65"/>
  <c r="P57" i="65"/>
  <c r="R57" i="65" s="1"/>
  <c r="W57" i="65" s="1"/>
  <c r="P56" i="65"/>
  <c r="R56" i="65" s="1"/>
  <c r="W56" i="65" s="1"/>
  <c r="R55" i="65"/>
  <c r="W55" i="65" s="1"/>
  <c r="P55" i="65"/>
  <c r="R54" i="65"/>
  <c r="W54" i="65" s="1"/>
  <c r="P54" i="65"/>
  <c r="W53" i="65"/>
  <c r="P53" i="65"/>
  <c r="R53" i="65" s="1"/>
  <c r="P52" i="65"/>
  <c r="R52" i="65" s="1"/>
  <c r="W52" i="65" s="1"/>
  <c r="P51" i="65"/>
  <c r="R51" i="65" s="1"/>
  <c r="W51" i="65" s="1"/>
  <c r="P50" i="65"/>
  <c r="R50" i="65" s="1"/>
  <c r="W50" i="65" s="1"/>
  <c r="P49" i="65"/>
  <c r="R49" i="65" s="1"/>
  <c r="W49" i="65" s="1"/>
  <c r="P48" i="65"/>
  <c r="R48" i="65" s="1"/>
  <c r="W48" i="65" s="1"/>
  <c r="R47" i="65"/>
  <c r="W47" i="65" s="1"/>
  <c r="P47" i="65"/>
  <c r="P46" i="65"/>
  <c r="R46" i="65" s="1"/>
  <c r="W46" i="65" s="1"/>
  <c r="W45" i="65"/>
  <c r="P45" i="65"/>
  <c r="R45" i="65" s="1"/>
  <c r="P44" i="65"/>
  <c r="R44" i="65" s="1"/>
  <c r="W44" i="65" s="1"/>
  <c r="R43" i="65"/>
  <c r="W43" i="65" s="1"/>
  <c r="P43" i="65"/>
  <c r="P42" i="65"/>
  <c r="R42" i="65" s="1"/>
  <c r="W42" i="65" s="1"/>
  <c r="P41" i="65"/>
  <c r="R41" i="65" s="1"/>
  <c r="W41" i="65" s="1"/>
  <c r="P40" i="65"/>
  <c r="R40" i="65" s="1"/>
  <c r="W40" i="65" s="1"/>
  <c r="P39" i="65"/>
  <c r="R39" i="65" s="1"/>
  <c r="W39" i="65" s="1"/>
  <c r="P38" i="65"/>
  <c r="R38" i="65" s="1"/>
  <c r="W38" i="65" s="1"/>
  <c r="W37" i="65"/>
  <c r="P37" i="65"/>
  <c r="R37" i="65" s="1"/>
  <c r="P36" i="65"/>
  <c r="R36" i="65" s="1"/>
  <c r="W36" i="65" s="1"/>
  <c r="P35" i="65"/>
  <c r="R35" i="65" s="1"/>
  <c r="W35" i="65" s="1"/>
  <c r="R34" i="65"/>
  <c r="W34" i="65" s="1"/>
  <c r="P34" i="65"/>
  <c r="P33" i="65"/>
  <c r="R33" i="65" s="1"/>
  <c r="W33" i="65" s="1"/>
  <c r="P32" i="65"/>
  <c r="R32" i="65" s="1"/>
  <c r="W32" i="65" s="1"/>
  <c r="P31" i="65"/>
  <c r="R31" i="65" s="1"/>
  <c r="W31" i="65" s="1"/>
  <c r="P30" i="65"/>
  <c r="R30" i="65" s="1"/>
  <c r="W30" i="65" s="1"/>
  <c r="P29" i="65"/>
  <c r="R29" i="65" s="1"/>
  <c r="W29" i="65" s="1"/>
  <c r="P28" i="65"/>
  <c r="R28" i="65" s="1"/>
  <c r="W28" i="65" s="1"/>
  <c r="R27" i="65"/>
  <c r="W27" i="65" s="1"/>
  <c r="P27" i="65"/>
  <c r="P26" i="65"/>
  <c r="R26" i="65" s="1"/>
  <c r="W26" i="65" s="1"/>
  <c r="P25" i="65"/>
  <c r="R25" i="65" s="1"/>
  <c r="W25" i="65" s="1"/>
  <c r="P24" i="65"/>
  <c r="R24" i="65" s="1"/>
  <c r="W24" i="65" s="1"/>
  <c r="P23" i="65"/>
  <c r="R23" i="65" s="1"/>
  <c r="W23" i="65" s="1"/>
  <c r="P22" i="65"/>
  <c r="R22" i="65" s="1"/>
  <c r="W22" i="65" s="1"/>
  <c r="R21" i="65"/>
  <c r="W21" i="65" s="1"/>
  <c r="P21" i="65"/>
  <c r="P20" i="65"/>
  <c r="R20" i="65" s="1"/>
  <c r="W20" i="65" s="1"/>
  <c r="P19" i="65"/>
  <c r="R19" i="65" s="1"/>
  <c r="W19" i="65" s="1"/>
  <c r="P18" i="65"/>
  <c r="R18" i="65" s="1"/>
  <c r="W18" i="65" s="1"/>
  <c r="P17" i="65"/>
  <c r="R17" i="65" s="1"/>
  <c r="W17" i="65" s="1"/>
  <c r="P16" i="65"/>
  <c r="R16" i="65" s="1"/>
  <c r="W16" i="65" s="1"/>
  <c r="P15" i="65"/>
  <c r="R15" i="65" s="1"/>
  <c r="W15" i="65" s="1"/>
  <c r="P14" i="65"/>
  <c r="R14" i="65" s="1"/>
  <c r="W14" i="65" s="1"/>
  <c r="P13" i="65"/>
  <c r="R13" i="65" s="1"/>
  <c r="W13" i="65" s="1"/>
  <c r="P12" i="65"/>
  <c r="R12" i="65" s="1"/>
  <c r="W12" i="65" s="1"/>
  <c r="P11" i="65"/>
  <c r="R11" i="65" s="1"/>
  <c r="W11" i="65" s="1"/>
  <c r="P10" i="65"/>
  <c r="R10" i="65" s="1"/>
  <c r="W10" i="65" s="1"/>
  <c r="P9" i="65"/>
  <c r="R9" i="65" s="1"/>
  <c r="S112" i="38"/>
  <c r="T112" i="38" s="1"/>
  <c r="I112" i="38"/>
  <c r="AJ78" i="188" l="1"/>
  <c r="AK6" i="188" s="1"/>
  <c r="AL6" i="188" s="1"/>
  <c r="Z78" i="188"/>
  <c r="Y83" i="188" s="1"/>
  <c r="AC9" i="188"/>
  <c r="AC10" i="188" s="1"/>
  <c r="AC11" i="188" s="1"/>
  <c r="AC12" i="188" s="1"/>
  <c r="AC13" i="188" s="1"/>
  <c r="AC14" i="188" s="1"/>
  <c r="AC15" i="188" s="1"/>
  <c r="AC16" i="188" s="1"/>
  <c r="AC17" i="188" s="1"/>
  <c r="AC18" i="188" s="1"/>
  <c r="AC19" i="188" s="1"/>
  <c r="AC20" i="188" s="1"/>
  <c r="AC21" i="188" s="1"/>
  <c r="AC22" i="188" s="1"/>
  <c r="AC23" i="188" s="1"/>
  <c r="AC24" i="188" s="1"/>
  <c r="AC25" i="188" s="1"/>
  <c r="AC26" i="188" s="1"/>
  <c r="AC27" i="188" s="1"/>
  <c r="AC28" i="188" s="1"/>
  <c r="AC29" i="188" s="1"/>
  <c r="AC30" i="188" s="1"/>
  <c r="AC31" i="188" s="1"/>
  <c r="AC32" i="188" s="1"/>
  <c r="AC33" i="188" s="1"/>
  <c r="AC34" i="188" s="1"/>
  <c r="AC35" i="188" s="1"/>
  <c r="AC36" i="188" s="1"/>
  <c r="AC37" i="188" s="1"/>
  <c r="AC38" i="188" s="1"/>
  <c r="AC39" i="188" s="1"/>
  <c r="AC40" i="188" s="1"/>
  <c r="AC41" i="188" s="1"/>
  <c r="AC42" i="188" s="1"/>
  <c r="AC43" i="188" s="1"/>
  <c r="AC44" i="188" s="1"/>
  <c r="AC45" i="188" s="1"/>
  <c r="AC46" i="188" s="1"/>
  <c r="AC47" i="188" s="1"/>
  <c r="AC48" i="188" s="1"/>
  <c r="AC49" i="188" s="1"/>
  <c r="AC50" i="188" s="1"/>
  <c r="AC51" i="188" s="1"/>
  <c r="AC52" i="188" s="1"/>
  <c r="AC53" i="188" s="1"/>
  <c r="AC54" i="188" s="1"/>
  <c r="AC55" i="188" s="1"/>
  <c r="AC56" i="188" s="1"/>
  <c r="AC57" i="188" s="1"/>
  <c r="AC58" i="188" s="1"/>
  <c r="AC59" i="188" s="1"/>
  <c r="AC60" i="188" s="1"/>
  <c r="AC61" i="188" s="1"/>
  <c r="AC62" i="188" s="1"/>
  <c r="AC63" i="188" s="1"/>
  <c r="AC64" i="188" s="1"/>
  <c r="AC65" i="188" s="1"/>
  <c r="AC66" i="188" s="1"/>
  <c r="AC67" i="188" s="1"/>
  <c r="AC68" i="188" s="1"/>
  <c r="AC69" i="188" s="1"/>
  <c r="AC70" i="188" s="1"/>
  <c r="AC71" i="188" s="1"/>
  <c r="AC72" i="188" s="1"/>
  <c r="AC73" i="188" s="1"/>
  <c r="AC74" i="188" s="1"/>
  <c r="AC75" i="188" s="1"/>
  <c r="AC76" i="188" s="1"/>
  <c r="P109" i="65"/>
  <c r="R109" i="65"/>
  <c r="W9" i="65"/>
  <c r="Q11" i="38"/>
  <c r="Q6" i="38"/>
  <c r="Q12" i="38"/>
  <c r="Q17" i="38"/>
  <c r="Q7" i="38"/>
  <c r="AI83" i="188" l="1"/>
  <c r="AA6" i="188"/>
  <c r="AB6" i="188" s="1"/>
  <c r="Q112" i="65"/>
  <c r="S5" i="65"/>
  <c r="T5" i="65" s="1"/>
  <c r="AA115" i="40"/>
  <c r="AC118" i="40" s="1"/>
  <c r="AB114" i="40"/>
  <c r="AD114" i="40" s="1"/>
  <c r="AI114" i="40" s="1"/>
  <c r="AB113" i="40"/>
  <c r="AD113" i="40" s="1"/>
  <c r="AI113" i="40" s="1"/>
  <c r="Y113" i="40"/>
  <c r="AB112" i="40"/>
  <c r="AD112" i="40" s="1"/>
  <c r="AI112" i="40" s="1"/>
  <c r="AB111" i="40"/>
  <c r="AD111" i="40" s="1"/>
  <c r="AI111" i="40" s="1"/>
  <c r="AD110" i="40"/>
  <c r="AI110" i="40" s="1"/>
  <c r="AB110" i="40"/>
  <c r="AD109" i="40"/>
  <c r="AI109" i="40" s="1"/>
  <c r="AB109" i="40"/>
  <c r="AB108" i="40"/>
  <c r="AD108" i="40" s="1"/>
  <c r="AI108" i="40" s="1"/>
  <c r="AB107" i="40"/>
  <c r="AD107" i="40" s="1"/>
  <c r="AI107" i="40" s="1"/>
  <c r="AD106" i="40"/>
  <c r="AI106" i="40" s="1"/>
  <c r="AB106" i="40"/>
  <c r="AD105" i="40"/>
  <c r="AI105" i="40" s="1"/>
  <c r="AB105" i="40"/>
  <c r="AB104" i="40"/>
  <c r="AD104" i="40" s="1"/>
  <c r="AI104" i="40" s="1"/>
  <c r="AB103" i="40"/>
  <c r="AD103" i="40" s="1"/>
  <c r="AI103" i="40" s="1"/>
  <c r="AD102" i="40"/>
  <c r="AI102" i="40" s="1"/>
  <c r="AB102" i="40"/>
  <c r="AD101" i="40"/>
  <c r="AI101" i="40" s="1"/>
  <c r="AB101" i="40"/>
  <c r="AB100" i="40"/>
  <c r="AD100" i="40" s="1"/>
  <c r="AI100" i="40" s="1"/>
  <c r="AB99" i="40"/>
  <c r="AD99" i="40" s="1"/>
  <c r="AI99" i="40" s="1"/>
  <c r="AD98" i="40"/>
  <c r="AI98" i="40" s="1"/>
  <c r="AB98" i="40"/>
  <c r="AD97" i="40"/>
  <c r="AI97" i="40" s="1"/>
  <c r="AB97" i="40"/>
  <c r="AB96" i="40"/>
  <c r="AD96" i="40" s="1"/>
  <c r="AI96" i="40" s="1"/>
  <c r="AB95" i="40"/>
  <c r="AD95" i="40" s="1"/>
  <c r="AI95" i="40" s="1"/>
  <c r="AD94" i="40"/>
  <c r="AI94" i="40" s="1"/>
  <c r="AB94" i="40"/>
  <c r="AD93" i="40"/>
  <c r="AI93" i="40" s="1"/>
  <c r="AB93" i="40"/>
  <c r="AI92" i="40"/>
  <c r="AB92" i="40"/>
  <c r="AD92" i="40" s="1"/>
  <c r="AB91" i="40"/>
  <c r="AD91" i="40" s="1"/>
  <c r="AI91" i="40" s="1"/>
  <c r="AB90" i="40"/>
  <c r="AD90" i="40" s="1"/>
  <c r="AI90" i="40" s="1"/>
  <c r="AB89" i="40"/>
  <c r="AD89" i="40" s="1"/>
  <c r="AI89" i="40" s="1"/>
  <c r="AB88" i="40"/>
  <c r="AD88" i="40" s="1"/>
  <c r="AI88" i="40" s="1"/>
  <c r="AB87" i="40"/>
  <c r="AD87" i="40" s="1"/>
  <c r="AI87" i="40" s="1"/>
  <c r="AB86" i="40"/>
  <c r="AD86" i="40" s="1"/>
  <c r="AI86" i="40" s="1"/>
  <c r="AB85" i="40"/>
  <c r="AD85" i="40" s="1"/>
  <c r="AI85" i="40" s="1"/>
  <c r="AB84" i="40"/>
  <c r="AD84" i="40" s="1"/>
  <c r="AI84" i="40" s="1"/>
  <c r="AB83" i="40"/>
  <c r="AD83" i="40" s="1"/>
  <c r="AI83" i="40" s="1"/>
  <c r="AB82" i="40"/>
  <c r="AD82" i="40" s="1"/>
  <c r="AI82" i="40" s="1"/>
  <c r="AB81" i="40"/>
  <c r="AD81" i="40" s="1"/>
  <c r="AI81" i="40" s="1"/>
  <c r="AB80" i="40"/>
  <c r="AD80" i="40" s="1"/>
  <c r="AI80" i="40" s="1"/>
  <c r="AB79" i="40"/>
  <c r="AD79" i="40" s="1"/>
  <c r="AI79" i="40" s="1"/>
  <c r="AB78" i="40"/>
  <c r="AD78" i="40" s="1"/>
  <c r="AI78" i="40" s="1"/>
  <c r="AB77" i="40"/>
  <c r="AD77" i="40" s="1"/>
  <c r="AI77" i="40" s="1"/>
  <c r="AB76" i="40"/>
  <c r="AD76" i="40" s="1"/>
  <c r="AI76" i="40" s="1"/>
  <c r="AB75" i="40"/>
  <c r="AD75" i="40" s="1"/>
  <c r="AI75" i="40" s="1"/>
  <c r="AB74" i="40"/>
  <c r="AD74" i="40" s="1"/>
  <c r="AI74" i="40" s="1"/>
  <c r="AB73" i="40"/>
  <c r="AD73" i="40" s="1"/>
  <c r="AI73" i="40" s="1"/>
  <c r="AB72" i="40"/>
  <c r="AD72" i="40" s="1"/>
  <c r="AI72" i="40" s="1"/>
  <c r="AB71" i="40"/>
  <c r="AD71" i="40" s="1"/>
  <c r="AI71" i="40" s="1"/>
  <c r="AB70" i="40"/>
  <c r="AD70" i="40" s="1"/>
  <c r="AI70" i="40" s="1"/>
  <c r="AB69" i="40"/>
  <c r="AD69" i="40" s="1"/>
  <c r="AI69" i="40" s="1"/>
  <c r="AB68" i="40"/>
  <c r="AD68" i="40" s="1"/>
  <c r="AI68" i="40" s="1"/>
  <c r="AB67" i="40"/>
  <c r="AD67" i="40" s="1"/>
  <c r="AI67" i="40" s="1"/>
  <c r="AB66" i="40"/>
  <c r="AD66" i="40" s="1"/>
  <c r="AI66" i="40" s="1"/>
  <c r="AB65" i="40"/>
  <c r="AD65" i="40" s="1"/>
  <c r="AI65" i="40" s="1"/>
  <c r="AB64" i="40"/>
  <c r="AD64" i="40" s="1"/>
  <c r="AI64" i="40" s="1"/>
  <c r="AB63" i="40"/>
  <c r="AD63" i="40" s="1"/>
  <c r="AI63" i="40" s="1"/>
  <c r="AB62" i="40"/>
  <c r="AD62" i="40" s="1"/>
  <c r="AI62" i="40" s="1"/>
  <c r="AB61" i="40"/>
  <c r="AD61" i="40" s="1"/>
  <c r="AI61" i="40" s="1"/>
  <c r="AB60" i="40"/>
  <c r="AD60" i="40" s="1"/>
  <c r="AI60" i="40" s="1"/>
  <c r="AB59" i="40"/>
  <c r="AD59" i="40" s="1"/>
  <c r="AI59" i="40" s="1"/>
  <c r="AB58" i="40"/>
  <c r="AD58" i="40" s="1"/>
  <c r="AI58" i="40" s="1"/>
  <c r="AD57" i="40"/>
  <c r="AI57" i="40" s="1"/>
  <c r="AB57" i="40"/>
  <c r="AB56" i="40"/>
  <c r="AD56" i="40" s="1"/>
  <c r="AI56" i="40" s="1"/>
  <c r="AD55" i="40"/>
  <c r="AI55" i="40" s="1"/>
  <c r="AB55" i="40"/>
  <c r="AB54" i="40"/>
  <c r="AD54" i="40" s="1"/>
  <c r="AI54" i="40" s="1"/>
  <c r="AD53" i="40"/>
  <c r="AI53" i="40" s="1"/>
  <c r="AB53" i="40"/>
  <c r="AB52" i="40"/>
  <c r="AD52" i="40" s="1"/>
  <c r="AI52" i="40" s="1"/>
  <c r="AB51" i="40"/>
  <c r="AD51" i="40" s="1"/>
  <c r="AI51" i="40" s="1"/>
  <c r="AI50" i="40"/>
  <c r="AB50" i="40"/>
  <c r="AD50" i="40" s="1"/>
  <c r="AB49" i="40"/>
  <c r="AD49" i="40" s="1"/>
  <c r="AI49" i="40" s="1"/>
  <c r="AB48" i="40"/>
  <c r="AD48" i="40" s="1"/>
  <c r="AI48" i="40" s="1"/>
  <c r="AB47" i="40"/>
  <c r="AD47" i="40" s="1"/>
  <c r="AI47" i="40" s="1"/>
  <c r="AB46" i="40"/>
  <c r="AD46" i="40" s="1"/>
  <c r="AI46" i="40" s="1"/>
  <c r="AD45" i="40"/>
  <c r="AI45" i="40" s="1"/>
  <c r="AB45" i="40"/>
  <c r="AB44" i="40"/>
  <c r="AD44" i="40" s="1"/>
  <c r="AI44" i="40" s="1"/>
  <c r="AB43" i="40"/>
  <c r="AD43" i="40" s="1"/>
  <c r="AI43" i="40" s="1"/>
  <c r="AB42" i="40"/>
  <c r="AD42" i="40" s="1"/>
  <c r="AI42" i="40" s="1"/>
  <c r="AB41" i="40"/>
  <c r="AD41" i="40" s="1"/>
  <c r="AI41" i="40" s="1"/>
  <c r="AI40" i="40"/>
  <c r="AB40" i="40"/>
  <c r="AD40" i="40" s="1"/>
  <c r="AB39" i="40"/>
  <c r="AD39" i="40" s="1"/>
  <c r="AI39" i="40" s="1"/>
  <c r="AB38" i="40"/>
  <c r="AD38" i="40" s="1"/>
  <c r="AI38" i="40" s="1"/>
  <c r="AD37" i="40"/>
  <c r="AI37" i="40" s="1"/>
  <c r="AB37" i="40"/>
  <c r="AB36" i="40"/>
  <c r="AD36" i="40" s="1"/>
  <c r="AI36" i="40" s="1"/>
  <c r="AI35" i="40"/>
  <c r="AB35" i="40"/>
  <c r="AD35" i="40" s="1"/>
  <c r="AB34" i="40"/>
  <c r="AD34" i="40" s="1"/>
  <c r="AI34" i="40" s="1"/>
  <c r="AD33" i="40"/>
  <c r="AI33" i="40" s="1"/>
  <c r="AB33" i="40"/>
  <c r="AB32" i="40"/>
  <c r="AD32" i="40" s="1"/>
  <c r="AI32" i="40" s="1"/>
  <c r="AB31" i="40"/>
  <c r="AD31" i="40" s="1"/>
  <c r="AI31" i="40" s="1"/>
  <c r="AB30" i="40"/>
  <c r="AD30" i="40" s="1"/>
  <c r="AI30" i="40" s="1"/>
  <c r="AB29" i="40"/>
  <c r="AD29" i="40" s="1"/>
  <c r="AI29" i="40" s="1"/>
  <c r="AB28" i="40"/>
  <c r="AD28" i="40" s="1"/>
  <c r="AI28" i="40" s="1"/>
  <c r="AI27" i="40"/>
  <c r="AB27" i="40"/>
  <c r="AD27" i="40" s="1"/>
  <c r="AB26" i="40"/>
  <c r="AD26" i="40" s="1"/>
  <c r="AI26" i="40" s="1"/>
  <c r="AB25" i="40"/>
  <c r="AD25" i="40" s="1"/>
  <c r="AI25" i="40" s="1"/>
  <c r="AD24" i="40"/>
  <c r="AI24" i="40" s="1"/>
  <c r="AB24" i="40"/>
  <c r="AB23" i="40"/>
  <c r="AD23" i="40" s="1"/>
  <c r="AI23" i="40" s="1"/>
  <c r="AB22" i="40"/>
  <c r="AD22" i="40" s="1"/>
  <c r="AI22" i="40" s="1"/>
  <c r="AB21" i="40"/>
  <c r="AD21" i="40" s="1"/>
  <c r="AI21" i="40" s="1"/>
  <c r="AB20" i="40"/>
  <c r="AD20" i="40" s="1"/>
  <c r="AI20" i="40" s="1"/>
  <c r="AI19" i="40"/>
  <c r="AB19" i="40"/>
  <c r="AD19" i="40" s="1"/>
  <c r="AB18" i="40"/>
  <c r="AD18" i="40" s="1"/>
  <c r="AI18" i="40" s="1"/>
  <c r="AB17" i="40"/>
  <c r="AD17" i="40" s="1"/>
  <c r="AI17" i="40" s="1"/>
  <c r="AD16" i="40"/>
  <c r="AI16" i="40" s="1"/>
  <c r="AB16" i="40"/>
  <c r="AB15" i="40"/>
  <c r="AD15" i="40" s="1"/>
  <c r="AI15" i="40" s="1"/>
  <c r="AB14" i="40"/>
  <c r="AD14" i="40" s="1"/>
  <c r="AI14" i="40" s="1"/>
  <c r="AB13" i="40"/>
  <c r="AD13" i="40" s="1"/>
  <c r="AI13" i="40" s="1"/>
  <c r="AB12" i="40"/>
  <c r="AD12" i="40" s="1"/>
  <c r="AI12" i="40" s="1"/>
  <c r="AB11" i="40"/>
  <c r="AD11" i="40" s="1"/>
  <c r="AI11" i="40" s="1"/>
  <c r="AB10" i="40"/>
  <c r="AD10" i="40" s="1"/>
  <c r="AI10" i="40" s="1"/>
  <c r="AH9" i="40"/>
  <c r="AH10" i="40" s="1"/>
  <c r="AH11" i="40" s="1"/>
  <c r="AH12" i="40" s="1"/>
  <c r="AH13" i="40" s="1"/>
  <c r="AH14" i="40" s="1"/>
  <c r="AH15" i="40" s="1"/>
  <c r="AH16" i="40" s="1"/>
  <c r="AH17" i="40" s="1"/>
  <c r="AH18" i="40" s="1"/>
  <c r="AH19" i="40" s="1"/>
  <c r="AH20" i="40" s="1"/>
  <c r="AH21" i="40" s="1"/>
  <c r="AH22" i="40" s="1"/>
  <c r="AH23" i="40" s="1"/>
  <c r="AH24" i="40" s="1"/>
  <c r="AH25" i="40" s="1"/>
  <c r="AH26" i="40" s="1"/>
  <c r="AH27" i="40" s="1"/>
  <c r="AH28" i="40" s="1"/>
  <c r="AH29" i="40" s="1"/>
  <c r="AH30" i="40" s="1"/>
  <c r="AH31" i="40" s="1"/>
  <c r="AH32" i="40" s="1"/>
  <c r="AH33" i="40" s="1"/>
  <c r="AH34" i="40" s="1"/>
  <c r="AH35" i="40" s="1"/>
  <c r="AH36" i="40" s="1"/>
  <c r="AH37" i="40" s="1"/>
  <c r="AH38" i="40" s="1"/>
  <c r="AH39" i="40" s="1"/>
  <c r="AH40" i="40" s="1"/>
  <c r="AH41" i="40" s="1"/>
  <c r="AH42" i="40" s="1"/>
  <c r="AH43" i="40" s="1"/>
  <c r="AH44" i="40" s="1"/>
  <c r="AH45" i="40" s="1"/>
  <c r="AH46" i="40" s="1"/>
  <c r="AH47" i="40" s="1"/>
  <c r="AH48" i="40" s="1"/>
  <c r="AH49" i="40" s="1"/>
  <c r="AH50" i="40" s="1"/>
  <c r="AH51" i="40" s="1"/>
  <c r="AH52" i="40" s="1"/>
  <c r="AH53" i="40" s="1"/>
  <c r="AH54" i="40" s="1"/>
  <c r="AH55" i="40" s="1"/>
  <c r="AH56" i="40" s="1"/>
  <c r="AH57" i="40" s="1"/>
  <c r="AH58" i="40" s="1"/>
  <c r="AH59" i="40" s="1"/>
  <c r="AH60" i="40" s="1"/>
  <c r="AH61" i="40" s="1"/>
  <c r="AH62" i="40" s="1"/>
  <c r="AH63" i="40" s="1"/>
  <c r="AH64" i="40" s="1"/>
  <c r="AH65" i="40" s="1"/>
  <c r="AH66" i="40" s="1"/>
  <c r="AH67" i="40" s="1"/>
  <c r="AH68" i="40" s="1"/>
  <c r="AH69" i="40" s="1"/>
  <c r="AH70" i="40" s="1"/>
  <c r="AH71" i="40" s="1"/>
  <c r="AH72" i="40" s="1"/>
  <c r="AH73" i="40" s="1"/>
  <c r="AH74" i="40" s="1"/>
  <c r="AH75" i="40" s="1"/>
  <c r="AH76" i="40" s="1"/>
  <c r="AH77" i="40" s="1"/>
  <c r="AH78" i="40" s="1"/>
  <c r="AH79" i="40" s="1"/>
  <c r="AH80" i="40" s="1"/>
  <c r="AH81" i="40" s="1"/>
  <c r="AH82" i="40" s="1"/>
  <c r="AH83" i="40" s="1"/>
  <c r="AH84" i="40" s="1"/>
  <c r="AH85" i="40" s="1"/>
  <c r="AH86" i="40" s="1"/>
  <c r="AH87" i="40" s="1"/>
  <c r="AH88" i="40" s="1"/>
  <c r="AH89" i="40" s="1"/>
  <c r="AH90" i="40" s="1"/>
  <c r="AH91" i="40" s="1"/>
  <c r="AH92" i="40" s="1"/>
  <c r="AH93" i="40" s="1"/>
  <c r="AH94" i="40" s="1"/>
  <c r="AH95" i="40" s="1"/>
  <c r="AH96" i="40" s="1"/>
  <c r="AH97" i="40" s="1"/>
  <c r="AH98" i="40" s="1"/>
  <c r="AH99" i="40" s="1"/>
  <c r="AH100" i="40" s="1"/>
  <c r="AH101" i="40" s="1"/>
  <c r="AH102" i="40" s="1"/>
  <c r="AH103" i="40" s="1"/>
  <c r="AH104" i="40" s="1"/>
  <c r="AH105" i="40" s="1"/>
  <c r="AH106" i="40" s="1"/>
  <c r="AH107" i="40" s="1"/>
  <c r="AH108" i="40" s="1"/>
  <c r="AH109" i="40" s="1"/>
  <c r="AH110" i="40" s="1"/>
  <c r="AH111" i="40" s="1"/>
  <c r="AH112" i="40" s="1"/>
  <c r="AH113" i="40" s="1"/>
  <c r="AB9" i="40"/>
  <c r="O115" i="40"/>
  <c r="Q118" i="40" s="1"/>
  <c r="P114" i="40"/>
  <c r="R114" i="40" s="1"/>
  <c r="W114" i="40" s="1"/>
  <c r="R113" i="40"/>
  <c r="W113" i="40" s="1"/>
  <c r="P113" i="40"/>
  <c r="M113" i="40"/>
  <c r="R112" i="40"/>
  <c r="W112" i="40" s="1"/>
  <c r="P112" i="40"/>
  <c r="P111" i="40"/>
  <c r="R111" i="40" s="1"/>
  <c r="W111" i="40" s="1"/>
  <c r="W110" i="40"/>
  <c r="P110" i="40"/>
  <c r="R110" i="40" s="1"/>
  <c r="R109" i="40"/>
  <c r="W109" i="40" s="1"/>
  <c r="P109" i="40"/>
  <c r="R108" i="40"/>
  <c r="W108" i="40" s="1"/>
  <c r="P108" i="40"/>
  <c r="P107" i="40"/>
  <c r="R107" i="40" s="1"/>
  <c r="W107" i="40" s="1"/>
  <c r="R106" i="40"/>
  <c r="W106" i="40" s="1"/>
  <c r="P106" i="40"/>
  <c r="R105" i="40"/>
  <c r="W105" i="40" s="1"/>
  <c r="P105" i="40"/>
  <c r="R104" i="40"/>
  <c r="W104" i="40" s="1"/>
  <c r="P104" i="40"/>
  <c r="W103" i="40"/>
  <c r="P103" i="40"/>
  <c r="R103" i="40" s="1"/>
  <c r="P102" i="40"/>
  <c r="R102" i="40" s="1"/>
  <c r="W102" i="40" s="1"/>
  <c r="R101" i="40"/>
  <c r="W101" i="40" s="1"/>
  <c r="P101" i="40"/>
  <c r="R100" i="40"/>
  <c r="W100" i="40" s="1"/>
  <c r="P100" i="40"/>
  <c r="W99" i="40"/>
  <c r="P99" i="40"/>
  <c r="R99" i="40" s="1"/>
  <c r="R98" i="40"/>
  <c r="W98" i="40" s="1"/>
  <c r="P98" i="40"/>
  <c r="R97" i="40"/>
  <c r="W97" i="40" s="1"/>
  <c r="P97" i="40"/>
  <c r="R96" i="40"/>
  <c r="W96" i="40" s="1"/>
  <c r="P96" i="40"/>
  <c r="P95" i="40"/>
  <c r="R95" i="40" s="1"/>
  <c r="W95" i="40" s="1"/>
  <c r="P94" i="40"/>
  <c r="R94" i="40" s="1"/>
  <c r="W94" i="40" s="1"/>
  <c r="R93" i="40"/>
  <c r="W93" i="40" s="1"/>
  <c r="P93" i="40"/>
  <c r="R92" i="40"/>
  <c r="W92" i="40" s="1"/>
  <c r="P92" i="40"/>
  <c r="P91" i="40"/>
  <c r="R91" i="40" s="1"/>
  <c r="W91" i="40" s="1"/>
  <c r="P90" i="40"/>
  <c r="R90" i="40" s="1"/>
  <c r="W90" i="40" s="1"/>
  <c r="R89" i="40"/>
  <c r="W89" i="40" s="1"/>
  <c r="P89" i="40"/>
  <c r="R88" i="40"/>
  <c r="W88" i="40" s="1"/>
  <c r="P88" i="40"/>
  <c r="W87" i="40"/>
  <c r="P87" i="40"/>
  <c r="R87" i="40" s="1"/>
  <c r="P86" i="40"/>
  <c r="R86" i="40" s="1"/>
  <c r="W86" i="40" s="1"/>
  <c r="R85" i="40"/>
  <c r="W85" i="40" s="1"/>
  <c r="P85" i="40"/>
  <c r="R84" i="40"/>
  <c r="W84" i="40" s="1"/>
  <c r="P84" i="40"/>
  <c r="P83" i="40"/>
  <c r="R83" i="40" s="1"/>
  <c r="W83" i="40" s="1"/>
  <c r="P82" i="40"/>
  <c r="R82" i="40" s="1"/>
  <c r="W82" i="40" s="1"/>
  <c r="R81" i="40"/>
  <c r="W81" i="40" s="1"/>
  <c r="P81" i="40"/>
  <c r="R80" i="40"/>
  <c r="W80" i="40" s="1"/>
  <c r="P80" i="40"/>
  <c r="P79" i="40"/>
  <c r="R79" i="40" s="1"/>
  <c r="W79" i="40" s="1"/>
  <c r="P78" i="40"/>
  <c r="R78" i="40" s="1"/>
  <c r="W78" i="40" s="1"/>
  <c r="R77" i="40"/>
  <c r="W77" i="40" s="1"/>
  <c r="P77" i="40"/>
  <c r="R76" i="40"/>
  <c r="W76" i="40" s="1"/>
  <c r="P76" i="40"/>
  <c r="P75" i="40"/>
  <c r="R75" i="40" s="1"/>
  <c r="W75" i="40" s="1"/>
  <c r="P74" i="40"/>
  <c r="R74" i="40" s="1"/>
  <c r="W74" i="40" s="1"/>
  <c r="R73" i="40"/>
  <c r="W73" i="40" s="1"/>
  <c r="P73" i="40"/>
  <c r="R72" i="40"/>
  <c r="W72" i="40" s="1"/>
  <c r="P72" i="40"/>
  <c r="P71" i="40"/>
  <c r="R71" i="40" s="1"/>
  <c r="W71" i="40" s="1"/>
  <c r="P70" i="40"/>
  <c r="R70" i="40" s="1"/>
  <c r="W70" i="40" s="1"/>
  <c r="R69" i="40"/>
  <c r="W69" i="40" s="1"/>
  <c r="P69" i="40"/>
  <c r="R68" i="40"/>
  <c r="W68" i="40" s="1"/>
  <c r="P68" i="40"/>
  <c r="P67" i="40"/>
  <c r="R67" i="40" s="1"/>
  <c r="W67" i="40" s="1"/>
  <c r="P66" i="40"/>
  <c r="R66" i="40" s="1"/>
  <c r="W66" i="40" s="1"/>
  <c r="R65" i="40"/>
  <c r="W65" i="40" s="1"/>
  <c r="P65" i="40"/>
  <c r="R64" i="40"/>
  <c r="W64" i="40" s="1"/>
  <c r="P64" i="40"/>
  <c r="P63" i="40"/>
  <c r="R63" i="40" s="1"/>
  <c r="W63" i="40" s="1"/>
  <c r="P62" i="40"/>
  <c r="R62" i="40" s="1"/>
  <c r="W62" i="40" s="1"/>
  <c r="R61" i="40"/>
  <c r="W61" i="40" s="1"/>
  <c r="P61" i="40"/>
  <c r="R60" i="40"/>
  <c r="W60" i="40" s="1"/>
  <c r="P60" i="40"/>
  <c r="P59" i="40"/>
  <c r="R59" i="40" s="1"/>
  <c r="W59" i="40" s="1"/>
  <c r="P58" i="40"/>
  <c r="R58" i="40" s="1"/>
  <c r="W58" i="40" s="1"/>
  <c r="R57" i="40"/>
  <c r="W57" i="40" s="1"/>
  <c r="P57" i="40"/>
  <c r="R56" i="40"/>
  <c r="W56" i="40" s="1"/>
  <c r="P56" i="40"/>
  <c r="P55" i="40"/>
  <c r="R55" i="40" s="1"/>
  <c r="W55" i="40" s="1"/>
  <c r="P54" i="40"/>
  <c r="R54" i="40" s="1"/>
  <c r="W54" i="40" s="1"/>
  <c r="R53" i="40"/>
  <c r="W53" i="40" s="1"/>
  <c r="P53" i="40"/>
  <c r="R52" i="40"/>
  <c r="W52" i="40" s="1"/>
  <c r="P52" i="40"/>
  <c r="P51" i="40"/>
  <c r="R51" i="40" s="1"/>
  <c r="W51" i="40" s="1"/>
  <c r="P50" i="40"/>
  <c r="R50" i="40" s="1"/>
  <c r="W50" i="40" s="1"/>
  <c r="R49" i="40"/>
  <c r="W49" i="40" s="1"/>
  <c r="P49" i="40"/>
  <c r="R48" i="40"/>
  <c r="W48" i="40" s="1"/>
  <c r="P48" i="40"/>
  <c r="P47" i="40"/>
  <c r="R47" i="40" s="1"/>
  <c r="W47" i="40" s="1"/>
  <c r="P46" i="40"/>
  <c r="R46" i="40" s="1"/>
  <c r="W46" i="40" s="1"/>
  <c r="R45" i="40"/>
  <c r="W45" i="40" s="1"/>
  <c r="P45" i="40"/>
  <c r="R44" i="40"/>
  <c r="W44" i="40" s="1"/>
  <c r="P44" i="40"/>
  <c r="P43" i="40"/>
  <c r="R43" i="40" s="1"/>
  <c r="W43" i="40" s="1"/>
  <c r="P42" i="40"/>
  <c r="R42" i="40" s="1"/>
  <c r="W42" i="40" s="1"/>
  <c r="R41" i="40"/>
  <c r="W41" i="40" s="1"/>
  <c r="P41" i="40"/>
  <c r="R40" i="40"/>
  <c r="W40" i="40" s="1"/>
  <c r="P40" i="40"/>
  <c r="P39" i="40"/>
  <c r="R39" i="40" s="1"/>
  <c r="W39" i="40" s="1"/>
  <c r="P38" i="40"/>
  <c r="R38" i="40" s="1"/>
  <c r="W38" i="40" s="1"/>
  <c r="R37" i="40"/>
  <c r="W37" i="40" s="1"/>
  <c r="P37" i="40"/>
  <c r="R36" i="40"/>
  <c r="W36" i="40" s="1"/>
  <c r="P36" i="40"/>
  <c r="P35" i="40"/>
  <c r="R35" i="40" s="1"/>
  <c r="W35" i="40" s="1"/>
  <c r="P34" i="40"/>
  <c r="R34" i="40" s="1"/>
  <c r="W34" i="40" s="1"/>
  <c r="R33" i="40"/>
  <c r="W33" i="40" s="1"/>
  <c r="P33" i="40"/>
  <c r="R32" i="40"/>
  <c r="W32" i="40" s="1"/>
  <c r="P32" i="40"/>
  <c r="P31" i="40"/>
  <c r="R31" i="40" s="1"/>
  <c r="W31" i="40" s="1"/>
  <c r="P30" i="40"/>
  <c r="R30" i="40" s="1"/>
  <c r="W30" i="40" s="1"/>
  <c r="R29" i="40"/>
  <c r="W29" i="40" s="1"/>
  <c r="P29" i="40"/>
  <c r="W28" i="40"/>
  <c r="P28" i="40"/>
  <c r="R28" i="40" s="1"/>
  <c r="P27" i="40"/>
  <c r="R27" i="40" s="1"/>
  <c r="W27" i="40" s="1"/>
  <c r="P26" i="40"/>
  <c r="R26" i="40" s="1"/>
  <c r="W26" i="40" s="1"/>
  <c r="R25" i="40"/>
  <c r="W25" i="40" s="1"/>
  <c r="P25" i="40"/>
  <c r="W24" i="40"/>
  <c r="P24" i="40"/>
  <c r="R24" i="40" s="1"/>
  <c r="P23" i="40"/>
  <c r="R23" i="40" s="1"/>
  <c r="W23" i="40" s="1"/>
  <c r="P22" i="40"/>
  <c r="R22" i="40" s="1"/>
  <c r="W22" i="40" s="1"/>
  <c r="R21" i="40"/>
  <c r="W21" i="40" s="1"/>
  <c r="P21" i="40"/>
  <c r="W20" i="40"/>
  <c r="P20" i="40"/>
  <c r="R20" i="40" s="1"/>
  <c r="P19" i="40"/>
  <c r="R19" i="40" s="1"/>
  <c r="W19" i="40" s="1"/>
  <c r="P18" i="40"/>
  <c r="R18" i="40" s="1"/>
  <c r="W18" i="40" s="1"/>
  <c r="P17" i="40"/>
  <c r="R17" i="40" s="1"/>
  <c r="W17" i="40" s="1"/>
  <c r="P16" i="40"/>
  <c r="R16" i="40" s="1"/>
  <c r="W16" i="40" s="1"/>
  <c r="P15" i="40"/>
  <c r="R15" i="40" s="1"/>
  <c r="W15" i="40" s="1"/>
  <c r="P14" i="40"/>
  <c r="R14" i="40" s="1"/>
  <c r="W14" i="40" s="1"/>
  <c r="P13" i="40"/>
  <c r="R13" i="40" s="1"/>
  <c r="W13" i="40" s="1"/>
  <c r="R12" i="40"/>
  <c r="W12" i="40" s="1"/>
  <c r="P12" i="40"/>
  <c r="P11" i="40"/>
  <c r="R11" i="40" s="1"/>
  <c r="W11" i="40" s="1"/>
  <c r="P10" i="40"/>
  <c r="R10" i="40" s="1"/>
  <c r="W10" i="40" s="1"/>
  <c r="V9" i="40"/>
  <c r="V10" i="40" s="1"/>
  <c r="V11" i="40" s="1"/>
  <c r="V12" i="40" s="1"/>
  <c r="V13" i="40" s="1"/>
  <c r="V14" i="40" s="1"/>
  <c r="V15" i="40" s="1"/>
  <c r="V16" i="40" s="1"/>
  <c r="V17" i="40" s="1"/>
  <c r="V18" i="40" s="1"/>
  <c r="V19" i="40" s="1"/>
  <c r="V20" i="40" s="1"/>
  <c r="V21" i="40" s="1"/>
  <c r="V22" i="40" s="1"/>
  <c r="V23" i="40" s="1"/>
  <c r="V24" i="40" s="1"/>
  <c r="V25" i="40" s="1"/>
  <c r="V26" i="40" s="1"/>
  <c r="V27" i="40" s="1"/>
  <c r="V28" i="40" s="1"/>
  <c r="V29" i="40" s="1"/>
  <c r="V30" i="40" s="1"/>
  <c r="V31" i="40" s="1"/>
  <c r="V32" i="40" s="1"/>
  <c r="V33" i="40" s="1"/>
  <c r="V34" i="40" s="1"/>
  <c r="V35" i="40" s="1"/>
  <c r="V36" i="40" s="1"/>
  <c r="V37" i="40" s="1"/>
  <c r="V38" i="40" s="1"/>
  <c r="V39" i="40" s="1"/>
  <c r="V40" i="40" s="1"/>
  <c r="V41" i="40" s="1"/>
  <c r="V42" i="40" s="1"/>
  <c r="V43" i="40" s="1"/>
  <c r="V44" i="40" s="1"/>
  <c r="V45" i="40" s="1"/>
  <c r="V46" i="40" s="1"/>
  <c r="V47" i="40" s="1"/>
  <c r="V48" i="40" s="1"/>
  <c r="V49" i="40" s="1"/>
  <c r="V50" i="40" s="1"/>
  <c r="V51" i="40" s="1"/>
  <c r="V52" i="40" s="1"/>
  <c r="V53" i="40" s="1"/>
  <c r="V54" i="40" s="1"/>
  <c r="V55" i="40" s="1"/>
  <c r="V56" i="40" s="1"/>
  <c r="V57" i="40" s="1"/>
  <c r="V58" i="40" s="1"/>
  <c r="V59" i="40" s="1"/>
  <c r="V60" i="40" s="1"/>
  <c r="V61" i="40" s="1"/>
  <c r="V62" i="40" s="1"/>
  <c r="V63" i="40" s="1"/>
  <c r="V64" i="40" s="1"/>
  <c r="V65" i="40" s="1"/>
  <c r="V66" i="40" s="1"/>
  <c r="V67" i="40" s="1"/>
  <c r="V68" i="40" s="1"/>
  <c r="V69" i="40" s="1"/>
  <c r="V70" i="40" s="1"/>
  <c r="V71" i="40" s="1"/>
  <c r="V72" i="40" s="1"/>
  <c r="V73" i="40" s="1"/>
  <c r="V74" i="40" s="1"/>
  <c r="V75" i="40" s="1"/>
  <c r="V76" i="40" s="1"/>
  <c r="V77" i="40" s="1"/>
  <c r="V78" i="40" s="1"/>
  <c r="V79" i="40" s="1"/>
  <c r="V80" i="40" s="1"/>
  <c r="V81" i="40" s="1"/>
  <c r="V82" i="40" s="1"/>
  <c r="V83" i="40" s="1"/>
  <c r="V84" i="40" s="1"/>
  <c r="V85" i="40" s="1"/>
  <c r="V86" i="40" s="1"/>
  <c r="V87" i="40" s="1"/>
  <c r="V88" i="40" s="1"/>
  <c r="V89" i="40" s="1"/>
  <c r="V90" i="40" s="1"/>
  <c r="V91" i="40" s="1"/>
  <c r="V92" i="40" s="1"/>
  <c r="V93" i="40" s="1"/>
  <c r="V94" i="40" s="1"/>
  <c r="V95" i="40" s="1"/>
  <c r="V96" i="40" s="1"/>
  <c r="V97" i="40" s="1"/>
  <c r="V98" i="40" s="1"/>
  <c r="V99" i="40" s="1"/>
  <c r="V100" i="40" s="1"/>
  <c r="V101" i="40" s="1"/>
  <c r="V102" i="40" s="1"/>
  <c r="V103" i="40" s="1"/>
  <c r="V104" i="40" s="1"/>
  <c r="V105" i="40" s="1"/>
  <c r="V106" i="40" s="1"/>
  <c r="V107" i="40" s="1"/>
  <c r="V108" i="40" s="1"/>
  <c r="V109" i="40" s="1"/>
  <c r="V110" i="40" s="1"/>
  <c r="V111" i="40" s="1"/>
  <c r="V112" i="40" s="1"/>
  <c r="V113" i="40" s="1"/>
  <c r="P9" i="40"/>
  <c r="D42" i="196"/>
  <c r="C42" i="196"/>
  <c r="E45" i="196" s="1"/>
  <c r="F40" i="196"/>
  <c r="F39" i="196"/>
  <c r="F38" i="196"/>
  <c r="F37" i="196"/>
  <c r="F36" i="196"/>
  <c r="F35" i="196"/>
  <c r="F34" i="196"/>
  <c r="F33" i="196"/>
  <c r="F32" i="196"/>
  <c r="F31" i="196"/>
  <c r="F30" i="196"/>
  <c r="F29" i="196"/>
  <c r="F28" i="196"/>
  <c r="F27" i="196"/>
  <c r="F26" i="196"/>
  <c r="F25" i="196"/>
  <c r="F24" i="196"/>
  <c r="F23" i="196"/>
  <c r="F22" i="196"/>
  <c r="F21" i="196"/>
  <c r="F20" i="196"/>
  <c r="F19" i="196"/>
  <c r="F18" i="196"/>
  <c r="F17" i="196"/>
  <c r="F16" i="196"/>
  <c r="F15" i="196"/>
  <c r="F14" i="196"/>
  <c r="F13" i="196"/>
  <c r="F12" i="196"/>
  <c r="F11" i="196"/>
  <c r="F10" i="196"/>
  <c r="F9" i="196"/>
  <c r="B9" i="196"/>
  <c r="B10" i="196" s="1"/>
  <c r="B11" i="196" s="1"/>
  <c r="B12" i="196" s="1"/>
  <c r="B13" i="196" s="1"/>
  <c r="B14" i="196" s="1"/>
  <c r="B15" i="196" s="1"/>
  <c r="B16" i="196" s="1"/>
  <c r="B17" i="196" s="1"/>
  <c r="B18" i="196" s="1"/>
  <c r="B19" i="196" s="1"/>
  <c r="B20" i="196" s="1"/>
  <c r="B21" i="196" s="1"/>
  <c r="B22" i="196" s="1"/>
  <c r="B23" i="196" s="1"/>
  <c r="B24" i="196" s="1"/>
  <c r="B25" i="196" s="1"/>
  <c r="B26" i="196" s="1"/>
  <c r="B27" i="196" s="1"/>
  <c r="B28" i="196" s="1"/>
  <c r="B29" i="196" s="1"/>
  <c r="B30" i="196" s="1"/>
  <c r="B31" i="196" s="1"/>
  <c r="B32" i="196" s="1"/>
  <c r="B33" i="196" s="1"/>
  <c r="B34" i="196" s="1"/>
  <c r="B35" i="196" s="1"/>
  <c r="B36" i="196" s="1"/>
  <c r="B37" i="196" s="1"/>
  <c r="B38" i="196" s="1"/>
  <c r="B39" i="196" s="1"/>
  <c r="B40" i="196" s="1"/>
  <c r="N78" i="197"/>
  <c r="M78" i="197"/>
  <c r="O81" i="197" s="1"/>
  <c r="P76" i="197"/>
  <c r="P75" i="197"/>
  <c r="P74" i="197"/>
  <c r="P73" i="197"/>
  <c r="P72" i="197"/>
  <c r="P71" i="197"/>
  <c r="P70" i="197"/>
  <c r="P69" i="197"/>
  <c r="P68" i="197"/>
  <c r="P67" i="197"/>
  <c r="P66" i="197"/>
  <c r="P65" i="197"/>
  <c r="P64" i="197"/>
  <c r="P63" i="197"/>
  <c r="P62" i="197"/>
  <c r="P61" i="197"/>
  <c r="P60" i="197"/>
  <c r="P59" i="197"/>
  <c r="P58" i="197"/>
  <c r="P57" i="197"/>
  <c r="P56" i="197"/>
  <c r="P55" i="197"/>
  <c r="P54" i="197"/>
  <c r="P53" i="197"/>
  <c r="P52" i="197"/>
  <c r="P51" i="197"/>
  <c r="P50" i="197"/>
  <c r="P49" i="197"/>
  <c r="P48" i="197"/>
  <c r="P47" i="197"/>
  <c r="P46" i="197"/>
  <c r="P45" i="197"/>
  <c r="P44" i="197"/>
  <c r="P43" i="197"/>
  <c r="P42" i="197"/>
  <c r="P41" i="197"/>
  <c r="P40" i="197"/>
  <c r="P39" i="197"/>
  <c r="P38" i="197"/>
  <c r="P37" i="197"/>
  <c r="P36" i="197"/>
  <c r="P35" i="197"/>
  <c r="P34" i="197"/>
  <c r="P33" i="197"/>
  <c r="P32" i="197"/>
  <c r="P31" i="197"/>
  <c r="P30" i="197"/>
  <c r="P29" i="197"/>
  <c r="P28" i="197"/>
  <c r="P27" i="197"/>
  <c r="P26" i="197"/>
  <c r="P25" i="197"/>
  <c r="P24" i="197"/>
  <c r="P23" i="197"/>
  <c r="P22" i="197"/>
  <c r="P21" i="197"/>
  <c r="P20" i="197"/>
  <c r="P19" i="197"/>
  <c r="P18" i="197"/>
  <c r="P17" i="197"/>
  <c r="P16" i="197"/>
  <c r="P15" i="197"/>
  <c r="P14" i="197"/>
  <c r="P13" i="197"/>
  <c r="P12" i="197"/>
  <c r="P11" i="197"/>
  <c r="P10" i="197"/>
  <c r="P9" i="197"/>
  <c r="S9" i="197" s="1"/>
  <c r="S10" i="197" s="1"/>
  <c r="L9" i="197"/>
  <c r="L10" i="197" s="1"/>
  <c r="L11" i="197" s="1"/>
  <c r="L12" i="197" s="1"/>
  <c r="L13" i="197" s="1"/>
  <c r="L14" i="197" s="1"/>
  <c r="L15" i="197" s="1"/>
  <c r="L16" i="197" s="1"/>
  <c r="L17" i="197" s="1"/>
  <c r="L18" i="197" s="1"/>
  <c r="L19" i="197" s="1"/>
  <c r="L20" i="197" s="1"/>
  <c r="L21" i="197" s="1"/>
  <c r="L22" i="197" s="1"/>
  <c r="L23" i="197" s="1"/>
  <c r="L24" i="197" s="1"/>
  <c r="L25" i="197" s="1"/>
  <c r="L26" i="197" s="1"/>
  <c r="L27" i="197" s="1"/>
  <c r="L28" i="197" s="1"/>
  <c r="L29" i="197" s="1"/>
  <c r="L30" i="197" s="1"/>
  <c r="L31" i="197" s="1"/>
  <c r="L32" i="197" s="1"/>
  <c r="L33" i="197" s="1"/>
  <c r="L34" i="197" s="1"/>
  <c r="L35" i="197" s="1"/>
  <c r="L36" i="197" s="1"/>
  <c r="L37" i="197" s="1"/>
  <c r="L38" i="197" s="1"/>
  <c r="L39" i="197" s="1"/>
  <c r="L40" i="197" s="1"/>
  <c r="L41" i="197" s="1"/>
  <c r="L42" i="197" s="1"/>
  <c r="L43" i="197" s="1"/>
  <c r="L44" i="197" s="1"/>
  <c r="L45" i="197" s="1"/>
  <c r="L46" i="197" s="1"/>
  <c r="L47" i="197" s="1"/>
  <c r="L48" i="197" s="1"/>
  <c r="L49" i="197" s="1"/>
  <c r="L50" i="197" s="1"/>
  <c r="L51" i="197" s="1"/>
  <c r="L52" i="197" s="1"/>
  <c r="L53" i="197" s="1"/>
  <c r="L54" i="197" s="1"/>
  <c r="L55" i="197" s="1"/>
  <c r="L56" i="197" s="1"/>
  <c r="L57" i="197" s="1"/>
  <c r="L58" i="197" s="1"/>
  <c r="L59" i="197" s="1"/>
  <c r="L60" i="197" s="1"/>
  <c r="L61" i="197" s="1"/>
  <c r="L62" i="197" s="1"/>
  <c r="L63" i="197" s="1"/>
  <c r="L64" i="197" s="1"/>
  <c r="L65" i="197" s="1"/>
  <c r="L66" i="197" s="1"/>
  <c r="L67" i="197" s="1"/>
  <c r="L68" i="197" s="1"/>
  <c r="L69" i="197" s="1"/>
  <c r="L70" i="197" s="1"/>
  <c r="L71" i="197" s="1"/>
  <c r="L72" i="197" s="1"/>
  <c r="L73" i="197" s="1"/>
  <c r="L74" i="197" s="1"/>
  <c r="L75" i="197" s="1"/>
  <c r="AB115" i="40" l="1"/>
  <c r="S11" i="197"/>
  <c r="S12" i="197" s="1"/>
  <c r="S13" i="197" s="1"/>
  <c r="S14" i="197" s="1"/>
  <c r="S15" i="197" s="1"/>
  <c r="S16" i="197" s="1"/>
  <c r="S17" i="197" s="1"/>
  <c r="S18" i="197" s="1"/>
  <c r="S19" i="197" s="1"/>
  <c r="S20" i="197" s="1"/>
  <c r="S21" i="197" s="1"/>
  <c r="S22" i="197" s="1"/>
  <c r="S23" i="197" s="1"/>
  <c r="S24" i="197" s="1"/>
  <c r="S25" i="197" s="1"/>
  <c r="S26" i="197" s="1"/>
  <c r="S27" i="197" s="1"/>
  <c r="S28" i="197" s="1"/>
  <c r="S29" i="197" s="1"/>
  <c r="S30" i="197" s="1"/>
  <c r="S31" i="197" s="1"/>
  <c r="S32" i="197" s="1"/>
  <c r="S33" i="197" s="1"/>
  <c r="S34" i="197" s="1"/>
  <c r="S35" i="197" s="1"/>
  <c r="S36" i="197" s="1"/>
  <c r="S37" i="197" s="1"/>
  <c r="S38" i="197" s="1"/>
  <c r="S39" i="197" s="1"/>
  <c r="S40" i="197" s="1"/>
  <c r="S41" i="197" s="1"/>
  <c r="S42" i="197" s="1"/>
  <c r="S43" i="197" s="1"/>
  <c r="S44" i="197" s="1"/>
  <c r="S45" i="197" s="1"/>
  <c r="S46" i="197" s="1"/>
  <c r="S47" i="197" s="1"/>
  <c r="S48" i="197" s="1"/>
  <c r="S49" i="197" s="1"/>
  <c r="S50" i="197" s="1"/>
  <c r="S51" i="197" s="1"/>
  <c r="S52" i="197" s="1"/>
  <c r="S53" i="197" s="1"/>
  <c r="S54" i="197" s="1"/>
  <c r="S55" i="197" s="1"/>
  <c r="S56" i="197" s="1"/>
  <c r="S57" i="197" s="1"/>
  <c r="S58" i="197" s="1"/>
  <c r="S59" i="197" s="1"/>
  <c r="S60" i="197" s="1"/>
  <c r="S61" i="197" s="1"/>
  <c r="S62" i="197" s="1"/>
  <c r="S63" i="197" s="1"/>
  <c r="S64" i="197" s="1"/>
  <c r="S65" i="197" s="1"/>
  <c r="S66" i="197" s="1"/>
  <c r="S67" i="197" s="1"/>
  <c r="S68" i="197" s="1"/>
  <c r="S69" i="197" s="1"/>
  <c r="S70" i="197" s="1"/>
  <c r="S71" i="197" s="1"/>
  <c r="S72" i="197" s="1"/>
  <c r="S73" i="197" s="1"/>
  <c r="S74" i="197" s="1"/>
  <c r="S75" i="197" s="1"/>
  <c r="S76" i="197" s="1"/>
  <c r="P115" i="40"/>
  <c r="F42" i="196"/>
  <c r="E47" i="196" s="1"/>
  <c r="AD9" i="40"/>
  <c r="R9" i="40"/>
  <c r="I9" i="196"/>
  <c r="I10" i="196" s="1"/>
  <c r="I11" i="196" s="1"/>
  <c r="I12" i="196" s="1"/>
  <c r="I13" i="196" s="1"/>
  <c r="I14" i="196" s="1"/>
  <c r="I15" i="196" s="1"/>
  <c r="I16" i="196" s="1"/>
  <c r="I17" i="196" s="1"/>
  <c r="I18" i="196" s="1"/>
  <c r="I19" i="196" s="1"/>
  <c r="I20" i="196" s="1"/>
  <c r="I21" i="196" s="1"/>
  <c r="I22" i="196" s="1"/>
  <c r="I23" i="196" s="1"/>
  <c r="I24" i="196" s="1"/>
  <c r="I25" i="196" s="1"/>
  <c r="I26" i="196" s="1"/>
  <c r="I27" i="196" s="1"/>
  <c r="I28" i="196" s="1"/>
  <c r="I29" i="196" s="1"/>
  <c r="I30" i="196" s="1"/>
  <c r="I31" i="196" s="1"/>
  <c r="I32" i="196" s="1"/>
  <c r="I33" i="196" s="1"/>
  <c r="I34" i="196" s="1"/>
  <c r="I35" i="196" s="1"/>
  <c r="I36" i="196" s="1"/>
  <c r="I37" i="196" s="1"/>
  <c r="I38" i="196" s="1"/>
  <c r="I39" i="196" s="1"/>
  <c r="I40" i="196" s="1"/>
  <c r="P78" i="197"/>
  <c r="Q6" i="197" s="1"/>
  <c r="R6" i="197" s="1"/>
  <c r="K1" i="180"/>
  <c r="K1" i="177"/>
  <c r="O83" i="197" l="1"/>
  <c r="G6" i="196"/>
  <c r="H6" i="196" s="1"/>
  <c r="AD115" i="40"/>
  <c r="AG9" i="40"/>
  <c r="AG10" i="40" s="1"/>
  <c r="AG11" i="40" s="1"/>
  <c r="AG12" i="40" s="1"/>
  <c r="AG13" i="40" s="1"/>
  <c r="AG14" i="40" s="1"/>
  <c r="AG15" i="40" s="1"/>
  <c r="AG16" i="40" s="1"/>
  <c r="AG17" i="40" s="1"/>
  <c r="AG18" i="40" s="1"/>
  <c r="AG19" i="40" s="1"/>
  <c r="AG20" i="40" s="1"/>
  <c r="AG21" i="40" s="1"/>
  <c r="AG22" i="40" s="1"/>
  <c r="AG23" i="40" s="1"/>
  <c r="AG24" i="40" s="1"/>
  <c r="AG25" i="40" s="1"/>
  <c r="AG26" i="40" s="1"/>
  <c r="AG27" i="40" s="1"/>
  <c r="AG28" i="40" s="1"/>
  <c r="AG29" i="40" s="1"/>
  <c r="AG30" i="40" s="1"/>
  <c r="AG31" i="40" s="1"/>
  <c r="AG32" i="40" s="1"/>
  <c r="AG33" i="40" s="1"/>
  <c r="AG34" i="40" s="1"/>
  <c r="AG35" i="40" s="1"/>
  <c r="AG36" i="40" s="1"/>
  <c r="AG37" i="40" s="1"/>
  <c r="AG38" i="40" s="1"/>
  <c r="AG39" i="40" s="1"/>
  <c r="AG40" i="40" s="1"/>
  <c r="AG41" i="40" s="1"/>
  <c r="AG42" i="40" s="1"/>
  <c r="AG43" i="40" s="1"/>
  <c r="AG44" i="40" s="1"/>
  <c r="AG45" i="40" s="1"/>
  <c r="AG46" i="40" s="1"/>
  <c r="AG47" i="40" s="1"/>
  <c r="AG48" i="40" s="1"/>
  <c r="AG49" i="40" s="1"/>
  <c r="AG50" i="40" s="1"/>
  <c r="AG51" i="40" s="1"/>
  <c r="AG52" i="40" s="1"/>
  <c r="AG53" i="40" s="1"/>
  <c r="AG54" i="40" s="1"/>
  <c r="AG55" i="40" s="1"/>
  <c r="AG56" i="40" s="1"/>
  <c r="AG57" i="40" s="1"/>
  <c r="AG58" i="40" s="1"/>
  <c r="AG59" i="40" s="1"/>
  <c r="AG60" i="40" s="1"/>
  <c r="AG61" i="40" s="1"/>
  <c r="AG62" i="40" s="1"/>
  <c r="AG63" i="40" s="1"/>
  <c r="AG64" i="40" s="1"/>
  <c r="AG65" i="40" s="1"/>
  <c r="AG66" i="40" s="1"/>
  <c r="AG67" i="40" s="1"/>
  <c r="AG68" i="40" s="1"/>
  <c r="AG69" i="40" s="1"/>
  <c r="AG70" i="40" s="1"/>
  <c r="AG71" i="40" s="1"/>
  <c r="AG72" i="40" s="1"/>
  <c r="AG73" i="40" s="1"/>
  <c r="AG74" i="40" s="1"/>
  <c r="AG75" i="40" s="1"/>
  <c r="AG76" i="40" s="1"/>
  <c r="AG77" i="40" s="1"/>
  <c r="AG78" i="40" s="1"/>
  <c r="AG79" i="40" s="1"/>
  <c r="AG80" i="40" s="1"/>
  <c r="AG81" i="40" s="1"/>
  <c r="AG82" i="40" s="1"/>
  <c r="AG83" i="40" s="1"/>
  <c r="AG84" i="40" s="1"/>
  <c r="AG85" i="40" s="1"/>
  <c r="AG86" i="40" s="1"/>
  <c r="AG87" i="40" s="1"/>
  <c r="AG88" i="40" s="1"/>
  <c r="AG89" i="40" s="1"/>
  <c r="AG90" i="40" s="1"/>
  <c r="AG91" i="40" s="1"/>
  <c r="AG92" i="40" s="1"/>
  <c r="AG93" i="40" s="1"/>
  <c r="AG94" i="40" s="1"/>
  <c r="AG95" i="40" s="1"/>
  <c r="AG96" i="40" s="1"/>
  <c r="AG97" i="40" s="1"/>
  <c r="AG98" i="40" s="1"/>
  <c r="AG99" i="40" s="1"/>
  <c r="AG100" i="40" s="1"/>
  <c r="AG101" i="40" s="1"/>
  <c r="AG102" i="40" s="1"/>
  <c r="AG103" i="40" s="1"/>
  <c r="AG104" i="40" s="1"/>
  <c r="AG105" i="40" s="1"/>
  <c r="AG106" i="40" s="1"/>
  <c r="AG107" i="40" s="1"/>
  <c r="AG108" i="40" s="1"/>
  <c r="AG109" i="40" s="1"/>
  <c r="AG110" i="40" s="1"/>
  <c r="AG111" i="40" s="1"/>
  <c r="AG112" i="40" s="1"/>
  <c r="AG113" i="40" s="1"/>
  <c r="AI9" i="40"/>
  <c r="R115" i="40"/>
  <c r="U9" i="40"/>
  <c r="U10" i="40" s="1"/>
  <c r="U11" i="40" s="1"/>
  <c r="U12" i="40" s="1"/>
  <c r="U13" i="40" s="1"/>
  <c r="U14" i="40" s="1"/>
  <c r="U15" i="40" s="1"/>
  <c r="U16" i="40" s="1"/>
  <c r="U17" i="40" s="1"/>
  <c r="U18" i="40" s="1"/>
  <c r="U19" i="40" s="1"/>
  <c r="U20" i="40" s="1"/>
  <c r="U21" i="40" s="1"/>
  <c r="U22" i="40" s="1"/>
  <c r="U23" i="40" s="1"/>
  <c r="U24" i="40" s="1"/>
  <c r="U25" i="40" s="1"/>
  <c r="U26" i="40" s="1"/>
  <c r="U27" i="40" s="1"/>
  <c r="U28" i="40" s="1"/>
  <c r="U29" i="40" s="1"/>
  <c r="U30" i="40" s="1"/>
  <c r="U31" i="40" s="1"/>
  <c r="U32" i="40" s="1"/>
  <c r="U33" i="40" s="1"/>
  <c r="U34" i="40" s="1"/>
  <c r="U35" i="40" s="1"/>
  <c r="U36" i="40" s="1"/>
  <c r="U37" i="40" s="1"/>
  <c r="U38" i="40" s="1"/>
  <c r="U39" i="40" s="1"/>
  <c r="U40" i="40" s="1"/>
  <c r="U41" i="40" s="1"/>
  <c r="U42" i="40" s="1"/>
  <c r="U43" i="40" s="1"/>
  <c r="U44" i="40" s="1"/>
  <c r="U45" i="40" s="1"/>
  <c r="U46" i="40" s="1"/>
  <c r="U47" i="40" s="1"/>
  <c r="U48" i="40" s="1"/>
  <c r="U49" i="40" s="1"/>
  <c r="U50" i="40" s="1"/>
  <c r="U51" i="40" s="1"/>
  <c r="U52" i="40" s="1"/>
  <c r="U53" i="40" s="1"/>
  <c r="U54" i="40" s="1"/>
  <c r="U55" i="40" s="1"/>
  <c r="U56" i="40" s="1"/>
  <c r="U57" i="40" s="1"/>
  <c r="U58" i="40" s="1"/>
  <c r="U59" i="40" s="1"/>
  <c r="U60" i="40" s="1"/>
  <c r="U61" i="40" s="1"/>
  <c r="U62" i="40" s="1"/>
  <c r="U63" i="40" s="1"/>
  <c r="U64" i="40" s="1"/>
  <c r="U65" i="40" s="1"/>
  <c r="U66" i="40" s="1"/>
  <c r="U67" i="40" s="1"/>
  <c r="U68" i="40" s="1"/>
  <c r="U69" i="40" s="1"/>
  <c r="U70" i="40" s="1"/>
  <c r="U71" i="40" s="1"/>
  <c r="U72" i="40" s="1"/>
  <c r="U73" i="40" s="1"/>
  <c r="U74" i="40" s="1"/>
  <c r="U75" i="40" s="1"/>
  <c r="U76" i="40" s="1"/>
  <c r="U77" i="40" s="1"/>
  <c r="U78" i="40" s="1"/>
  <c r="U79" i="40" s="1"/>
  <c r="U80" i="40" s="1"/>
  <c r="U81" i="40" s="1"/>
  <c r="U82" i="40" s="1"/>
  <c r="U83" i="40" s="1"/>
  <c r="U84" i="40" s="1"/>
  <c r="U85" i="40" s="1"/>
  <c r="U86" i="40" s="1"/>
  <c r="U87" i="40" s="1"/>
  <c r="U88" i="40" s="1"/>
  <c r="U89" i="40" s="1"/>
  <c r="U90" i="40" s="1"/>
  <c r="U91" i="40" s="1"/>
  <c r="U92" i="40" s="1"/>
  <c r="U93" i="40" s="1"/>
  <c r="U94" i="40" s="1"/>
  <c r="U95" i="40" s="1"/>
  <c r="U96" i="40" s="1"/>
  <c r="U97" i="40" s="1"/>
  <c r="U98" i="40" s="1"/>
  <c r="U99" i="40" s="1"/>
  <c r="U100" i="40" s="1"/>
  <c r="U101" i="40" s="1"/>
  <c r="U102" i="40" s="1"/>
  <c r="U103" i="40" s="1"/>
  <c r="U104" i="40" s="1"/>
  <c r="U105" i="40" s="1"/>
  <c r="U106" i="40" s="1"/>
  <c r="U107" i="40" s="1"/>
  <c r="U108" i="40" s="1"/>
  <c r="U109" i="40" s="1"/>
  <c r="U110" i="40" s="1"/>
  <c r="U111" i="40" s="1"/>
  <c r="U112" i="40" s="1"/>
  <c r="U113" i="40" s="1"/>
  <c r="W9" i="40"/>
  <c r="W1" i="117"/>
  <c r="Q69" i="117"/>
  <c r="Q70" i="117"/>
  <c r="Q71" i="117"/>
  <c r="Q72" i="117"/>
  <c r="Q73" i="117"/>
  <c r="Q74" i="117"/>
  <c r="Q75" i="117"/>
  <c r="Q76" i="117"/>
  <c r="Q77" i="117"/>
  <c r="Q78" i="117"/>
  <c r="Q79" i="117"/>
  <c r="Q80" i="117"/>
  <c r="Q81" i="117"/>
  <c r="Q82" i="117"/>
  <c r="Q83" i="117"/>
  <c r="Q84" i="117"/>
  <c r="Q85" i="117"/>
  <c r="Q86" i="117"/>
  <c r="Q87" i="117"/>
  <c r="Q88" i="117"/>
  <c r="Q89" i="117"/>
  <c r="Q90" i="117"/>
  <c r="Q91" i="117"/>
  <c r="Q92" i="117"/>
  <c r="Q93" i="117"/>
  <c r="Q94" i="117"/>
  <c r="Q95" i="117"/>
  <c r="Q96" i="117"/>
  <c r="Q97" i="117"/>
  <c r="Q98" i="117"/>
  <c r="Q99" i="117"/>
  <c r="Q100" i="117"/>
  <c r="K1" i="188"/>
  <c r="K1" i="57"/>
  <c r="Z32" i="1"/>
  <c r="Z33" i="1" s="1"/>
  <c r="X32" i="1"/>
  <c r="P32" i="1"/>
  <c r="P33" i="1" s="1"/>
  <c r="N32" i="1"/>
  <c r="AC28" i="1"/>
  <c r="S28" i="1"/>
  <c r="AC27" i="1"/>
  <c r="S27" i="1"/>
  <c r="AC26" i="1"/>
  <c r="S26" i="1"/>
  <c r="AC25" i="1"/>
  <c r="S25" i="1"/>
  <c r="AC24" i="1"/>
  <c r="S24" i="1"/>
  <c r="AC23" i="1"/>
  <c r="S23" i="1"/>
  <c r="AC22" i="1"/>
  <c r="S22" i="1"/>
  <c r="AC21" i="1"/>
  <c r="S21" i="1"/>
  <c r="AC20" i="1"/>
  <c r="S20" i="1"/>
  <c r="AC19" i="1"/>
  <c r="S19" i="1"/>
  <c r="AC18" i="1"/>
  <c r="S18" i="1"/>
  <c r="AC17" i="1"/>
  <c r="S17" i="1"/>
  <c r="AC16" i="1"/>
  <c r="S16" i="1"/>
  <c r="AC15" i="1"/>
  <c r="S15" i="1"/>
  <c r="AC14" i="1"/>
  <c r="S14" i="1"/>
  <c r="AC13" i="1"/>
  <c r="S13" i="1"/>
  <c r="AC12" i="1"/>
  <c r="S12" i="1"/>
  <c r="AC11" i="1"/>
  <c r="S11" i="1"/>
  <c r="AC10" i="1"/>
  <c r="S10" i="1"/>
  <c r="AC9" i="1"/>
  <c r="S9" i="1"/>
  <c r="AC8" i="1"/>
  <c r="S8" i="1"/>
  <c r="AB5" i="1"/>
  <c r="R5" i="1"/>
  <c r="S29" i="1" l="1"/>
  <c r="AC29" i="1"/>
  <c r="AC120" i="40"/>
  <c r="AE5" i="40"/>
  <c r="AF5" i="40" s="1"/>
  <c r="Q120" i="40"/>
  <c r="S5" i="40"/>
  <c r="T5" i="40" s="1"/>
  <c r="D9" i="40"/>
  <c r="F9" i="40" s="1"/>
  <c r="F92" i="117" l="1"/>
  <c r="F93" i="117"/>
  <c r="F94" i="117"/>
  <c r="F96" i="117"/>
  <c r="F97" i="117"/>
  <c r="F98" i="117"/>
  <c r="F99" i="117"/>
  <c r="F100" i="117"/>
  <c r="F101" i="117"/>
  <c r="J92" i="117"/>
  <c r="J93" i="117" s="1"/>
  <c r="J94" i="117" s="1"/>
  <c r="J95" i="117" s="1"/>
  <c r="J96" i="117" s="1"/>
  <c r="J97" i="117" s="1"/>
  <c r="J98" i="117" s="1"/>
  <c r="J99" i="117" s="1"/>
  <c r="J100" i="117" s="1"/>
  <c r="J101" i="117" s="1"/>
  <c r="I10" i="129" l="1"/>
  <c r="F12" i="129"/>
  <c r="F11" i="129"/>
  <c r="F10" i="129"/>
  <c r="B9" i="197" l="1"/>
  <c r="F9" i="197"/>
  <c r="J9" i="65" l="1"/>
  <c r="B9" i="205" l="1"/>
  <c r="F10" i="205"/>
  <c r="F9" i="205"/>
  <c r="N62" i="177" l="1"/>
  <c r="M62" i="177"/>
  <c r="P66" i="177" s="1"/>
  <c r="P57" i="177"/>
  <c r="P56" i="177"/>
  <c r="P55" i="177"/>
  <c r="P54" i="177"/>
  <c r="P53" i="177"/>
  <c r="P52" i="177"/>
  <c r="P51" i="177"/>
  <c r="P50" i="177"/>
  <c r="P49" i="177"/>
  <c r="P48" i="177"/>
  <c r="P47" i="177"/>
  <c r="P46" i="177"/>
  <c r="P45" i="177"/>
  <c r="P44" i="177"/>
  <c r="P43" i="177"/>
  <c r="P42" i="177"/>
  <c r="P41" i="177"/>
  <c r="P40" i="177"/>
  <c r="P39" i="177"/>
  <c r="P38" i="177"/>
  <c r="P37" i="177"/>
  <c r="P36" i="177"/>
  <c r="P35" i="177"/>
  <c r="P34" i="177"/>
  <c r="P33" i="177"/>
  <c r="P32" i="177"/>
  <c r="P31" i="177"/>
  <c r="P30" i="177"/>
  <c r="P29" i="177"/>
  <c r="P28" i="177"/>
  <c r="P27" i="177"/>
  <c r="P26" i="177"/>
  <c r="P25" i="177"/>
  <c r="P24" i="177"/>
  <c r="P23" i="177"/>
  <c r="P22" i="177"/>
  <c r="P21" i="177"/>
  <c r="P20" i="177"/>
  <c r="P19" i="177"/>
  <c r="P18" i="177"/>
  <c r="P17" i="177"/>
  <c r="P16" i="177"/>
  <c r="P15" i="177"/>
  <c r="P14" i="177"/>
  <c r="P13" i="177"/>
  <c r="P12" i="177"/>
  <c r="P11" i="177"/>
  <c r="S10" i="177"/>
  <c r="S11" i="177" s="1"/>
  <c r="S12" i="177" s="1"/>
  <c r="S13" i="177" s="1"/>
  <c r="S14" i="177" s="1"/>
  <c r="S15" i="177" s="1"/>
  <c r="S16" i="177" s="1"/>
  <c r="S17" i="177" s="1"/>
  <c r="S18" i="177" s="1"/>
  <c r="S19" i="177" s="1"/>
  <c r="S20" i="177" s="1"/>
  <c r="S21" i="177" s="1"/>
  <c r="S22" i="177" s="1"/>
  <c r="S23" i="177" s="1"/>
  <c r="S24" i="177" s="1"/>
  <c r="S25" i="177" s="1"/>
  <c r="S26" i="177" s="1"/>
  <c r="S27" i="177" s="1"/>
  <c r="S28" i="177" s="1"/>
  <c r="S29" i="177" s="1"/>
  <c r="S30" i="177" s="1"/>
  <c r="S31" i="177" s="1"/>
  <c r="S32" i="177" s="1"/>
  <c r="S33" i="177" s="1"/>
  <c r="S34" i="177" s="1"/>
  <c r="S35" i="177" s="1"/>
  <c r="S36" i="177" s="1"/>
  <c r="S37" i="177" s="1"/>
  <c r="S38" i="177" s="1"/>
  <c r="S39" i="177" s="1"/>
  <c r="S40" i="177" s="1"/>
  <c r="S41" i="177" s="1"/>
  <c r="S42" i="177" s="1"/>
  <c r="S43" i="177" s="1"/>
  <c r="S44" i="177" s="1"/>
  <c r="S45" i="177" s="1"/>
  <c r="S46" i="177" s="1"/>
  <c r="S47" i="177" s="1"/>
  <c r="S48" i="177" s="1"/>
  <c r="S49" i="177" s="1"/>
  <c r="S50" i="177" s="1"/>
  <c r="S51" i="177" s="1"/>
  <c r="S52" i="177" s="1"/>
  <c r="S53" i="177" s="1"/>
  <c r="S54" i="177" s="1"/>
  <c r="S55" i="177" s="1"/>
  <c r="S56" i="177" s="1"/>
  <c r="S57" i="177" s="1"/>
  <c r="S58" i="177" s="1"/>
  <c r="P10" i="177"/>
  <c r="L10" i="177"/>
  <c r="L11" i="177" s="1"/>
  <c r="L12" i="177" s="1"/>
  <c r="L13" i="177" s="1"/>
  <c r="L14" i="177" s="1"/>
  <c r="L15" i="177" s="1"/>
  <c r="L16" i="177" s="1"/>
  <c r="L17" i="177" s="1"/>
  <c r="L18" i="177" s="1"/>
  <c r="L19" i="177" s="1"/>
  <c r="L20" i="177" s="1"/>
  <c r="L21" i="177" s="1"/>
  <c r="L22" i="177" s="1"/>
  <c r="L23" i="177" s="1"/>
  <c r="L24" i="177" s="1"/>
  <c r="L25" i="177" s="1"/>
  <c r="L26" i="177" s="1"/>
  <c r="L27" i="177" s="1"/>
  <c r="L28" i="177" s="1"/>
  <c r="L29" i="177" s="1"/>
  <c r="L30" i="177" s="1"/>
  <c r="L31" i="177" s="1"/>
  <c r="L32" i="177" s="1"/>
  <c r="L33" i="177" s="1"/>
  <c r="L34" i="177" s="1"/>
  <c r="L35" i="177" s="1"/>
  <c r="L36" i="177" s="1"/>
  <c r="L37" i="177" s="1"/>
  <c r="L38" i="177" s="1"/>
  <c r="L39" i="177" s="1"/>
  <c r="L40" i="177" s="1"/>
  <c r="L41" i="177" s="1"/>
  <c r="L42" i="177" s="1"/>
  <c r="L43" i="177" s="1"/>
  <c r="L44" i="177" s="1"/>
  <c r="L45" i="177" s="1"/>
  <c r="L46" i="177" s="1"/>
  <c r="L47" i="177" s="1"/>
  <c r="L48" i="177" s="1"/>
  <c r="L49" i="177" s="1"/>
  <c r="L50" i="177" s="1"/>
  <c r="L51" i="177" s="1"/>
  <c r="L52" i="177" s="1"/>
  <c r="L53" i="177" s="1"/>
  <c r="L54" i="177" s="1"/>
  <c r="L55" i="177" s="1"/>
  <c r="L56" i="177" s="1"/>
  <c r="L57" i="177" s="1"/>
  <c r="L58" i="177" s="1"/>
  <c r="P62" i="177" l="1"/>
  <c r="Q5" i="177" s="1"/>
  <c r="R5" i="177" s="1"/>
  <c r="P65" i="177"/>
  <c r="N32" i="180" l="1"/>
  <c r="P33" i="180" s="1"/>
  <c r="P34" i="180"/>
  <c r="P28" i="180"/>
  <c r="P27" i="180"/>
  <c r="P26" i="180"/>
  <c r="P25" i="180"/>
  <c r="P24" i="180"/>
  <c r="P23" i="180"/>
  <c r="P22" i="180"/>
  <c r="P21" i="180"/>
  <c r="P20" i="180"/>
  <c r="P19" i="180"/>
  <c r="P18" i="180"/>
  <c r="P17" i="180"/>
  <c r="P16" i="180"/>
  <c r="P15" i="180"/>
  <c r="P14" i="180"/>
  <c r="P13" i="180"/>
  <c r="P12" i="180"/>
  <c r="P11" i="180"/>
  <c r="P10" i="180"/>
  <c r="P9" i="180"/>
  <c r="P8" i="180"/>
  <c r="P32" i="180" s="1"/>
  <c r="Q5" i="180" s="1"/>
  <c r="R5" i="180" s="1"/>
  <c r="L8" i="180"/>
  <c r="L9" i="180" s="1"/>
  <c r="L10" i="180" s="1"/>
  <c r="L11" i="180" s="1"/>
  <c r="L12" i="180" s="1"/>
  <c r="L13" i="180" s="1"/>
  <c r="L14" i="180" s="1"/>
  <c r="L15" i="180" s="1"/>
  <c r="L16" i="180" s="1"/>
  <c r="L17" i="180" s="1"/>
  <c r="L18" i="180" s="1"/>
  <c r="L19" i="180" s="1"/>
  <c r="L20" i="180" s="1"/>
  <c r="L21" i="180" s="1"/>
  <c r="L22" i="180" s="1"/>
  <c r="L23" i="180" s="1"/>
  <c r="L24" i="180" s="1"/>
  <c r="L25" i="180" s="1"/>
  <c r="L26" i="180" s="1"/>
  <c r="L27" i="180" s="1"/>
  <c r="L28" i="180" s="1"/>
  <c r="D79" i="129"/>
  <c r="C79" i="129"/>
  <c r="E82" i="129" s="1"/>
  <c r="F77" i="129"/>
  <c r="J77" i="129" s="1"/>
  <c r="F76" i="129"/>
  <c r="J76" i="129" s="1"/>
  <c r="F75" i="129"/>
  <c r="J75" i="129" s="1"/>
  <c r="F74" i="129"/>
  <c r="J74" i="129" s="1"/>
  <c r="F73" i="129"/>
  <c r="J73" i="129" s="1"/>
  <c r="F72" i="129"/>
  <c r="J72" i="129" s="1"/>
  <c r="F71" i="129"/>
  <c r="J71" i="129" s="1"/>
  <c r="F70" i="129"/>
  <c r="J70" i="129" s="1"/>
  <c r="F69" i="129"/>
  <c r="J69" i="129" s="1"/>
  <c r="F68" i="129"/>
  <c r="J68" i="129" s="1"/>
  <c r="F67" i="129"/>
  <c r="J67" i="129" s="1"/>
  <c r="F66" i="129"/>
  <c r="J66" i="129" s="1"/>
  <c r="F65" i="129"/>
  <c r="J65" i="129" s="1"/>
  <c r="F64" i="129"/>
  <c r="J64" i="129" s="1"/>
  <c r="F63" i="129"/>
  <c r="J63" i="129" s="1"/>
  <c r="F62" i="129"/>
  <c r="J62" i="129" s="1"/>
  <c r="F61" i="129"/>
  <c r="J61" i="129" s="1"/>
  <c r="F60" i="129"/>
  <c r="J60" i="129" s="1"/>
  <c r="F59" i="129"/>
  <c r="J59" i="129" s="1"/>
  <c r="J58" i="129"/>
  <c r="J57" i="129"/>
  <c r="J56" i="129"/>
  <c r="F56" i="129"/>
  <c r="F55" i="129"/>
  <c r="J55" i="129" s="1"/>
  <c r="J54" i="129"/>
  <c r="F54" i="129"/>
  <c r="F53" i="129"/>
  <c r="J53" i="129" s="1"/>
  <c r="F52" i="129"/>
  <c r="J52" i="129" s="1"/>
  <c r="F51" i="129"/>
  <c r="J51" i="129" s="1"/>
  <c r="F50" i="129"/>
  <c r="J50" i="129" s="1"/>
  <c r="F49" i="129"/>
  <c r="J49" i="129" s="1"/>
  <c r="F48" i="129"/>
  <c r="J48" i="129" s="1"/>
  <c r="F47" i="129"/>
  <c r="J47" i="129" s="1"/>
  <c r="F46" i="129"/>
  <c r="J46" i="129" s="1"/>
  <c r="F45" i="129"/>
  <c r="J45" i="129" s="1"/>
  <c r="F44" i="129"/>
  <c r="J44" i="129" s="1"/>
  <c r="F43" i="129"/>
  <c r="J43" i="129" s="1"/>
  <c r="F42" i="129"/>
  <c r="J42" i="129" s="1"/>
  <c r="F41" i="129"/>
  <c r="J41" i="129" s="1"/>
  <c r="F40" i="129"/>
  <c r="J40" i="129" s="1"/>
  <c r="F39" i="129"/>
  <c r="J39" i="129" s="1"/>
  <c r="F38" i="129"/>
  <c r="J38" i="129" s="1"/>
  <c r="F37" i="129"/>
  <c r="J37" i="129" s="1"/>
  <c r="F36" i="129"/>
  <c r="J36" i="129" s="1"/>
  <c r="F35" i="129"/>
  <c r="J35" i="129" s="1"/>
  <c r="F34" i="129"/>
  <c r="J34" i="129" s="1"/>
  <c r="F33" i="129"/>
  <c r="J33" i="129" s="1"/>
  <c r="F32" i="129"/>
  <c r="J32" i="129" s="1"/>
  <c r="F31" i="129"/>
  <c r="J31" i="129" s="1"/>
  <c r="F30" i="129"/>
  <c r="J30" i="129" s="1"/>
  <c r="F29" i="129"/>
  <c r="J29" i="129" s="1"/>
  <c r="F28" i="129"/>
  <c r="J28" i="129" s="1"/>
  <c r="F27" i="129"/>
  <c r="J27" i="129" s="1"/>
  <c r="F26" i="129"/>
  <c r="J26" i="129" s="1"/>
  <c r="F25" i="129"/>
  <c r="J25" i="129" s="1"/>
  <c r="J24" i="129"/>
  <c r="F24" i="129"/>
  <c r="F23" i="129"/>
  <c r="J23" i="129" s="1"/>
  <c r="F22" i="129"/>
  <c r="J22" i="129" s="1"/>
  <c r="F21" i="129"/>
  <c r="J21" i="129" s="1"/>
  <c r="F20" i="129"/>
  <c r="J20" i="129" s="1"/>
  <c r="F19" i="129"/>
  <c r="J19" i="129" s="1"/>
  <c r="F18" i="129"/>
  <c r="J18" i="129" s="1"/>
  <c r="F17" i="129"/>
  <c r="J17" i="129" s="1"/>
  <c r="F16" i="129"/>
  <c r="J16" i="129" s="1"/>
  <c r="F15" i="129"/>
  <c r="J15" i="129" s="1"/>
  <c r="F14" i="129"/>
  <c r="J14" i="129" s="1"/>
  <c r="J13" i="129"/>
  <c r="F13" i="129"/>
  <c r="J12" i="129"/>
  <c r="J11" i="129"/>
  <c r="J10" i="129"/>
  <c r="I11" i="129"/>
  <c r="I12" i="129" s="1"/>
  <c r="I13" i="129" s="1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S8" i="180" l="1"/>
  <c r="S9" i="180" s="1"/>
  <c r="S10" i="180" s="1"/>
  <c r="S11" i="180" s="1"/>
  <c r="S12" i="180" s="1"/>
  <c r="S13" i="180" s="1"/>
  <c r="S14" i="180" s="1"/>
  <c r="S15" i="180" s="1"/>
  <c r="S16" i="180" s="1"/>
  <c r="S17" i="180" s="1"/>
  <c r="S18" i="180" s="1"/>
  <c r="S19" i="180" s="1"/>
  <c r="S20" i="180" s="1"/>
  <c r="S21" i="180" s="1"/>
  <c r="S22" i="180" s="1"/>
  <c r="S23" i="180" s="1"/>
  <c r="S24" i="180" s="1"/>
  <c r="S25" i="180" s="1"/>
  <c r="S26" i="180" s="1"/>
  <c r="S27" i="180" s="1"/>
  <c r="S28" i="180" s="1"/>
  <c r="F79" i="129"/>
  <c r="E84" i="129" s="1"/>
  <c r="I14" i="129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G6" i="129" l="1"/>
  <c r="H6" i="129" s="1"/>
  <c r="S14" i="38"/>
  <c r="S15" i="38"/>
  <c r="S106" i="38"/>
  <c r="T106" i="38" s="1"/>
  <c r="S107" i="38"/>
  <c r="T107" i="38" s="1"/>
  <c r="S108" i="38"/>
  <c r="T108" i="38" s="1"/>
  <c r="I106" i="38"/>
  <c r="S119" i="38" l="1"/>
  <c r="T119" i="38" s="1"/>
  <c r="S120" i="38"/>
  <c r="T120" i="38" s="1"/>
  <c r="S110" i="38"/>
  <c r="T110" i="38" s="1"/>
  <c r="S114" i="38"/>
  <c r="T114" i="38" s="1"/>
  <c r="I119" i="38"/>
  <c r="S121" i="38"/>
  <c r="T121" i="38" s="1"/>
  <c r="S129" i="38"/>
  <c r="T129" i="38" s="1"/>
  <c r="I121" i="38"/>
  <c r="S130" i="38"/>
  <c r="T130" i="38" s="1"/>
  <c r="S131" i="38"/>
  <c r="T131" i="38" s="1"/>
  <c r="I129" i="38"/>
  <c r="S100" i="38" l="1"/>
  <c r="T100" i="38" s="1"/>
  <c r="I100" i="38"/>
  <c r="I110" i="38" l="1"/>
  <c r="C109" i="65"/>
  <c r="D111" i="65" s="1"/>
  <c r="D108" i="65"/>
  <c r="F108" i="65" s="1"/>
  <c r="F107" i="65"/>
  <c r="K107" i="65" s="1"/>
  <c r="D107" i="65"/>
  <c r="D106" i="65"/>
  <c r="F106" i="65" s="1"/>
  <c r="F105" i="65"/>
  <c r="D105" i="65"/>
  <c r="D104" i="65"/>
  <c r="F104" i="65" s="1"/>
  <c r="F103" i="65"/>
  <c r="D103" i="65"/>
  <c r="D102" i="65"/>
  <c r="F102" i="65" s="1"/>
  <c r="F101" i="65"/>
  <c r="D101" i="65"/>
  <c r="D100" i="65"/>
  <c r="F100" i="65" s="1"/>
  <c r="F99" i="65"/>
  <c r="D99" i="65"/>
  <c r="D98" i="65"/>
  <c r="F98" i="65" s="1"/>
  <c r="F97" i="65"/>
  <c r="D97" i="65"/>
  <c r="D96" i="65"/>
  <c r="F96" i="65" s="1"/>
  <c r="F95" i="65"/>
  <c r="D95" i="65"/>
  <c r="D94" i="65"/>
  <c r="F94" i="65" s="1"/>
  <c r="F93" i="65"/>
  <c r="D93" i="65"/>
  <c r="D92" i="65"/>
  <c r="F92" i="65" s="1"/>
  <c r="F91" i="65"/>
  <c r="D91" i="65"/>
  <c r="D90" i="65"/>
  <c r="F90" i="65" s="1"/>
  <c r="F89" i="65"/>
  <c r="D89" i="65"/>
  <c r="D88" i="65"/>
  <c r="F88" i="65" s="1"/>
  <c r="F87" i="65"/>
  <c r="D87" i="65"/>
  <c r="D86" i="65"/>
  <c r="F86" i="65" s="1"/>
  <c r="F85" i="65"/>
  <c r="D85" i="65"/>
  <c r="D84" i="65"/>
  <c r="F84" i="65" s="1"/>
  <c r="K83" i="65"/>
  <c r="D83" i="65"/>
  <c r="F83" i="65" s="1"/>
  <c r="D82" i="65"/>
  <c r="F82" i="65" s="1"/>
  <c r="K82" i="65" s="1"/>
  <c r="F81" i="65"/>
  <c r="K81" i="65" s="1"/>
  <c r="D81" i="65"/>
  <c r="D80" i="65"/>
  <c r="F80" i="65" s="1"/>
  <c r="K80" i="65" s="1"/>
  <c r="K79" i="65"/>
  <c r="D79" i="65"/>
  <c r="F79" i="65" s="1"/>
  <c r="D78" i="65"/>
  <c r="F78" i="65" s="1"/>
  <c r="K78" i="65" s="1"/>
  <c r="F77" i="65"/>
  <c r="K77" i="65" s="1"/>
  <c r="D77" i="65"/>
  <c r="D76" i="65"/>
  <c r="F76" i="65" s="1"/>
  <c r="K76" i="65" s="1"/>
  <c r="K75" i="65"/>
  <c r="D75" i="65"/>
  <c r="F75" i="65" s="1"/>
  <c r="D74" i="65"/>
  <c r="F74" i="65" s="1"/>
  <c r="K74" i="65" s="1"/>
  <c r="F73" i="65"/>
  <c r="K73" i="65" s="1"/>
  <c r="D73" i="65"/>
  <c r="D72" i="65"/>
  <c r="F72" i="65" s="1"/>
  <c r="K72" i="65" s="1"/>
  <c r="K71" i="65"/>
  <c r="D71" i="65"/>
  <c r="F71" i="65" s="1"/>
  <c r="D70" i="65"/>
  <c r="F70" i="65" s="1"/>
  <c r="K70" i="65" s="1"/>
  <c r="F69" i="65"/>
  <c r="K69" i="65" s="1"/>
  <c r="D69" i="65"/>
  <c r="D68" i="65"/>
  <c r="F68" i="65" s="1"/>
  <c r="K68" i="65" s="1"/>
  <c r="K67" i="65"/>
  <c r="D67" i="65"/>
  <c r="F67" i="65" s="1"/>
  <c r="D66" i="65"/>
  <c r="F66" i="65" s="1"/>
  <c r="K66" i="65" s="1"/>
  <c r="F65" i="65"/>
  <c r="K65" i="65" s="1"/>
  <c r="D65" i="65"/>
  <c r="D64" i="65"/>
  <c r="F64" i="65" s="1"/>
  <c r="K64" i="65" s="1"/>
  <c r="D63" i="65"/>
  <c r="F63" i="65" s="1"/>
  <c r="K63" i="65" s="1"/>
  <c r="D62" i="65"/>
  <c r="F62" i="65" s="1"/>
  <c r="K62" i="65" s="1"/>
  <c r="D61" i="65"/>
  <c r="F61" i="65" s="1"/>
  <c r="K61" i="65" s="1"/>
  <c r="D60" i="65"/>
  <c r="F60" i="65" s="1"/>
  <c r="K60" i="65" s="1"/>
  <c r="D59" i="65"/>
  <c r="F59" i="65" s="1"/>
  <c r="K59" i="65" s="1"/>
  <c r="D58" i="65"/>
  <c r="F58" i="65" s="1"/>
  <c r="K58" i="65" s="1"/>
  <c r="D57" i="65"/>
  <c r="F57" i="65" s="1"/>
  <c r="K57" i="65" s="1"/>
  <c r="D56" i="65"/>
  <c r="F56" i="65" s="1"/>
  <c r="D55" i="65"/>
  <c r="D54" i="65"/>
  <c r="D53" i="65"/>
  <c r="D52" i="65"/>
  <c r="F52" i="65" s="1"/>
  <c r="D51" i="65"/>
  <c r="D50" i="65"/>
  <c r="F50" i="65" s="1"/>
  <c r="D49" i="65"/>
  <c r="F49" i="65" s="1"/>
  <c r="D48" i="65"/>
  <c r="F48" i="65" s="1"/>
  <c r="D47" i="65"/>
  <c r="F47" i="65" s="1"/>
  <c r="K47" i="65" s="1"/>
  <c r="D46" i="65"/>
  <c r="F46" i="65" s="1"/>
  <c r="K46" i="65" s="1"/>
  <c r="D45" i="65"/>
  <c r="F45" i="65" s="1"/>
  <c r="K45" i="65" s="1"/>
  <c r="F44" i="65"/>
  <c r="K44" i="65" s="1"/>
  <c r="D44" i="65"/>
  <c r="D43" i="65"/>
  <c r="F43" i="65" s="1"/>
  <c r="K43" i="65" s="1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D36" i="65"/>
  <c r="F36" i="65" s="1"/>
  <c r="K36" i="65" s="1"/>
  <c r="D35" i="65"/>
  <c r="F35" i="65" s="1"/>
  <c r="K35" i="65" s="1"/>
  <c r="D34" i="65"/>
  <c r="F34" i="65" s="1"/>
  <c r="K34" i="65" s="1"/>
  <c r="D33" i="65"/>
  <c r="F33" i="65" s="1"/>
  <c r="K33" i="65" s="1"/>
  <c r="D32" i="65"/>
  <c r="F32" i="65" s="1"/>
  <c r="K32" i="65" s="1"/>
  <c r="D31" i="65"/>
  <c r="F31" i="65" s="1"/>
  <c r="K31" i="65" s="1"/>
  <c r="F30" i="65"/>
  <c r="K30" i="65" s="1"/>
  <c r="D30" i="65"/>
  <c r="D29" i="65"/>
  <c r="F29" i="65" s="1"/>
  <c r="K29" i="65" s="1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K15" i="65"/>
  <c r="D15" i="65"/>
  <c r="F15" i="65" s="1"/>
  <c r="D14" i="65"/>
  <c r="F14" i="65" s="1"/>
  <c r="K14" i="65" s="1"/>
  <c r="D13" i="65"/>
  <c r="F13" i="65" s="1"/>
  <c r="K13" i="65" s="1"/>
  <c r="D12" i="65"/>
  <c r="F12" i="65" s="1"/>
  <c r="K12" i="65" s="1"/>
  <c r="D11" i="65"/>
  <c r="F11" i="65" s="1"/>
  <c r="K11" i="65" s="1"/>
  <c r="D10" i="65"/>
  <c r="F10" i="65" s="1"/>
  <c r="K10" i="65" s="1"/>
  <c r="J10" i="65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J69" i="65" s="1"/>
  <c r="J70" i="65" s="1"/>
  <c r="J71" i="65" s="1"/>
  <c r="J72" i="65" s="1"/>
  <c r="J73" i="65" s="1"/>
  <c r="J74" i="65" s="1"/>
  <c r="J75" i="65" s="1"/>
  <c r="J76" i="65" s="1"/>
  <c r="J77" i="65" s="1"/>
  <c r="J78" i="65" s="1"/>
  <c r="J79" i="65" s="1"/>
  <c r="J80" i="65" s="1"/>
  <c r="J81" i="65" s="1"/>
  <c r="J82" i="65" s="1"/>
  <c r="J83" i="65" s="1"/>
  <c r="D9" i="65"/>
  <c r="F9" i="65" s="1"/>
  <c r="F55" i="65" l="1"/>
  <c r="K55" i="65" s="1"/>
  <c r="F51" i="65"/>
  <c r="K51" i="65" s="1"/>
  <c r="F54" i="65"/>
  <c r="K54" i="65" s="1"/>
  <c r="F53" i="65"/>
  <c r="K53" i="65" s="1"/>
  <c r="K49" i="65"/>
  <c r="K50" i="65"/>
  <c r="K48" i="65"/>
  <c r="K52" i="65"/>
  <c r="K56" i="65"/>
  <c r="J107" i="65"/>
  <c r="J84" i="65"/>
  <c r="J85" i="65" s="1"/>
  <c r="J86" i="65" s="1"/>
  <c r="J87" i="65" s="1"/>
  <c r="J88" i="65" s="1"/>
  <c r="J89" i="65" s="1"/>
  <c r="J90" i="65" s="1"/>
  <c r="J91" i="65" s="1"/>
  <c r="J92" i="65" s="1"/>
  <c r="J93" i="65" s="1"/>
  <c r="J94" i="65" s="1"/>
  <c r="J95" i="65" s="1"/>
  <c r="J96" i="65" s="1"/>
  <c r="J97" i="65" s="1"/>
  <c r="J98" i="65" s="1"/>
  <c r="J99" i="65" s="1"/>
  <c r="J100" i="65" s="1"/>
  <c r="J101" i="65" s="1"/>
  <c r="J102" i="65" s="1"/>
  <c r="J103" i="65" s="1"/>
  <c r="J104" i="65" s="1"/>
  <c r="J105" i="65" s="1"/>
  <c r="J106" i="65" s="1"/>
  <c r="K9" i="65"/>
  <c r="I9" i="65"/>
  <c r="I10" i="65" s="1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D109" i="65"/>
  <c r="I99" i="38"/>
  <c r="I54" i="65" l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I69" i="65" s="1"/>
  <c r="I70" i="65" s="1"/>
  <c r="I71" i="65" s="1"/>
  <c r="I72" i="65" s="1"/>
  <c r="I73" i="65" s="1"/>
  <c r="I74" i="65" s="1"/>
  <c r="I75" i="65" s="1"/>
  <c r="I76" i="65" s="1"/>
  <c r="I77" i="65" s="1"/>
  <c r="I78" i="65" s="1"/>
  <c r="I79" i="65" s="1"/>
  <c r="I80" i="65" s="1"/>
  <c r="I81" i="65" s="1"/>
  <c r="I82" i="65" s="1"/>
  <c r="I83" i="65" s="1"/>
  <c r="I84" i="65" s="1"/>
  <c r="I85" i="65" s="1"/>
  <c r="I86" i="65" s="1"/>
  <c r="I87" i="65" s="1"/>
  <c r="I88" i="65" s="1"/>
  <c r="I89" i="65" s="1"/>
  <c r="I90" i="65" s="1"/>
  <c r="I91" i="65" s="1"/>
  <c r="I92" i="65" s="1"/>
  <c r="I93" i="65" s="1"/>
  <c r="I94" i="65" s="1"/>
  <c r="I95" i="65" s="1"/>
  <c r="I96" i="65" s="1"/>
  <c r="I97" i="65" s="1"/>
  <c r="I98" i="65" s="1"/>
  <c r="I99" i="65" s="1"/>
  <c r="I100" i="65" s="1"/>
  <c r="I101" i="65" s="1"/>
  <c r="I102" i="65" s="1"/>
  <c r="I103" i="65" s="1"/>
  <c r="I104" i="65" s="1"/>
  <c r="I105" i="65" s="1"/>
  <c r="I106" i="65" s="1"/>
  <c r="I107" i="65" s="1"/>
  <c r="F109" i="65"/>
  <c r="G5" i="65" s="1"/>
  <c r="H5" i="65" s="1"/>
  <c r="D68" i="54"/>
  <c r="C68" i="54"/>
  <c r="E71" i="54" s="1"/>
  <c r="F67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5" i="54"/>
  <c r="F34" i="54"/>
  <c r="F33" i="54"/>
  <c r="F32" i="54"/>
  <c r="F31" i="54"/>
  <c r="F30" i="54"/>
  <c r="F29" i="54"/>
  <c r="F28" i="54"/>
  <c r="F27" i="54"/>
  <c r="F26" i="54"/>
  <c r="F25" i="54"/>
  <c r="F24" i="54"/>
  <c r="F23" i="54"/>
  <c r="F22" i="54"/>
  <c r="F21" i="54"/>
  <c r="F20" i="54"/>
  <c r="F19" i="54"/>
  <c r="F18" i="54"/>
  <c r="F17" i="54"/>
  <c r="F16" i="54"/>
  <c r="F15" i="54"/>
  <c r="F14" i="54"/>
  <c r="F13" i="54"/>
  <c r="F12" i="54"/>
  <c r="F11" i="54"/>
  <c r="F10" i="54"/>
  <c r="F9" i="54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D78" i="197"/>
  <c r="C78" i="197"/>
  <c r="E81" i="197" s="1"/>
  <c r="F76" i="197"/>
  <c r="F75" i="197"/>
  <c r="F74" i="197"/>
  <c r="F73" i="197"/>
  <c r="F72" i="197"/>
  <c r="F71" i="197"/>
  <c r="F70" i="197"/>
  <c r="F69" i="197"/>
  <c r="F68" i="197"/>
  <c r="F67" i="197"/>
  <c r="F66" i="197"/>
  <c r="F65" i="197"/>
  <c r="F64" i="197"/>
  <c r="F63" i="197"/>
  <c r="F62" i="197"/>
  <c r="F61" i="197"/>
  <c r="F60" i="197"/>
  <c r="F59" i="197"/>
  <c r="F58" i="197"/>
  <c r="F57" i="197"/>
  <c r="F56" i="197"/>
  <c r="F55" i="197"/>
  <c r="F54" i="197"/>
  <c r="F53" i="197"/>
  <c r="F52" i="197"/>
  <c r="F51" i="197"/>
  <c r="F50" i="197"/>
  <c r="F49" i="197"/>
  <c r="F48" i="197"/>
  <c r="F47" i="197"/>
  <c r="F46" i="197"/>
  <c r="F45" i="197"/>
  <c r="F44" i="197"/>
  <c r="F43" i="197"/>
  <c r="F42" i="197"/>
  <c r="F41" i="197"/>
  <c r="F40" i="197"/>
  <c r="F39" i="197"/>
  <c r="F38" i="197"/>
  <c r="F37" i="197"/>
  <c r="F36" i="197"/>
  <c r="F35" i="197"/>
  <c r="F34" i="197"/>
  <c r="F33" i="197"/>
  <c r="F32" i="197"/>
  <c r="F31" i="197"/>
  <c r="F29" i="197"/>
  <c r="F28" i="197"/>
  <c r="F27" i="197"/>
  <c r="F26" i="197"/>
  <c r="F25" i="197"/>
  <c r="F24" i="197"/>
  <c r="F23" i="197"/>
  <c r="F22" i="197"/>
  <c r="F21" i="197"/>
  <c r="F20" i="197"/>
  <c r="F19" i="197"/>
  <c r="F18" i="197"/>
  <c r="F17" i="197"/>
  <c r="F16" i="197"/>
  <c r="F15" i="197"/>
  <c r="F14" i="197"/>
  <c r="F13" i="197"/>
  <c r="F12" i="197"/>
  <c r="F11" i="197"/>
  <c r="F10" i="197"/>
  <c r="I9" i="197"/>
  <c r="B10" i="197"/>
  <c r="B11" i="197" s="1"/>
  <c r="B12" i="197" s="1"/>
  <c r="B13" i="197" s="1"/>
  <c r="B14" i="197" s="1"/>
  <c r="B15" i="197" s="1"/>
  <c r="B16" i="197" s="1"/>
  <c r="B17" i="197" s="1"/>
  <c r="B18" i="197" s="1"/>
  <c r="B19" i="197" s="1"/>
  <c r="B20" i="197" s="1"/>
  <c r="B21" i="197" s="1"/>
  <c r="B22" i="197" s="1"/>
  <c r="B23" i="197" s="1"/>
  <c r="B24" i="197" s="1"/>
  <c r="B25" i="197" s="1"/>
  <c r="B26" i="197" s="1"/>
  <c r="B27" i="197" s="1"/>
  <c r="B28" i="197" s="1"/>
  <c r="B29" i="197" s="1"/>
  <c r="B30" i="197" s="1"/>
  <c r="B31" i="197" s="1"/>
  <c r="B32" i="197" s="1"/>
  <c r="B33" i="197" s="1"/>
  <c r="B34" i="197" s="1"/>
  <c r="B35" i="197" s="1"/>
  <c r="B36" i="197" s="1"/>
  <c r="B37" i="197" s="1"/>
  <c r="B38" i="197" s="1"/>
  <c r="B39" i="197" s="1"/>
  <c r="B40" i="197" s="1"/>
  <c r="B41" i="197" s="1"/>
  <c r="B42" i="197" s="1"/>
  <c r="B43" i="197" s="1"/>
  <c r="B44" i="197" s="1"/>
  <c r="B45" i="197" s="1"/>
  <c r="B46" i="197" s="1"/>
  <c r="B47" i="197" s="1"/>
  <c r="B48" i="197" s="1"/>
  <c r="B49" i="197" s="1"/>
  <c r="B50" i="197" s="1"/>
  <c r="B51" i="197" s="1"/>
  <c r="B52" i="197" s="1"/>
  <c r="B53" i="197" s="1"/>
  <c r="B54" i="197" s="1"/>
  <c r="B55" i="197" s="1"/>
  <c r="B56" i="197" s="1"/>
  <c r="B57" i="197" s="1"/>
  <c r="B58" i="197" s="1"/>
  <c r="B59" i="197" s="1"/>
  <c r="B60" i="197" s="1"/>
  <c r="B61" i="197" s="1"/>
  <c r="B62" i="197" s="1"/>
  <c r="B63" i="197" s="1"/>
  <c r="B64" i="197" s="1"/>
  <c r="B65" i="197" s="1"/>
  <c r="B66" i="197" s="1"/>
  <c r="B67" i="197" s="1"/>
  <c r="B68" i="197" s="1"/>
  <c r="B69" i="197" s="1"/>
  <c r="B70" i="197" s="1"/>
  <c r="B71" i="197" s="1"/>
  <c r="B72" i="197" s="1"/>
  <c r="B73" i="197" s="1"/>
  <c r="B74" i="197" s="1"/>
  <c r="B75" i="197" s="1"/>
  <c r="N48" i="57"/>
  <c r="M48" i="57"/>
  <c r="O51" i="57" s="1"/>
  <c r="S46" i="57"/>
  <c r="P46" i="57"/>
  <c r="P45" i="57"/>
  <c r="P44" i="57"/>
  <c r="P43" i="57"/>
  <c r="P42" i="57"/>
  <c r="P41" i="57"/>
  <c r="P40" i="57"/>
  <c r="P39" i="57"/>
  <c r="P38" i="57"/>
  <c r="P37" i="57"/>
  <c r="P36" i="57"/>
  <c r="P35" i="57"/>
  <c r="P34" i="57"/>
  <c r="P33" i="57"/>
  <c r="P32" i="57"/>
  <c r="P31" i="57"/>
  <c r="P30" i="57"/>
  <c r="P29" i="57"/>
  <c r="P28" i="57"/>
  <c r="P27" i="57"/>
  <c r="P26" i="57"/>
  <c r="P25" i="57"/>
  <c r="P24" i="57"/>
  <c r="P23" i="57"/>
  <c r="P22" i="57"/>
  <c r="P21" i="57"/>
  <c r="P20" i="57"/>
  <c r="P19" i="57"/>
  <c r="P18" i="57"/>
  <c r="P16" i="57"/>
  <c r="P15" i="57"/>
  <c r="P14" i="57"/>
  <c r="P13" i="57"/>
  <c r="P12" i="57"/>
  <c r="P11" i="57"/>
  <c r="P10" i="57"/>
  <c r="P9" i="57"/>
  <c r="L9" i="57"/>
  <c r="L10" i="57" s="1"/>
  <c r="L11" i="57" s="1"/>
  <c r="L12" i="57" s="1"/>
  <c r="L13" i="57" s="1"/>
  <c r="L14" i="57" s="1"/>
  <c r="L15" i="57" s="1"/>
  <c r="L16" i="57" s="1"/>
  <c r="L17" i="57" s="1"/>
  <c r="L18" i="57" s="1"/>
  <c r="L19" i="57" s="1"/>
  <c r="L20" i="57" s="1"/>
  <c r="L21" i="57" s="1"/>
  <c r="L22" i="57" s="1"/>
  <c r="L23" i="57" s="1"/>
  <c r="L24" i="57" s="1"/>
  <c r="L25" i="57" s="1"/>
  <c r="L26" i="57" s="1"/>
  <c r="L27" i="57" s="1"/>
  <c r="L28" i="57" s="1"/>
  <c r="L29" i="57" s="1"/>
  <c r="L30" i="57" s="1"/>
  <c r="L31" i="57" s="1"/>
  <c r="L32" i="57" s="1"/>
  <c r="L33" i="57" s="1"/>
  <c r="L34" i="57" s="1"/>
  <c r="L35" i="57" s="1"/>
  <c r="L36" i="57" s="1"/>
  <c r="L37" i="57" s="1"/>
  <c r="L38" i="57" s="1"/>
  <c r="L39" i="57" s="1"/>
  <c r="L40" i="57" s="1"/>
  <c r="L41" i="57" s="1"/>
  <c r="L42" i="57" s="1"/>
  <c r="L43" i="57" s="1"/>
  <c r="L44" i="57" s="1"/>
  <c r="L45" i="57" s="1"/>
  <c r="C115" i="40"/>
  <c r="E118" i="40" s="1"/>
  <c r="D114" i="40"/>
  <c r="F114" i="40" s="1"/>
  <c r="K114" i="40" s="1"/>
  <c r="D113" i="40"/>
  <c r="F113" i="40" s="1"/>
  <c r="K113" i="40" s="1"/>
  <c r="A113" i="40"/>
  <c r="D112" i="40"/>
  <c r="F112" i="40" s="1"/>
  <c r="K112" i="40" s="1"/>
  <c r="D111" i="40"/>
  <c r="F111" i="40" s="1"/>
  <c r="K111" i="40" s="1"/>
  <c r="D110" i="40"/>
  <c r="F110" i="40" s="1"/>
  <c r="K110" i="40" s="1"/>
  <c r="D109" i="40"/>
  <c r="F109" i="40" s="1"/>
  <c r="K109" i="40" s="1"/>
  <c r="D108" i="40"/>
  <c r="F108" i="40" s="1"/>
  <c r="K108" i="40" s="1"/>
  <c r="D107" i="40"/>
  <c r="F107" i="40" s="1"/>
  <c r="K107" i="40" s="1"/>
  <c r="D106" i="40"/>
  <c r="F106" i="40" s="1"/>
  <c r="K106" i="40" s="1"/>
  <c r="D105" i="40"/>
  <c r="F105" i="40" s="1"/>
  <c r="K105" i="40" s="1"/>
  <c r="F104" i="40"/>
  <c r="K104" i="40" s="1"/>
  <c r="D104" i="40"/>
  <c r="D103" i="40"/>
  <c r="F103" i="40" s="1"/>
  <c r="K103" i="40" s="1"/>
  <c r="D102" i="40"/>
  <c r="F102" i="40" s="1"/>
  <c r="K102" i="40" s="1"/>
  <c r="D101" i="40"/>
  <c r="F101" i="40" s="1"/>
  <c r="K101" i="40" s="1"/>
  <c r="F100" i="40"/>
  <c r="K100" i="40" s="1"/>
  <c r="D100" i="40"/>
  <c r="D99" i="40"/>
  <c r="F99" i="40" s="1"/>
  <c r="K99" i="40" s="1"/>
  <c r="D98" i="40"/>
  <c r="F98" i="40" s="1"/>
  <c r="K98" i="40" s="1"/>
  <c r="D97" i="40"/>
  <c r="F97" i="40" s="1"/>
  <c r="K97" i="40" s="1"/>
  <c r="D96" i="40"/>
  <c r="F96" i="40" s="1"/>
  <c r="K96" i="40" s="1"/>
  <c r="D95" i="40"/>
  <c r="F95" i="40" s="1"/>
  <c r="K95" i="40" s="1"/>
  <c r="D94" i="40"/>
  <c r="F94" i="40" s="1"/>
  <c r="K94" i="40" s="1"/>
  <c r="D93" i="40"/>
  <c r="F93" i="40" s="1"/>
  <c r="K93" i="40" s="1"/>
  <c r="D92" i="40"/>
  <c r="F92" i="40" s="1"/>
  <c r="K92" i="40" s="1"/>
  <c r="D91" i="40"/>
  <c r="F91" i="40" s="1"/>
  <c r="K91" i="40" s="1"/>
  <c r="D90" i="40"/>
  <c r="F90" i="40" s="1"/>
  <c r="K90" i="40" s="1"/>
  <c r="D89" i="40"/>
  <c r="F89" i="40" s="1"/>
  <c r="K89" i="40" s="1"/>
  <c r="F88" i="40"/>
  <c r="K88" i="40" s="1"/>
  <c r="D88" i="40"/>
  <c r="D87" i="40"/>
  <c r="F87" i="40" s="1"/>
  <c r="K87" i="40" s="1"/>
  <c r="D86" i="40"/>
  <c r="F86" i="40" s="1"/>
  <c r="K86" i="40" s="1"/>
  <c r="D85" i="40"/>
  <c r="F85" i="40" s="1"/>
  <c r="K85" i="40" s="1"/>
  <c r="F84" i="40"/>
  <c r="K84" i="40" s="1"/>
  <c r="D84" i="40"/>
  <c r="D83" i="40"/>
  <c r="F83" i="40" s="1"/>
  <c r="K83" i="40" s="1"/>
  <c r="D82" i="40"/>
  <c r="F82" i="40" s="1"/>
  <c r="K82" i="40" s="1"/>
  <c r="D81" i="40"/>
  <c r="F81" i="40" s="1"/>
  <c r="K81" i="40" s="1"/>
  <c r="D80" i="40"/>
  <c r="F80" i="40" s="1"/>
  <c r="K80" i="40" s="1"/>
  <c r="D79" i="40"/>
  <c r="F79" i="40" s="1"/>
  <c r="K79" i="40" s="1"/>
  <c r="D78" i="40"/>
  <c r="F78" i="40" s="1"/>
  <c r="K78" i="40" s="1"/>
  <c r="D77" i="40"/>
  <c r="F77" i="40" s="1"/>
  <c r="K77" i="40" s="1"/>
  <c r="D76" i="40"/>
  <c r="F76" i="40" s="1"/>
  <c r="K76" i="40" s="1"/>
  <c r="D75" i="40"/>
  <c r="F75" i="40" s="1"/>
  <c r="K75" i="40" s="1"/>
  <c r="D74" i="40"/>
  <c r="F74" i="40" s="1"/>
  <c r="K74" i="40" s="1"/>
  <c r="D73" i="40"/>
  <c r="F73" i="40" s="1"/>
  <c r="K73" i="40" s="1"/>
  <c r="D72" i="40"/>
  <c r="F72" i="40" s="1"/>
  <c r="K72" i="40" s="1"/>
  <c r="D71" i="40"/>
  <c r="F71" i="40" s="1"/>
  <c r="K71" i="40" s="1"/>
  <c r="D70" i="40"/>
  <c r="F70" i="40" s="1"/>
  <c r="K70" i="40" s="1"/>
  <c r="D69" i="40"/>
  <c r="F69" i="40" s="1"/>
  <c r="K69" i="40" s="1"/>
  <c r="D68" i="40"/>
  <c r="F68" i="40" s="1"/>
  <c r="K68" i="40" s="1"/>
  <c r="D67" i="40"/>
  <c r="F67" i="40" s="1"/>
  <c r="K67" i="40" s="1"/>
  <c r="D66" i="40"/>
  <c r="F66" i="40" s="1"/>
  <c r="K66" i="40" s="1"/>
  <c r="D65" i="40"/>
  <c r="F65" i="40" s="1"/>
  <c r="K65" i="40" s="1"/>
  <c r="D64" i="40"/>
  <c r="F64" i="40" s="1"/>
  <c r="K64" i="40" s="1"/>
  <c r="D63" i="40"/>
  <c r="F63" i="40" s="1"/>
  <c r="K63" i="40" s="1"/>
  <c r="D62" i="40"/>
  <c r="F62" i="40" s="1"/>
  <c r="K62" i="40" s="1"/>
  <c r="D61" i="40"/>
  <c r="F61" i="40" s="1"/>
  <c r="K61" i="40" s="1"/>
  <c r="D60" i="40"/>
  <c r="F60" i="40" s="1"/>
  <c r="K60" i="40" s="1"/>
  <c r="D59" i="40"/>
  <c r="F59" i="40" s="1"/>
  <c r="K59" i="40" s="1"/>
  <c r="D58" i="40"/>
  <c r="F58" i="40" s="1"/>
  <c r="K58" i="40" s="1"/>
  <c r="D57" i="40"/>
  <c r="F57" i="40" s="1"/>
  <c r="K57" i="40" s="1"/>
  <c r="D56" i="40"/>
  <c r="F56" i="40" s="1"/>
  <c r="K56" i="40" s="1"/>
  <c r="D55" i="40"/>
  <c r="F55" i="40" s="1"/>
  <c r="K55" i="40" s="1"/>
  <c r="D54" i="40"/>
  <c r="F54" i="40" s="1"/>
  <c r="K54" i="40" s="1"/>
  <c r="D53" i="40"/>
  <c r="F53" i="40" s="1"/>
  <c r="K53" i="40" s="1"/>
  <c r="D52" i="40"/>
  <c r="F52" i="40" s="1"/>
  <c r="K52" i="40" s="1"/>
  <c r="D51" i="40"/>
  <c r="F51" i="40" s="1"/>
  <c r="K51" i="40" s="1"/>
  <c r="D50" i="40"/>
  <c r="F50" i="40" s="1"/>
  <c r="K50" i="40" s="1"/>
  <c r="D49" i="40"/>
  <c r="F49" i="40" s="1"/>
  <c r="K49" i="40" s="1"/>
  <c r="D48" i="40"/>
  <c r="F48" i="40" s="1"/>
  <c r="K48" i="40" s="1"/>
  <c r="D47" i="40"/>
  <c r="F47" i="40" s="1"/>
  <c r="K47" i="40" s="1"/>
  <c r="D46" i="40"/>
  <c r="F46" i="40" s="1"/>
  <c r="K46" i="40" s="1"/>
  <c r="D45" i="40"/>
  <c r="F45" i="40" s="1"/>
  <c r="K45" i="40" s="1"/>
  <c r="D44" i="40"/>
  <c r="F44" i="40" s="1"/>
  <c r="K44" i="40" s="1"/>
  <c r="D43" i="40"/>
  <c r="F43" i="40" s="1"/>
  <c r="K43" i="40" s="1"/>
  <c r="D42" i="40"/>
  <c r="F42" i="40" s="1"/>
  <c r="K42" i="40" s="1"/>
  <c r="D41" i="40"/>
  <c r="F41" i="40" s="1"/>
  <c r="K41" i="40" s="1"/>
  <c r="D40" i="40"/>
  <c r="F40" i="40" s="1"/>
  <c r="K40" i="40" s="1"/>
  <c r="D39" i="40"/>
  <c r="F39" i="40" s="1"/>
  <c r="K39" i="40" s="1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K14" i="40" s="1"/>
  <c r="D13" i="40"/>
  <c r="F13" i="40" s="1"/>
  <c r="K13" i="40" s="1"/>
  <c r="D12" i="40"/>
  <c r="F12" i="40" s="1"/>
  <c r="K12" i="40" s="1"/>
  <c r="D11" i="40"/>
  <c r="F11" i="40" s="1"/>
  <c r="K11" i="40" s="1"/>
  <c r="D10" i="40"/>
  <c r="F10" i="40" s="1"/>
  <c r="K10" i="40" s="1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J61" i="40" s="1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J92" i="40" s="1"/>
  <c r="J93" i="40" s="1"/>
  <c r="J94" i="40" s="1"/>
  <c r="J95" i="40" s="1"/>
  <c r="J96" i="40" s="1"/>
  <c r="J97" i="40" s="1"/>
  <c r="J98" i="40" s="1"/>
  <c r="J99" i="40" s="1"/>
  <c r="J100" i="40" s="1"/>
  <c r="J101" i="40" s="1"/>
  <c r="J102" i="40" s="1"/>
  <c r="J103" i="40" s="1"/>
  <c r="J104" i="40" s="1"/>
  <c r="J105" i="40" s="1"/>
  <c r="J106" i="40" s="1"/>
  <c r="J107" i="40" s="1"/>
  <c r="J108" i="40" s="1"/>
  <c r="J109" i="40" s="1"/>
  <c r="J110" i="40" s="1"/>
  <c r="J111" i="40" s="1"/>
  <c r="J112" i="40" s="1"/>
  <c r="J113" i="40" s="1"/>
  <c r="AF10" i="117"/>
  <c r="AF11" i="117" s="1"/>
  <c r="AF12" i="117" s="1"/>
  <c r="AF13" i="117" s="1"/>
  <c r="AF14" i="117" s="1"/>
  <c r="AF15" i="117" s="1"/>
  <c r="AF16" i="117" s="1"/>
  <c r="AF17" i="117" s="1"/>
  <c r="AF18" i="117" s="1"/>
  <c r="AF19" i="117" s="1"/>
  <c r="AF20" i="117" s="1"/>
  <c r="AF21" i="117" s="1"/>
  <c r="AF22" i="117" s="1"/>
  <c r="AF23" i="117" s="1"/>
  <c r="AF24" i="117" s="1"/>
  <c r="AF25" i="117" s="1"/>
  <c r="AF26" i="117" s="1"/>
  <c r="AF27" i="117" s="1"/>
  <c r="AF28" i="117" s="1"/>
  <c r="AF29" i="117" s="1"/>
  <c r="AF30" i="117" s="1"/>
  <c r="AF31" i="117" s="1"/>
  <c r="AF32" i="117" s="1"/>
  <c r="AF33" i="117" s="1"/>
  <c r="AF34" i="117" s="1"/>
  <c r="AF35" i="117" s="1"/>
  <c r="AF36" i="117" s="1"/>
  <c r="AF37" i="117" s="1"/>
  <c r="AF38" i="117" s="1"/>
  <c r="AF39" i="117" s="1"/>
  <c r="AF40" i="117" s="1"/>
  <c r="AF41" i="117" s="1"/>
  <c r="AF42" i="117" s="1"/>
  <c r="AF43" i="117" s="1"/>
  <c r="AF44" i="117" s="1"/>
  <c r="AF45" i="117" s="1"/>
  <c r="AF46" i="117" s="1"/>
  <c r="AF47" i="117" s="1"/>
  <c r="AF48" i="117" s="1"/>
  <c r="AF49" i="117" s="1"/>
  <c r="AF50" i="117" s="1"/>
  <c r="AF51" i="117" s="1"/>
  <c r="AF52" i="117" s="1"/>
  <c r="AF53" i="117" s="1"/>
  <c r="AF54" i="117" s="1"/>
  <c r="AF55" i="117" s="1"/>
  <c r="AF56" i="117" s="1"/>
  <c r="AF57" i="117" s="1"/>
  <c r="AF58" i="117" s="1"/>
  <c r="AF59" i="117" s="1"/>
  <c r="AF60" i="117" s="1"/>
  <c r="AF61" i="117" s="1"/>
  <c r="AF62" i="117" s="1"/>
  <c r="AF63" i="117" s="1"/>
  <c r="AF64" i="117" s="1"/>
  <c r="AF65" i="117" s="1"/>
  <c r="AF66" i="117" s="1"/>
  <c r="AF67" i="117" s="1"/>
  <c r="AF68" i="117" s="1"/>
  <c r="AF69" i="117" s="1"/>
  <c r="AF70" i="117" s="1"/>
  <c r="AF71" i="117" s="1"/>
  <c r="AF72" i="117" s="1"/>
  <c r="AF73" i="117" s="1"/>
  <c r="AF74" i="117" s="1"/>
  <c r="AF75" i="117" s="1"/>
  <c r="AF76" i="117" s="1"/>
  <c r="AF77" i="117" s="1"/>
  <c r="AF78" i="117" s="1"/>
  <c r="AF79" i="117" s="1"/>
  <c r="AF80" i="117" s="1"/>
  <c r="AF81" i="117" s="1"/>
  <c r="AF82" i="117" s="1"/>
  <c r="AF83" i="117" s="1"/>
  <c r="AF84" i="117" s="1"/>
  <c r="AF85" i="117" s="1"/>
  <c r="AF86" i="117" s="1"/>
  <c r="AF87" i="117" s="1"/>
  <c r="AF88" i="117" s="1"/>
  <c r="AF89" i="117" s="1"/>
  <c r="AF90" i="117" s="1"/>
  <c r="AF91" i="117" s="1"/>
  <c r="Y102" i="117"/>
  <c r="AA103" i="117" s="1"/>
  <c r="AB101" i="117"/>
  <c r="AB91" i="117"/>
  <c r="AB68" i="117"/>
  <c r="AB67" i="117"/>
  <c r="AB66" i="117"/>
  <c r="AB65" i="117"/>
  <c r="AB64" i="117"/>
  <c r="AB63" i="117"/>
  <c r="AB62" i="117"/>
  <c r="AB61" i="117"/>
  <c r="AB60" i="117"/>
  <c r="AB59" i="117"/>
  <c r="AB58" i="117"/>
  <c r="AB57" i="117"/>
  <c r="AB56" i="117"/>
  <c r="AB55" i="117"/>
  <c r="AB54" i="117"/>
  <c r="AB53" i="117"/>
  <c r="AB52" i="117"/>
  <c r="AB51" i="117"/>
  <c r="AB50" i="117"/>
  <c r="AB49" i="117"/>
  <c r="AB48" i="117"/>
  <c r="AB47" i="117"/>
  <c r="AB46" i="117"/>
  <c r="AB45" i="117"/>
  <c r="AB44" i="117"/>
  <c r="AB43" i="117"/>
  <c r="AB42" i="117"/>
  <c r="AB41" i="117"/>
  <c r="AB40" i="117"/>
  <c r="AB39" i="117"/>
  <c r="AB38" i="117"/>
  <c r="AB37" i="117"/>
  <c r="AB36" i="117"/>
  <c r="AB35" i="117"/>
  <c r="AB34" i="117"/>
  <c r="AB33" i="117"/>
  <c r="AB32" i="117"/>
  <c r="AB31" i="117"/>
  <c r="AB30" i="117"/>
  <c r="AB29" i="117"/>
  <c r="AB28" i="117"/>
  <c r="AB27" i="117"/>
  <c r="AB26" i="117"/>
  <c r="AB25" i="117"/>
  <c r="AB24" i="117"/>
  <c r="AB23" i="117"/>
  <c r="AB22" i="117"/>
  <c r="AB21" i="117"/>
  <c r="AB20" i="117"/>
  <c r="AB19" i="117"/>
  <c r="AB18" i="117"/>
  <c r="AB17" i="117"/>
  <c r="AB16" i="117"/>
  <c r="AB15" i="117"/>
  <c r="AB14" i="117"/>
  <c r="AB13" i="117"/>
  <c r="AB12" i="117"/>
  <c r="AB11" i="117"/>
  <c r="AB10" i="117"/>
  <c r="C38" i="205"/>
  <c r="D40" i="205" s="1"/>
  <c r="F28" i="205"/>
  <c r="I28" i="205" s="1"/>
  <c r="F27" i="205"/>
  <c r="I27" i="205" s="1"/>
  <c r="F26" i="205"/>
  <c r="I26" i="205" s="1"/>
  <c r="F25" i="205"/>
  <c r="I25" i="205" s="1"/>
  <c r="F24" i="205"/>
  <c r="I24" i="205" s="1"/>
  <c r="F23" i="205"/>
  <c r="I23" i="205" s="1"/>
  <c r="F22" i="205"/>
  <c r="I22" i="205" s="1"/>
  <c r="F21" i="205"/>
  <c r="I21" i="205" s="1"/>
  <c r="F20" i="205"/>
  <c r="I20" i="205" s="1"/>
  <c r="F19" i="205"/>
  <c r="I19" i="205" s="1"/>
  <c r="F18" i="205"/>
  <c r="I18" i="205" s="1"/>
  <c r="F17" i="205"/>
  <c r="I17" i="205" s="1"/>
  <c r="F16" i="205"/>
  <c r="I16" i="205" s="1"/>
  <c r="F15" i="205"/>
  <c r="I15" i="205" s="1"/>
  <c r="F14" i="205"/>
  <c r="I14" i="205" s="1"/>
  <c r="F13" i="205"/>
  <c r="I13" i="205" s="1"/>
  <c r="F12" i="205"/>
  <c r="I12" i="205" s="1"/>
  <c r="F11" i="205"/>
  <c r="I11" i="205" s="1"/>
  <c r="I10" i="205"/>
  <c r="J9" i="205"/>
  <c r="J10" i="205" s="1"/>
  <c r="B10" i="205"/>
  <c r="B11" i="205" s="1"/>
  <c r="B12" i="205" s="1"/>
  <c r="B13" i="205" s="1"/>
  <c r="B14" i="205" s="1"/>
  <c r="B15" i="205" s="1"/>
  <c r="B16" i="205" s="1"/>
  <c r="B17" i="205" s="1"/>
  <c r="B18" i="205" s="1"/>
  <c r="B19" i="205" s="1"/>
  <c r="B20" i="205" s="1"/>
  <c r="B21" i="205" s="1"/>
  <c r="B22" i="205" s="1"/>
  <c r="B23" i="205" s="1"/>
  <c r="B24" i="205" s="1"/>
  <c r="B25" i="205" s="1"/>
  <c r="B26" i="205" s="1"/>
  <c r="B27" i="205" s="1"/>
  <c r="B28" i="205" s="1"/>
  <c r="B29" i="205" l="1"/>
  <c r="B30" i="205" s="1"/>
  <c r="B31" i="205" s="1"/>
  <c r="B32" i="205" s="1"/>
  <c r="B33" i="205" s="1"/>
  <c r="B34" i="205" s="1"/>
  <c r="B35" i="205" s="1"/>
  <c r="B36" i="205" s="1"/>
  <c r="B37" i="205" s="1"/>
  <c r="D37" i="205" s="1"/>
  <c r="D38" i="205" s="1"/>
  <c r="P48" i="57"/>
  <c r="O53" i="57" s="1"/>
  <c r="E112" i="65"/>
  <c r="D115" i="40"/>
  <c r="AB102" i="117"/>
  <c r="AC5" i="117" s="1"/>
  <c r="AD5" i="117" s="1"/>
  <c r="F68" i="54"/>
  <c r="G5" i="54" s="1"/>
  <c r="H5" i="54" s="1"/>
  <c r="I9" i="54"/>
  <c r="I10" i="54" s="1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67" i="54" s="1"/>
  <c r="J11" i="205"/>
  <c r="J12" i="205" s="1"/>
  <c r="J13" i="205" s="1"/>
  <c r="J14" i="205" s="1"/>
  <c r="J15" i="205" s="1"/>
  <c r="J16" i="205" s="1"/>
  <c r="J17" i="205" s="1"/>
  <c r="J18" i="205" s="1"/>
  <c r="J19" i="205" s="1"/>
  <c r="J20" i="205" s="1"/>
  <c r="J21" i="205" s="1"/>
  <c r="J22" i="205" s="1"/>
  <c r="J23" i="205" s="1"/>
  <c r="J24" i="205" s="1"/>
  <c r="J25" i="205" s="1"/>
  <c r="J26" i="205" s="1"/>
  <c r="J27" i="205" s="1"/>
  <c r="J28" i="205" s="1"/>
  <c r="J29" i="205" s="1"/>
  <c r="J30" i="205" s="1"/>
  <c r="J31" i="205" s="1"/>
  <c r="J32" i="205" s="1"/>
  <c r="J33" i="205" s="1"/>
  <c r="J34" i="205" s="1"/>
  <c r="J35" i="205" s="1"/>
  <c r="J36" i="205" s="1"/>
  <c r="I10" i="197"/>
  <c r="I11" i="197" s="1"/>
  <c r="I12" i="197" s="1"/>
  <c r="I13" i="197" s="1"/>
  <c r="I14" i="197" s="1"/>
  <c r="I15" i="197" s="1"/>
  <c r="I16" i="197" s="1"/>
  <c r="I17" i="197" s="1"/>
  <c r="I18" i="197" s="1"/>
  <c r="I19" i="197" s="1"/>
  <c r="I20" i="197" s="1"/>
  <c r="I21" i="197" s="1"/>
  <c r="I22" i="197" s="1"/>
  <c r="I23" i="197" s="1"/>
  <c r="I24" i="197" s="1"/>
  <c r="I25" i="197" s="1"/>
  <c r="I26" i="197" s="1"/>
  <c r="I27" i="197" s="1"/>
  <c r="I28" i="197" s="1"/>
  <c r="I29" i="197" s="1"/>
  <c r="I30" i="197" s="1"/>
  <c r="I31" i="197" s="1"/>
  <c r="I32" i="197" s="1"/>
  <c r="I33" i="197" s="1"/>
  <c r="I34" i="197" s="1"/>
  <c r="I35" i="197" s="1"/>
  <c r="I36" i="197" s="1"/>
  <c r="I37" i="197" s="1"/>
  <c r="I38" i="197" s="1"/>
  <c r="I39" i="197" s="1"/>
  <c r="I40" i="197" s="1"/>
  <c r="I41" i="197" s="1"/>
  <c r="I42" i="197" s="1"/>
  <c r="I43" i="197" s="1"/>
  <c r="I44" i="197" s="1"/>
  <c r="I45" i="197" s="1"/>
  <c r="I46" i="197" s="1"/>
  <c r="I47" i="197" s="1"/>
  <c r="I48" i="197" s="1"/>
  <c r="I49" i="197" s="1"/>
  <c r="I50" i="197" s="1"/>
  <c r="I51" i="197" s="1"/>
  <c r="I52" i="197" s="1"/>
  <c r="I53" i="197" s="1"/>
  <c r="I54" i="197" s="1"/>
  <c r="I55" i="197" s="1"/>
  <c r="I56" i="197" s="1"/>
  <c r="I57" i="197" s="1"/>
  <c r="I58" i="197" s="1"/>
  <c r="I59" i="197" s="1"/>
  <c r="I60" i="197" s="1"/>
  <c r="I61" i="197" s="1"/>
  <c r="I62" i="197" s="1"/>
  <c r="I63" i="197" s="1"/>
  <c r="I64" i="197" s="1"/>
  <c r="I65" i="197" s="1"/>
  <c r="I66" i="197" s="1"/>
  <c r="I67" i="197" s="1"/>
  <c r="I68" i="197" s="1"/>
  <c r="I69" i="197" s="1"/>
  <c r="I70" i="197" s="1"/>
  <c r="I71" i="197" s="1"/>
  <c r="I72" i="197" s="1"/>
  <c r="I73" i="197" s="1"/>
  <c r="I74" i="197" s="1"/>
  <c r="I75" i="197" s="1"/>
  <c r="I76" i="197" s="1"/>
  <c r="F78" i="197"/>
  <c r="S9" i="57"/>
  <c r="S10" i="57" s="1"/>
  <c r="S11" i="57" s="1"/>
  <c r="S12" i="57" s="1"/>
  <c r="S13" i="57" s="1"/>
  <c r="S14" i="57" s="1"/>
  <c r="S15" i="57" s="1"/>
  <c r="S16" i="57" s="1"/>
  <c r="S17" i="57" s="1"/>
  <c r="S18" i="57" s="1"/>
  <c r="S19" i="57" s="1"/>
  <c r="S20" i="57" s="1"/>
  <c r="S21" i="57" s="1"/>
  <c r="S22" i="57" s="1"/>
  <c r="S23" i="57" s="1"/>
  <c r="S24" i="57" s="1"/>
  <c r="S25" i="57" s="1"/>
  <c r="S26" i="57" s="1"/>
  <c r="S27" i="57" s="1"/>
  <c r="S28" i="57" s="1"/>
  <c r="S29" i="57" s="1"/>
  <c r="S30" i="57" s="1"/>
  <c r="S31" i="57" s="1"/>
  <c r="S32" i="57" s="1"/>
  <c r="S33" i="57" s="1"/>
  <c r="S34" i="57" s="1"/>
  <c r="S35" i="57" s="1"/>
  <c r="S36" i="57" s="1"/>
  <c r="S37" i="57" s="1"/>
  <c r="S38" i="57" s="1"/>
  <c r="S39" i="57" s="1"/>
  <c r="S40" i="57" s="1"/>
  <c r="S41" i="57" s="1"/>
  <c r="S42" i="57" s="1"/>
  <c r="S43" i="57" s="1"/>
  <c r="S44" i="57" s="1"/>
  <c r="S45" i="57" s="1"/>
  <c r="AE10" i="117"/>
  <c r="AE11" i="117" s="1"/>
  <c r="AE12" i="117" s="1"/>
  <c r="AE13" i="117" s="1"/>
  <c r="AE14" i="117" s="1"/>
  <c r="AE15" i="117" s="1"/>
  <c r="AE16" i="117" s="1"/>
  <c r="AE17" i="117" s="1"/>
  <c r="AE18" i="117" s="1"/>
  <c r="AE19" i="117" s="1"/>
  <c r="AE20" i="117" s="1"/>
  <c r="AE21" i="117" s="1"/>
  <c r="AE22" i="117" s="1"/>
  <c r="AE23" i="117" s="1"/>
  <c r="AE24" i="117" s="1"/>
  <c r="AE25" i="117" s="1"/>
  <c r="AE26" i="117" s="1"/>
  <c r="AE27" i="117" s="1"/>
  <c r="AE28" i="117" s="1"/>
  <c r="AE29" i="117" s="1"/>
  <c r="AE30" i="117" s="1"/>
  <c r="AE31" i="117" s="1"/>
  <c r="AE32" i="117" s="1"/>
  <c r="AE33" i="117" s="1"/>
  <c r="AE34" i="117" s="1"/>
  <c r="AE35" i="117" s="1"/>
  <c r="AE36" i="117" s="1"/>
  <c r="AE37" i="117" s="1"/>
  <c r="AE38" i="117" s="1"/>
  <c r="AE39" i="117" s="1"/>
  <c r="AE40" i="117" s="1"/>
  <c r="AE41" i="117" s="1"/>
  <c r="AE42" i="117" s="1"/>
  <c r="AE43" i="117" s="1"/>
  <c r="AE44" i="117" s="1"/>
  <c r="AE45" i="117" s="1"/>
  <c r="AE46" i="117" s="1"/>
  <c r="AE47" i="117" s="1"/>
  <c r="AE48" i="117" s="1"/>
  <c r="AE49" i="117" s="1"/>
  <c r="AE50" i="117" s="1"/>
  <c r="AE51" i="117" s="1"/>
  <c r="AE52" i="117" s="1"/>
  <c r="AE53" i="117" s="1"/>
  <c r="AE54" i="117" s="1"/>
  <c r="AE55" i="117" s="1"/>
  <c r="AE56" i="117" s="1"/>
  <c r="AE57" i="117" s="1"/>
  <c r="AE58" i="117" s="1"/>
  <c r="AE59" i="117" s="1"/>
  <c r="AE60" i="117" s="1"/>
  <c r="AE61" i="117" s="1"/>
  <c r="AE62" i="117" s="1"/>
  <c r="AE63" i="117" s="1"/>
  <c r="AE64" i="117" s="1"/>
  <c r="AE65" i="117" s="1"/>
  <c r="AE66" i="117" s="1"/>
  <c r="AE67" i="117" s="1"/>
  <c r="AE68" i="117" s="1"/>
  <c r="AE69" i="117" s="1"/>
  <c r="AE70" i="117" s="1"/>
  <c r="AE71" i="117" s="1"/>
  <c r="AE72" i="117" s="1"/>
  <c r="AE73" i="117" s="1"/>
  <c r="AE74" i="117" s="1"/>
  <c r="AE75" i="117" s="1"/>
  <c r="AE76" i="117" s="1"/>
  <c r="AE77" i="117" s="1"/>
  <c r="AE78" i="117" s="1"/>
  <c r="AE79" i="117" s="1"/>
  <c r="AE80" i="117" s="1"/>
  <c r="AE81" i="117" s="1"/>
  <c r="AE82" i="117" s="1"/>
  <c r="AE83" i="117" s="1"/>
  <c r="AE84" i="117" s="1"/>
  <c r="AE85" i="117" s="1"/>
  <c r="AE86" i="117" s="1"/>
  <c r="AE87" i="117" s="1"/>
  <c r="AE88" i="117" s="1"/>
  <c r="AE89" i="117" s="1"/>
  <c r="AE90" i="117" s="1"/>
  <c r="AE91" i="117" s="1"/>
  <c r="I9" i="205"/>
  <c r="F37" i="205" l="1"/>
  <c r="I37" i="205" s="1"/>
  <c r="I38" i="205" s="1"/>
  <c r="Q6" i="57"/>
  <c r="R6" i="57" s="1"/>
  <c r="AA105" i="117"/>
  <c r="E73" i="54"/>
  <c r="E83" i="197"/>
  <c r="G6" i="197"/>
  <c r="H6" i="197" s="1"/>
  <c r="F115" i="40"/>
  <c r="K9" i="40"/>
  <c r="I9" i="40"/>
  <c r="I10" i="40" s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J37" i="205" l="1"/>
  <c r="F38" i="205"/>
  <c r="G5" i="205" s="1"/>
  <c r="H5" i="205" s="1"/>
  <c r="E120" i="40"/>
  <c r="G5" i="40"/>
  <c r="H5" i="40" s="1"/>
  <c r="B10" i="174"/>
  <c r="B11" i="174"/>
  <c r="B12" i="174" s="1"/>
  <c r="B13" i="174" s="1"/>
  <c r="B14" i="174" s="1"/>
  <c r="B15" i="174" s="1"/>
  <c r="B16" i="174" s="1"/>
  <c r="B17" i="174" s="1"/>
  <c r="B18" i="174" s="1"/>
  <c r="B19" i="174" s="1"/>
  <c r="B20" i="174" s="1"/>
  <c r="B21" i="174" s="1"/>
  <c r="B22" i="174" s="1"/>
  <c r="B23" i="174" s="1"/>
  <c r="B24" i="174" s="1"/>
  <c r="B25" i="174" s="1"/>
  <c r="B26" i="174" s="1"/>
  <c r="B9" i="174"/>
  <c r="B8" i="174"/>
  <c r="E41" i="205" l="1"/>
  <c r="F10" i="57"/>
  <c r="F69" i="117" l="1"/>
  <c r="F70" i="117"/>
  <c r="F71" i="117"/>
  <c r="F72" i="117"/>
  <c r="F73" i="117"/>
  <c r="F74" i="117"/>
  <c r="F75" i="117"/>
  <c r="F76" i="117"/>
  <c r="F77" i="117"/>
  <c r="F78" i="117"/>
  <c r="F79" i="117"/>
  <c r="F80" i="117"/>
  <c r="F81" i="117"/>
  <c r="F82" i="117"/>
  <c r="F83" i="117"/>
  <c r="F84" i="117"/>
  <c r="F85" i="117"/>
  <c r="F86" i="117"/>
  <c r="F87" i="117"/>
  <c r="F88" i="117"/>
  <c r="F89" i="117"/>
  <c r="F90" i="117"/>
  <c r="D78" i="188" l="1"/>
  <c r="C78" i="188"/>
  <c r="E81" i="188" s="1"/>
  <c r="F76" i="188"/>
  <c r="F75" i="188"/>
  <c r="F74" i="188"/>
  <c r="F73" i="188"/>
  <c r="F72" i="188"/>
  <c r="F71" i="188"/>
  <c r="F70" i="188"/>
  <c r="F69" i="188"/>
  <c r="F68" i="188"/>
  <c r="F67" i="188"/>
  <c r="F66" i="188"/>
  <c r="F65" i="188"/>
  <c r="F64" i="188"/>
  <c r="F63" i="188"/>
  <c r="F62" i="188"/>
  <c r="F61" i="188"/>
  <c r="F60" i="188"/>
  <c r="F59" i="188"/>
  <c r="F58" i="188"/>
  <c r="F57" i="188"/>
  <c r="F56" i="188"/>
  <c r="F55" i="188"/>
  <c r="F54" i="188"/>
  <c r="F53" i="188"/>
  <c r="F52" i="188"/>
  <c r="F51" i="188"/>
  <c r="F50" i="188"/>
  <c r="F49" i="188"/>
  <c r="F48" i="188"/>
  <c r="F47" i="188"/>
  <c r="F46" i="188"/>
  <c r="F45" i="188"/>
  <c r="F44" i="188"/>
  <c r="F43" i="188"/>
  <c r="F42" i="188"/>
  <c r="F41" i="188"/>
  <c r="F40" i="188"/>
  <c r="F39" i="188"/>
  <c r="F38" i="188"/>
  <c r="F37" i="188"/>
  <c r="F36" i="188"/>
  <c r="F35" i="188"/>
  <c r="F34" i="188"/>
  <c r="F33" i="188"/>
  <c r="F32" i="188"/>
  <c r="F31" i="188"/>
  <c r="F30" i="188"/>
  <c r="F29" i="188"/>
  <c r="F28" i="188"/>
  <c r="F27" i="188"/>
  <c r="F26" i="188"/>
  <c r="F25" i="188"/>
  <c r="F24" i="188"/>
  <c r="F23" i="188"/>
  <c r="F22" i="188"/>
  <c r="F21" i="188"/>
  <c r="F20" i="188"/>
  <c r="F19" i="188"/>
  <c r="F18" i="188"/>
  <c r="F17" i="188"/>
  <c r="F16" i="188"/>
  <c r="F15" i="188"/>
  <c r="F14" i="188"/>
  <c r="F13" i="188"/>
  <c r="F12" i="188"/>
  <c r="F11" i="188"/>
  <c r="F10" i="188"/>
  <c r="F9" i="188"/>
  <c r="I9" i="188" s="1"/>
  <c r="B9" i="188"/>
  <c r="B10" i="188" s="1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D48" i="57"/>
  <c r="C48" i="57"/>
  <c r="E51" i="57" s="1"/>
  <c r="F46" i="57"/>
  <c r="I46" i="57" s="1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6" i="57"/>
  <c r="F15" i="57"/>
  <c r="F14" i="57"/>
  <c r="F13" i="57"/>
  <c r="F12" i="57"/>
  <c r="F11" i="57"/>
  <c r="F9" i="57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F78" i="188" l="1"/>
  <c r="E83" i="188" s="1"/>
  <c r="I10" i="188"/>
  <c r="I11" i="188" s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F48" i="57"/>
  <c r="E53" i="57" s="1"/>
  <c r="I9" i="57"/>
  <c r="I10" i="57" s="1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G6" i="188" l="1"/>
  <c r="H6" i="188" s="1"/>
  <c r="G6" i="57"/>
  <c r="H6" i="57" s="1"/>
  <c r="I108" i="38" l="1"/>
  <c r="D32" i="180" l="1"/>
  <c r="F33" i="180" s="1"/>
  <c r="C32" i="180"/>
  <c r="F34" i="180" s="1"/>
  <c r="F28" i="180"/>
  <c r="F27" i="180"/>
  <c r="F26" i="180"/>
  <c r="F25" i="180"/>
  <c r="F24" i="180"/>
  <c r="F23" i="180"/>
  <c r="F22" i="180"/>
  <c r="F21" i="180"/>
  <c r="F20" i="180"/>
  <c r="F18" i="180"/>
  <c r="F17" i="180"/>
  <c r="F16" i="180"/>
  <c r="F15" i="180"/>
  <c r="F14" i="180"/>
  <c r="F13" i="180"/>
  <c r="F12" i="180"/>
  <c r="F11" i="180"/>
  <c r="F10" i="180"/>
  <c r="F9" i="180"/>
  <c r="F8" i="180"/>
  <c r="B8" i="180"/>
  <c r="B9" i="180" s="1"/>
  <c r="B10" i="180" s="1"/>
  <c r="B11" i="180" s="1"/>
  <c r="B12" i="180" s="1"/>
  <c r="B13" i="180" s="1"/>
  <c r="B14" i="180" s="1"/>
  <c r="B15" i="180" s="1"/>
  <c r="B16" i="180" s="1"/>
  <c r="B17" i="180" s="1"/>
  <c r="B18" i="180" s="1"/>
  <c r="B19" i="180" s="1"/>
  <c r="B20" i="180" s="1"/>
  <c r="B21" i="180" s="1"/>
  <c r="B22" i="180" s="1"/>
  <c r="B23" i="180" s="1"/>
  <c r="B24" i="180" s="1"/>
  <c r="B25" i="180" s="1"/>
  <c r="B26" i="180" s="1"/>
  <c r="B27" i="180" s="1"/>
  <c r="B28" i="180" s="1"/>
  <c r="D62" i="177"/>
  <c r="C62" i="177"/>
  <c r="F66" i="177" s="1"/>
  <c r="F57" i="177"/>
  <c r="F56" i="177"/>
  <c r="F55" i="177"/>
  <c r="F54" i="177"/>
  <c r="F53" i="177"/>
  <c r="F52" i="177"/>
  <c r="F51" i="177"/>
  <c r="F50" i="177"/>
  <c r="F49" i="177"/>
  <c r="F48" i="177"/>
  <c r="F47" i="177"/>
  <c r="F46" i="177"/>
  <c r="F45" i="177"/>
  <c r="F44" i="177"/>
  <c r="F43" i="177"/>
  <c r="F42" i="177"/>
  <c r="F41" i="177"/>
  <c r="F40" i="177"/>
  <c r="F39" i="177"/>
  <c r="F38" i="177"/>
  <c r="F37" i="177"/>
  <c r="F36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B11" i="177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B31" i="177" s="1"/>
  <c r="B32" i="177" s="1"/>
  <c r="B33" i="177" s="1"/>
  <c r="B34" i="177" s="1"/>
  <c r="B35" i="177" s="1"/>
  <c r="B36" i="177" s="1"/>
  <c r="B37" i="177" s="1"/>
  <c r="B38" i="177" s="1"/>
  <c r="B39" i="177" s="1"/>
  <c r="B40" i="177" s="1"/>
  <c r="B41" i="177" s="1"/>
  <c r="B42" i="177" s="1"/>
  <c r="B43" i="177" s="1"/>
  <c r="B44" i="177" s="1"/>
  <c r="B45" i="177" s="1"/>
  <c r="B46" i="177" s="1"/>
  <c r="B47" i="177" s="1"/>
  <c r="B48" i="177" s="1"/>
  <c r="B49" i="177" s="1"/>
  <c r="B50" i="177" s="1"/>
  <c r="B51" i="177" s="1"/>
  <c r="B52" i="177" s="1"/>
  <c r="B53" i="177" s="1"/>
  <c r="B54" i="177" s="1"/>
  <c r="B55" i="177" s="1"/>
  <c r="B56" i="177" s="1"/>
  <c r="B57" i="177" s="1"/>
  <c r="B58" i="177" s="1"/>
  <c r="F10" i="177"/>
  <c r="B10" i="177"/>
  <c r="F32" i="180" l="1"/>
  <c r="G5" i="180" s="1"/>
  <c r="H5" i="180" s="1"/>
  <c r="I8" i="180"/>
  <c r="I9" i="180" s="1"/>
  <c r="I10" i="180" s="1"/>
  <c r="I11" i="180" s="1"/>
  <c r="I12" i="180" s="1"/>
  <c r="I13" i="180" s="1"/>
  <c r="I14" i="180" s="1"/>
  <c r="I15" i="180" s="1"/>
  <c r="I16" i="180" s="1"/>
  <c r="I17" i="180" s="1"/>
  <c r="I18" i="180" s="1"/>
  <c r="I19" i="180" s="1"/>
  <c r="I20" i="180" s="1"/>
  <c r="I21" i="180" s="1"/>
  <c r="I22" i="180" s="1"/>
  <c r="I23" i="180" s="1"/>
  <c r="I24" i="180" s="1"/>
  <c r="I25" i="180" s="1"/>
  <c r="I26" i="180" s="1"/>
  <c r="I27" i="180" s="1"/>
  <c r="I28" i="180" s="1"/>
  <c r="F62" i="177"/>
  <c r="G5" i="177" s="1"/>
  <c r="H5" i="177" s="1"/>
  <c r="I10" i="177"/>
  <c r="I11" i="177" s="1"/>
  <c r="I12" i="177" s="1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I42" i="177" s="1"/>
  <c r="I43" i="177" s="1"/>
  <c r="I44" i="177" s="1"/>
  <c r="I45" i="177" s="1"/>
  <c r="I46" i="177" s="1"/>
  <c r="I47" i="177" s="1"/>
  <c r="I48" i="177" s="1"/>
  <c r="I49" i="177" s="1"/>
  <c r="I50" i="177" s="1"/>
  <c r="I51" i="177" s="1"/>
  <c r="I52" i="177" s="1"/>
  <c r="I53" i="177" s="1"/>
  <c r="I54" i="177" s="1"/>
  <c r="I55" i="177" s="1"/>
  <c r="I56" i="177" s="1"/>
  <c r="I57" i="177" s="1"/>
  <c r="I58" i="177" s="1"/>
  <c r="F65" i="177" l="1"/>
  <c r="S99" i="38"/>
  <c r="T99" i="38" s="1"/>
  <c r="S103" i="38"/>
  <c r="T103" i="38" s="1"/>
  <c r="S105" i="38"/>
  <c r="T105" i="38" s="1"/>
  <c r="I103" i="38"/>
  <c r="I107" i="38"/>
  <c r="I109" i="38"/>
  <c r="F50" i="209" l="1"/>
  <c r="E53" i="209" s="1"/>
  <c r="C50" i="209"/>
  <c r="E51" i="209" s="1"/>
  <c r="F49" i="209"/>
  <c r="F48" i="209"/>
  <c r="D36" i="209"/>
  <c r="F36" i="209" s="1"/>
  <c r="D35" i="209"/>
  <c r="F35" i="209" s="1"/>
  <c r="D34" i="209"/>
  <c r="F34" i="209" s="1"/>
  <c r="D33" i="209"/>
  <c r="F33" i="209" s="1"/>
  <c r="D32" i="209"/>
  <c r="F32" i="209" s="1"/>
  <c r="D31" i="209"/>
  <c r="F31" i="209" s="1"/>
  <c r="D30" i="209"/>
  <c r="F30" i="209" s="1"/>
  <c r="D29" i="209"/>
  <c r="F29" i="209" s="1"/>
  <c r="D28" i="209"/>
  <c r="F28" i="209" s="1"/>
  <c r="D27" i="209"/>
  <c r="F27" i="209" s="1"/>
  <c r="D26" i="209"/>
  <c r="F26" i="209" s="1"/>
  <c r="D25" i="209"/>
  <c r="F25" i="209" s="1"/>
  <c r="D24" i="209"/>
  <c r="F24" i="209" s="1"/>
  <c r="D23" i="209"/>
  <c r="F23" i="209" s="1"/>
  <c r="D22" i="209"/>
  <c r="F22" i="209" s="1"/>
  <c r="D21" i="209"/>
  <c r="F21" i="209" s="1"/>
  <c r="D20" i="209"/>
  <c r="F20" i="209" s="1"/>
  <c r="D19" i="209"/>
  <c r="F19" i="209" s="1"/>
  <c r="D18" i="209"/>
  <c r="F18" i="209" s="1"/>
  <c r="D17" i="209"/>
  <c r="F17" i="209" s="1"/>
  <c r="D16" i="209"/>
  <c r="F16" i="209" s="1"/>
  <c r="D15" i="209"/>
  <c r="F15" i="209" s="1"/>
  <c r="D14" i="209"/>
  <c r="F14" i="209" s="1"/>
  <c r="D13" i="209"/>
  <c r="F13" i="209" s="1"/>
  <c r="D12" i="209"/>
  <c r="F12" i="209" s="1"/>
  <c r="D11" i="209"/>
  <c r="F11" i="209" s="1"/>
  <c r="J10" i="209"/>
  <c r="J11" i="209" s="1"/>
  <c r="J12" i="209" s="1"/>
  <c r="J13" i="209" s="1"/>
  <c r="J14" i="209" s="1"/>
  <c r="J15" i="209" s="1"/>
  <c r="J16" i="209" s="1"/>
  <c r="J17" i="209" s="1"/>
  <c r="J18" i="209" s="1"/>
  <c r="J19" i="209" s="1"/>
  <c r="J20" i="209" s="1"/>
  <c r="J21" i="209" s="1"/>
  <c r="J22" i="209" s="1"/>
  <c r="J23" i="209" s="1"/>
  <c r="J24" i="209" s="1"/>
  <c r="J25" i="209" s="1"/>
  <c r="J26" i="209" s="1"/>
  <c r="J27" i="209" s="1"/>
  <c r="J28" i="209" s="1"/>
  <c r="J29" i="209" s="1"/>
  <c r="J30" i="209" s="1"/>
  <c r="J31" i="209" s="1"/>
  <c r="J32" i="209" s="1"/>
  <c r="J33" i="209" s="1"/>
  <c r="J34" i="209" s="1"/>
  <c r="J35" i="209" s="1"/>
  <c r="J36" i="209" s="1"/>
  <c r="D10" i="209"/>
  <c r="F10" i="209" s="1"/>
  <c r="I10" i="209" s="1"/>
  <c r="G5" i="209"/>
  <c r="H5" i="209" s="1"/>
  <c r="N78" i="188"/>
  <c r="M78" i="188"/>
  <c r="O81" i="188" s="1"/>
  <c r="P76" i="188"/>
  <c r="P75" i="188"/>
  <c r="P74" i="188"/>
  <c r="P73" i="188"/>
  <c r="P72" i="188"/>
  <c r="P71" i="188"/>
  <c r="P70" i="188"/>
  <c r="P69" i="188"/>
  <c r="P68" i="188"/>
  <c r="P67" i="188"/>
  <c r="P66" i="188"/>
  <c r="P65" i="188"/>
  <c r="P64" i="188"/>
  <c r="P63" i="188"/>
  <c r="P62" i="188"/>
  <c r="P61" i="188"/>
  <c r="P60" i="188"/>
  <c r="P59" i="188"/>
  <c r="P58" i="188"/>
  <c r="P57" i="188"/>
  <c r="P56" i="188"/>
  <c r="P55" i="188"/>
  <c r="P54" i="188"/>
  <c r="P53" i="188"/>
  <c r="P52" i="188"/>
  <c r="P51" i="188"/>
  <c r="P50" i="188"/>
  <c r="P49" i="188"/>
  <c r="P48" i="188"/>
  <c r="P47" i="188"/>
  <c r="P46" i="188"/>
  <c r="P45" i="188"/>
  <c r="P44" i="188"/>
  <c r="P43" i="188"/>
  <c r="P42" i="188"/>
  <c r="P41" i="188"/>
  <c r="P40" i="188"/>
  <c r="P39" i="188"/>
  <c r="P38" i="188"/>
  <c r="P37" i="188"/>
  <c r="P36" i="188"/>
  <c r="P35" i="188"/>
  <c r="P33" i="188"/>
  <c r="P32" i="188"/>
  <c r="P31" i="188"/>
  <c r="P30" i="188"/>
  <c r="P29" i="188"/>
  <c r="P28" i="188"/>
  <c r="P27" i="188"/>
  <c r="P26" i="188"/>
  <c r="P25" i="188"/>
  <c r="P24" i="188"/>
  <c r="P23" i="188"/>
  <c r="P22" i="188"/>
  <c r="P21" i="188"/>
  <c r="P20" i="188"/>
  <c r="P19" i="188"/>
  <c r="P18" i="188"/>
  <c r="P17" i="188"/>
  <c r="P16" i="188"/>
  <c r="P15" i="188"/>
  <c r="P14" i="188"/>
  <c r="P13" i="188"/>
  <c r="P12" i="188"/>
  <c r="P11" i="188"/>
  <c r="P10" i="188"/>
  <c r="P9" i="188"/>
  <c r="S9" i="188" s="1"/>
  <c r="S10" i="188" s="1"/>
  <c r="S11" i="188" s="1"/>
  <c r="S12" i="188" s="1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S13" i="188" l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I11" i="209"/>
  <c r="I12" i="209" s="1"/>
  <c r="I13" i="209" s="1"/>
  <c r="I14" i="209" s="1"/>
  <c r="I15" i="209" s="1"/>
  <c r="I16" i="209" s="1"/>
  <c r="I17" i="209" s="1"/>
  <c r="I18" i="209" s="1"/>
  <c r="I19" i="209" s="1"/>
  <c r="I20" i="209" s="1"/>
  <c r="I21" i="209" s="1"/>
  <c r="I22" i="209" s="1"/>
  <c r="I23" i="209" s="1"/>
  <c r="I24" i="209" s="1"/>
  <c r="I25" i="209" s="1"/>
  <c r="I26" i="209" s="1"/>
  <c r="I27" i="209" s="1"/>
  <c r="I28" i="209" s="1"/>
  <c r="I29" i="209" s="1"/>
  <c r="I30" i="209" s="1"/>
  <c r="I31" i="209" s="1"/>
  <c r="I32" i="209" s="1"/>
  <c r="I33" i="209" s="1"/>
  <c r="I34" i="209" s="1"/>
  <c r="I35" i="209" s="1"/>
  <c r="I36" i="209" s="1"/>
  <c r="P78" i="188"/>
  <c r="L1" i="117"/>
  <c r="O83" i="188" l="1"/>
  <c r="Q6" i="188"/>
  <c r="R6" i="188" s="1"/>
  <c r="U1" i="1"/>
  <c r="Q51" i="117" l="1"/>
  <c r="Q52" i="117"/>
  <c r="Q53" i="117"/>
  <c r="Q54" i="117"/>
  <c r="Q55" i="117"/>
  <c r="Q56" i="117"/>
  <c r="Q57" i="117"/>
  <c r="Q58" i="117"/>
  <c r="Q59" i="117"/>
  <c r="Q60" i="117"/>
  <c r="Q61" i="117"/>
  <c r="Q62" i="117"/>
  <c r="Q63" i="117"/>
  <c r="Q64" i="117"/>
  <c r="Q65" i="117"/>
  <c r="Q66" i="117"/>
  <c r="Q67" i="117"/>
  <c r="Q68" i="117"/>
  <c r="F51" i="117" l="1"/>
  <c r="F52" i="117"/>
  <c r="F53" i="117"/>
  <c r="F54" i="117"/>
  <c r="F55" i="117"/>
  <c r="F56" i="117"/>
  <c r="F57" i="117"/>
  <c r="F58" i="117"/>
  <c r="F59" i="117"/>
  <c r="F60" i="117"/>
  <c r="F61" i="117"/>
  <c r="F62" i="117"/>
  <c r="F63" i="117"/>
  <c r="F64" i="117"/>
  <c r="F65" i="117"/>
  <c r="F66" i="117"/>
  <c r="F67" i="117"/>
  <c r="F68" i="117"/>
  <c r="F91" i="117"/>
  <c r="S146" i="38" l="1"/>
  <c r="T146" i="38" s="1"/>
  <c r="S147" i="38"/>
  <c r="T147" i="38" s="1"/>
  <c r="S148" i="38"/>
  <c r="T148" i="38" s="1"/>
  <c r="S149" i="38"/>
  <c r="T149" i="38" s="1"/>
  <c r="S150" i="38"/>
  <c r="T150" i="38" s="1"/>
  <c r="S151" i="38"/>
  <c r="T151" i="38" s="1"/>
  <c r="S152" i="38"/>
  <c r="T152" i="38" s="1"/>
  <c r="S154" i="38"/>
  <c r="T154" i="38" s="1"/>
  <c r="S162" i="38"/>
  <c r="T162" i="38" s="1"/>
  <c r="S163" i="38"/>
  <c r="T163" i="38" s="1"/>
  <c r="S164" i="38"/>
  <c r="T164" i="38" s="1"/>
  <c r="S165" i="38"/>
  <c r="T165" i="38" s="1"/>
  <c r="S166" i="38"/>
  <c r="T166" i="38" s="1"/>
  <c r="S167" i="38"/>
  <c r="T167" i="38" s="1"/>
  <c r="S168" i="38"/>
  <c r="T168" i="38" s="1"/>
  <c r="S169" i="38"/>
  <c r="T169" i="38" s="1"/>
  <c r="S170" i="38"/>
  <c r="T170" i="38" s="1"/>
  <c r="S171" i="38"/>
  <c r="T171" i="38" s="1"/>
  <c r="S172" i="38"/>
  <c r="T172" i="38" s="1"/>
  <c r="S173" i="38"/>
  <c r="T173" i="38" s="1"/>
  <c r="S174" i="38"/>
  <c r="T174" i="38" s="1"/>
  <c r="S175" i="38"/>
  <c r="T175" i="38" s="1"/>
  <c r="S176" i="38"/>
  <c r="T176" i="38" s="1"/>
  <c r="S177" i="38"/>
  <c r="T177" i="38" s="1"/>
  <c r="S178" i="38"/>
  <c r="T178" i="38" s="1"/>
  <c r="S179" i="38"/>
  <c r="T179" i="38" s="1"/>
  <c r="S180" i="38"/>
  <c r="T180" i="38" s="1"/>
  <c r="S181" i="38"/>
  <c r="T181" i="38" s="1"/>
  <c r="S182" i="38"/>
  <c r="T182" i="38" s="1"/>
  <c r="S183" i="38"/>
  <c r="T183" i="38" s="1"/>
  <c r="S184" i="38"/>
  <c r="T184" i="38" s="1"/>
  <c r="S185" i="38"/>
  <c r="T185" i="38" s="1"/>
  <c r="S186" i="38"/>
  <c r="T186" i="38" s="1"/>
  <c r="S187" i="38"/>
  <c r="T187" i="38" s="1"/>
  <c r="I162" i="38" l="1"/>
  <c r="I161" i="38"/>
  <c r="I160" i="38"/>
  <c r="I152" i="38"/>
  <c r="I151" i="38"/>
  <c r="I150" i="38"/>
  <c r="I149" i="38"/>
  <c r="I163" i="38"/>
  <c r="F16" i="198"/>
  <c r="F17" i="198"/>
  <c r="F18" i="198"/>
  <c r="F19" i="198"/>
  <c r="F20" i="198"/>
  <c r="F21" i="198"/>
  <c r="F22" i="198"/>
  <c r="F23" i="198"/>
  <c r="F24" i="198"/>
  <c r="F25" i="198"/>
  <c r="D32" i="174"/>
  <c r="F33" i="174" s="1"/>
  <c r="C32" i="174"/>
  <c r="F34" i="174" s="1"/>
  <c r="F28" i="174"/>
  <c r="F27" i="174"/>
  <c r="F26" i="174"/>
  <c r="F25" i="174"/>
  <c r="F24" i="174"/>
  <c r="F23" i="174"/>
  <c r="F22" i="174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I8" i="174"/>
  <c r="I9" i="174" s="1"/>
  <c r="I10" i="174" s="1"/>
  <c r="I11" i="174" s="1"/>
  <c r="I12" i="174" s="1"/>
  <c r="I13" i="174" s="1"/>
  <c r="I14" i="174" s="1"/>
  <c r="I15" i="174" s="1"/>
  <c r="I16" i="174" s="1"/>
  <c r="I17" i="174" s="1"/>
  <c r="I18" i="174" s="1"/>
  <c r="I19" i="174" s="1"/>
  <c r="I20" i="174" s="1"/>
  <c r="I21" i="174" s="1"/>
  <c r="I22" i="174" s="1"/>
  <c r="I23" i="174" s="1"/>
  <c r="I24" i="174" s="1"/>
  <c r="I25" i="174" s="1"/>
  <c r="I26" i="174" s="1"/>
  <c r="I27" i="174" s="1"/>
  <c r="I28" i="174" s="1"/>
  <c r="F8" i="174"/>
  <c r="F32" i="174" l="1"/>
  <c r="G5" i="174" s="1"/>
  <c r="H5" i="174" s="1"/>
  <c r="S153" i="38"/>
  <c r="T153" i="38" s="1"/>
  <c r="S141" i="38" l="1"/>
  <c r="T141" i="38" s="1"/>
  <c r="I141" i="38"/>
  <c r="S135" i="38"/>
  <c r="T135" i="38" s="1"/>
  <c r="S134" i="38"/>
  <c r="T134" i="38" s="1"/>
  <c r="S133" i="38"/>
  <c r="T133" i="38" s="1"/>
  <c r="I135" i="38"/>
  <c r="I134" i="38"/>
  <c r="I133" i="38"/>
  <c r="I148" i="38"/>
  <c r="S139" i="38" l="1"/>
  <c r="T139" i="38" s="1"/>
  <c r="I139" i="38"/>
  <c r="S109" i="38" l="1"/>
  <c r="T109" i="38" s="1"/>
  <c r="S132" i="38" l="1"/>
  <c r="T132" i="38" s="1"/>
  <c r="S136" i="38"/>
  <c r="T136" i="38" s="1"/>
  <c r="S137" i="38"/>
  <c r="T137" i="38" s="1"/>
  <c r="S138" i="38"/>
  <c r="T138" i="38" s="1"/>
  <c r="S140" i="38"/>
  <c r="T140" i="38" s="1"/>
  <c r="S142" i="38"/>
  <c r="T142" i="38" s="1"/>
  <c r="S143" i="38"/>
  <c r="T143" i="38" s="1"/>
  <c r="S144" i="38"/>
  <c r="T144" i="38" s="1"/>
  <c r="I136" i="38"/>
  <c r="I137" i="38"/>
  <c r="I138" i="38"/>
  <c r="N102" i="117" l="1"/>
  <c r="P103" i="117" s="1"/>
  <c r="Q101" i="117"/>
  <c r="Q50" i="117"/>
  <c r="Q49" i="117"/>
  <c r="Q48" i="117"/>
  <c r="Q47" i="117"/>
  <c r="Q46" i="117"/>
  <c r="Q45" i="117"/>
  <c r="Q44" i="117"/>
  <c r="Q43" i="117"/>
  <c r="Q42" i="117"/>
  <c r="Q41" i="117"/>
  <c r="Q40" i="117"/>
  <c r="Q39" i="117"/>
  <c r="Q38" i="117"/>
  <c r="Q37" i="117"/>
  <c r="Q36" i="117"/>
  <c r="Q35" i="117"/>
  <c r="Q34" i="117"/>
  <c r="Q33" i="117"/>
  <c r="Q32" i="117"/>
  <c r="Q31" i="117"/>
  <c r="Q30" i="117"/>
  <c r="Q29" i="117"/>
  <c r="Q28" i="117"/>
  <c r="Q27" i="117"/>
  <c r="Q26" i="117"/>
  <c r="Q25" i="117"/>
  <c r="Q24" i="117"/>
  <c r="Q23" i="117"/>
  <c r="Q22" i="117"/>
  <c r="Q21" i="117"/>
  <c r="Q20" i="117"/>
  <c r="Q19" i="117"/>
  <c r="Q18" i="117"/>
  <c r="Q17" i="117"/>
  <c r="Q16" i="117"/>
  <c r="Q15" i="117"/>
  <c r="Q14" i="117"/>
  <c r="Q13" i="117"/>
  <c r="Q12" i="117"/>
  <c r="Q11" i="117"/>
  <c r="U10" i="117"/>
  <c r="U11" i="117" s="1"/>
  <c r="U12" i="117" s="1"/>
  <c r="U13" i="117" s="1"/>
  <c r="U14" i="117" s="1"/>
  <c r="U15" i="117" s="1"/>
  <c r="U16" i="117" s="1"/>
  <c r="U17" i="117" s="1"/>
  <c r="U18" i="117" s="1"/>
  <c r="U19" i="117" s="1"/>
  <c r="U20" i="117" s="1"/>
  <c r="U21" i="117" s="1"/>
  <c r="U22" i="117" s="1"/>
  <c r="U23" i="117" s="1"/>
  <c r="U24" i="117" s="1"/>
  <c r="U25" i="117" s="1"/>
  <c r="U26" i="117" s="1"/>
  <c r="U27" i="117" s="1"/>
  <c r="U28" i="117" s="1"/>
  <c r="U29" i="117" s="1"/>
  <c r="U30" i="117" s="1"/>
  <c r="U31" i="117" s="1"/>
  <c r="U32" i="117" s="1"/>
  <c r="U33" i="117" s="1"/>
  <c r="U34" i="117" s="1"/>
  <c r="U35" i="117" s="1"/>
  <c r="U36" i="117" s="1"/>
  <c r="U37" i="117" s="1"/>
  <c r="U38" i="117" s="1"/>
  <c r="U39" i="117" s="1"/>
  <c r="U40" i="117" s="1"/>
  <c r="U41" i="117" s="1"/>
  <c r="U42" i="117" s="1"/>
  <c r="U43" i="117" s="1"/>
  <c r="U44" i="117" s="1"/>
  <c r="U45" i="117" s="1"/>
  <c r="U46" i="117" s="1"/>
  <c r="U47" i="117" s="1"/>
  <c r="U48" i="117" s="1"/>
  <c r="U49" i="117" s="1"/>
  <c r="U50" i="117" s="1"/>
  <c r="U51" i="117" s="1"/>
  <c r="U52" i="117" s="1"/>
  <c r="U53" i="117" s="1"/>
  <c r="U54" i="117" s="1"/>
  <c r="U55" i="117" s="1"/>
  <c r="U56" i="117" s="1"/>
  <c r="U57" i="117" s="1"/>
  <c r="U58" i="117" s="1"/>
  <c r="U59" i="117" s="1"/>
  <c r="U60" i="117" s="1"/>
  <c r="U61" i="117" s="1"/>
  <c r="U62" i="117" s="1"/>
  <c r="U63" i="117" s="1"/>
  <c r="U64" i="117" s="1"/>
  <c r="U65" i="117" s="1"/>
  <c r="U66" i="117" s="1"/>
  <c r="U67" i="117" s="1"/>
  <c r="U68" i="117" s="1"/>
  <c r="U69" i="117" s="1"/>
  <c r="U70" i="117" s="1"/>
  <c r="U71" i="117" s="1"/>
  <c r="U72" i="117" s="1"/>
  <c r="U73" i="117" s="1"/>
  <c r="U74" i="117" s="1"/>
  <c r="U75" i="117" s="1"/>
  <c r="U76" i="117" s="1"/>
  <c r="U77" i="117" s="1"/>
  <c r="U78" i="117" s="1"/>
  <c r="U79" i="117" s="1"/>
  <c r="U80" i="117" s="1"/>
  <c r="U81" i="117" s="1"/>
  <c r="U82" i="117" s="1"/>
  <c r="U83" i="117" s="1"/>
  <c r="U84" i="117" s="1"/>
  <c r="U85" i="117" s="1"/>
  <c r="U86" i="117" s="1"/>
  <c r="U87" i="117" s="1"/>
  <c r="U88" i="117" s="1"/>
  <c r="U89" i="117" s="1"/>
  <c r="U90" i="117" s="1"/>
  <c r="U91" i="117" s="1"/>
  <c r="U92" i="117" s="1"/>
  <c r="U93" i="117" s="1"/>
  <c r="U94" i="117" s="1"/>
  <c r="U95" i="117" s="1"/>
  <c r="U96" i="117" s="1"/>
  <c r="U97" i="117" s="1"/>
  <c r="U98" i="117" s="1"/>
  <c r="U99" i="117" s="1"/>
  <c r="U100" i="117" s="1"/>
  <c r="Q10" i="117"/>
  <c r="Q102" i="117" l="1"/>
  <c r="P105" i="117" s="1"/>
  <c r="T10" i="117"/>
  <c r="T11" i="117" s="1"/>
  <c r="T12" i="117" s="1"/>
  <c r="T13" i="117" s="1"/>
  <c r="T14" i="117" s="1"/>
  <c r="T15" i="117" s="1"/>
  <c r="T16" i="117" s="1"/>
  <c r="T17" i="117" s="1"/>
  <c r="T18" i="117" s="1"/>
  <c r="T19" i="117" s="1"/>
  <c r="T20" i="117" s="1"/>
  <c r="T21" i="117" s="1"/>
  <c r="T22" i="117" s="1"/>
  <c r="T23" i="117" s="1"/>
  <c r="T24" i="117" s="1"/>
  <c r="T25" i="117" s="1"/>
  <c r="T26" i="117" s="1"/>
  <c r="T27" i="117" s="1"/>
  <c r="T28" i="117" s="1"/>
  <c r="T29" i="117" s="1"/>
  <c r="T30" i="117" s="1"/>
  <c r="T31" i="117" s="1"/>
  <c r="T32" i="117" s="1"/>
  <c r="T33" i="117" s="1"/>
  <c r="T34" i="117" s="1"/>
  <c r="T35" i="117" s="1"/>
  <c r="T36" i="117" s="1"/>
  <c r="T37" i="117" s="1"/>
  <c r="T38" i="117" s="1"/>
  <c r="T39" i="117" s="1"/>
  <c r="T40" i="117" s="1"/>
  <c r="T41" i="117" s="1"/>
  <c r="T42" i="117" s="1"/>
  <c r="T43" i="117" s="1"/>
  <c r="T44" i="117" s="1"/>
  <c r="T45" i="117" s="1"/>
  <c r="T46" i="117" s="1"/>
  <c r="T47" i="117" s="1"/>
  <c r="T48" i="117" s="1"/>
  <c r="T49" i="117" s="1"/>
  <c r="T50" i="117" s="1"/>
  <c r="T51" i="117" s="1"/>
  <c r="T52" i="117" s="1"/>
  <c r="T53" i="117" s="1"/>
  <c r="T54" i="117" s="1"/>
  <c r="T55" i="117" s="1"/>
  <c r="T56" i="117" s="1"/>
  <c r="T57" i="117" s="1"/>
  <c r="T58" i="117" s="1"/>
  <c r="T59" i="117" s="1"/>
  <c r="T60" i="117" s="1"/>
  <c r="T61" i="117" s="1"/>
  <c r="T62" i="117" s="1"/>
  <c r="T63" i="117" s="1"/>
  <c r="T64" i="117" s="1"/>
  <c r="T65" i="117" s="1"/>
  <c r="T66" i="117" s="1"/>
  <c r="T67" i="117" s="1"/>
  <c r="T68" i="117" s="1"/>
  <c r="T69" i="117" s="1"/>
  <c r="T70" i="117" s="1"/>
  <c r="T71" i="117" s="1"/>
  <c r="T72" i="117" s="1"/>
  <c r="T73" i="117" s="1"/>
  <c r="T74" i="117" s="1"/>
  <c r="T75" i="117" s="1"/>
  <c r="T76" i="117" s="1"/>
  <c r="T77" i="117" s="1"/>
  <c r="T78" i="117" s="1"/>
  <c r="T79" i="117" s="1"/>
  <c r="T80" i="117" s="1"/>
  <c r="T81" i="117" s="1"/>
  <c r="T82" i="117" s="1"/>
  <c r="T83" i="117" s="1"/>
  <c r="T84" i="117" s="1"/>
  <c r="T85" i="117" s="1"/>
  <c r="T86" i="117" s="1"/>
  <c r="T87" i="117" s="1"/>
  <c r="T88" i="117" s="1"/>
  <c r="T89" i="117" s="1"/>
  <c r="T90" i="117" s="1"/>
  <c r="T91" i="117" s="1"/>
  <c r="T92" i="117" s="1"/>
  <c r="T93" i="117" s="1"/>
  <c r="T94" i="117" s="1"/>
  <c r="T95" i="117" s="1"/>
  <c r="T96" i="117" s="1"/>
  <c r="T97" i="117" s="1"/>
  <c r="T98" i="117" s="1"/>
  <c r="T99" i="117" s="1"/>
  <c r="T100" i="117" s="1"/>
  <c r="R5" i="117" l="1"/>
  <c r="S5" i="117" s="1"/>
  <c r="B33" i="38" l="1"/>
  <c r="D36" i="157"/>
  <c r="C36" i="157"/>
  <c r="F39" i="157" s="1"/>
  <c r="A36" i="157"/>
  <c r="F35" i="157"/>
  <c r="F34" i="157"/>
  <c r="F33" i="157"/>
  <c r="F32" i="157"/>
  <c r="F31" i="157"/>
  <c r="F30" i="157"/>
  <c r="F29" i="157"/>
  <c r="F28" i="157"/>
  <c r="F27" i="157"/>
  <c r="F22" i="157"/>
  <c r="F26" i="157"/>
  <c r="F25" i="157"/>
  <c r="F24" i="157"/>
  <c r="F23" i="157"/>
  <c r="F21" i="157"/>
  <c r="F20" i="157"/>
  <c r="F19" i="157"/>
  <c r="F18" i="157"/>
  <c r="F17" i="157"/>
  <c r="F16" i="157"/>
  <c r="F10" i="157"/>
  <c r="F8" i="157"/>
  <c r="F15" i="157"/>
  <c r="F14" i="157"/>
  <c r="F13" i="157"/>
  <c r="F12" i="157"/>
  <c r="F11" i="157"/>
  <c r="F9" i="157"/>
  <c r="B8" i="157"/>
  <c r="B9" i="157" s="1"/>
  <c r="B10" i="157" s="1"/>
  <c r="B11" i="157" s="1"/>
  <c r="B12" i="157" s="1"/>
  <c r="B13" i="157" s="1"/>
  <c r="B14" i="157" s="1"/>
  <c r="B15" i="157" s="1"/>
  <c r="B16" i="157" s="1"/>
  <c r="B17" i="157" s="1"/>
  <c r="B18" i="157" s="1"/>
  <c r="B19" i="157" s="1"/>
  <c r="B20" i="157" s="1"/>
  <c r="B21" i="157" s="1"/>
  <c r="B22" i="157" s="1"/>
  <c r="B23" i="157" s="1"/>
  <c r="B24" i="157" s="1"/>
  <c r="B25" i="157" s="1"/>
  <c r="B26" i="157" s="1"/>
  <c r="B27" i="157" s="1"/>
  <c r="B28" i="157" s="1"/>
  <c r="B29" i="157" s="1"/>
  <c r="B30" i="157" s="1"/>
  <c r="B31" i="157" s="1"/>
  <c r="B32" i="157" s="1"/>
  <c r="B33" i="157" s="1"/>
  <c r="B34" i="157" s="1"/>
  <c r="B35" i="157" s="1"/>
  <c r="F36" i="157" l="1"/>
  <c r="F38" i="157" s="1"/>
  <c r="I8" i="157"/>
  <c r="I9" i="157" s="1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G5" i="157" l="1"/>
  <c r="H5" i="157" s="1"/>
  <c r="F12" i="135"/>
  <c r="F13" i="135"/>
  <c r="F14" i="135"/>
  <c r="F15" i="135"/>
  <c r="F16" i="135"/>
  <c r="F17" i="135"/>
  <c r="F18" i="135"/>
  <c r="F19" i="135"/>
  <c r="F20" i="135"/>
  <c r="F21" i="135"/>
  <c r="F22" i="135"/>
  <c r="F23" i="135"/>
  <c r="F24" i="135"/>
  <c r="F25" i="135"/>
  <c r="F26" i="135"/>
  <c r="F27" i="135"/>
  <c r="F10" i="161" l="1"/>
  <c r="F16" i="161"/>
  <c r="B9" i="139" l="1"/>
  <c r="B10" i="139" s="1"/>
  <c r="D34" i="117" l="1"/>
  <c r="BX32" i="1" l="1"/>
  <c r="AM18" i="1" l="1"/>
  <c r="AM17" i="1"/>
  <c r="I132" i="38" l="1"/>
  <c r="I131" i="38"/>
  <c r="I140" i="38"/>
  <c r="D27" i="203" l="1"/>
  <c r="C27" i="203"/>
  <c r="F30" i="203" s="1"/>
  <c r="A27" i="203"/>
  <c r="F26" i="203"/>
  <c r="F25" i="203"/>
  <c r="F24" i="203"/>
  <c r="F23" i="203"/>
  <c r="F22" i="203"/>
  <c r="F21" i="203"/>
  <c r="F20" i="203"/>
  <c r="F19" i="203"/>
  <c r="F18" i="203"/>
  <c r="F17" i="203"/>
  <c r="F16" i="203"/>
  <c r="F15" i="203"/>
  <c r="F14" i="203"/>
  <c r="F13" i="203"/>
  <c r="F12" i="203"/>
  <c r="F11" i="203"/>
  <c r="F10" i="203"/>
  <c r="F9" i="203"/>
  <c r="I9" i="203" s="1"/>
  <c r="B9" i="203"/>
  <c r="B10" i="203" s="1"/>
  <c r="B11" i="203" s="1"/>
  <c r="B12" i="203" s="1"/>
  <c r="B13" i="203" s="1"/>
  <c r="B14" i="203" s="1"/>
  <c r="B15" i="203" s="1"/>
  <c r="B16" i="203" s="1"/>
  <c r="B17" i="203" s="1"/>
  <c r="B18" i="203" s="1"/>
  <c r="B19" i="203" s="1"/>
  <c r="B20" i="203" s="1"/>
  <c r="B21" i="203" s="1"/>
  <c r="B22" i="203" s="1"/>
  <c r="B23" i="203" s="1"/>
  <c r="B24" i="203" s="1"/>
  <c r="B25" i="203" s="1"/>
  <c r="B26" i="203" s="1"/>
  <c r="ER5" i="1"/>
  <c r="FB5" i="1"/>
  <c r="ES8" i="1"/>
  <c r="FC8" i="1"/>
  <c r="ES9" i="1"/>
  <c r="FC9" i="1"/>
  <c r="ES10" i="1"/>
  <c r="FC10" i="1"/>
  <c r="ES11" i="1"/>
  <c r="FC11" i="1"/>
  <c r="ES12" i="1"/>
  <c r="FC12" i="1"/>
  <c r="ES13" i="1"/>
  <c r="FC13" i="1"/>
  <c r="ES14" i="1"/>
  <c r="FC14" i="1"/>
  <c r="ES15" i="1"/>
  <c r="FC15" i="1"/>
  <c r="ES16" i="1"/>
  <c r="FC16" i="1"/>
  <c r="ES17" i="1"/>
  <c r="FC17" i="1"/>
  <c r="ES18" i="1"/>
  <c r="FC18" i="1"/>
  <c r="ES19" i="1"/>
  <c r="FC19" i="1"/>
  <c r="ES20" i="1"/>
  <c r="FC20" i="1"/>
  <c r="ES21" i="1"/>
  <c r="FC21" i="1"/>
  <c r="ES22" i="1"/>
  <c r="FC22" i="1"/>
  <c r="ES23" i="1"/>
  <c r="FC23" i="1"/>
  <c r="ES24" i="1"/>
  <c r="FC24" i="1"/>
  <c r="ES25" i="1"/>
  <c r="FC25" i="1"/>
  <c r="ES26" i="1"/>
  <c r="FC26" i="1"/>
  <c r="ES27" i="1"/>
  <c r="FC27" i="1"/>
  <c r="ES28" i="1"/>
  <c r="FC28" i="1"/>
  <c r="FC29" i="1"/>
  <c r="EN32" i="1"/>
  <c r="EP32" i="1"/>
  <c r="EX32" i="1"/>
  <c r="EZ32" i="1"/>
  <c r="EZ33" i="1" l="1"/>
  <c r="I10" i="203"/>
  <c r="I11" i="203" s="1"/>
  <c r="I12" i="203" s="1"/>
  <c r="I13" i="203" s="1"/>
  <c r="I14" i="203" s="1"/>
  <c r="I15" i="203" s="1"/>
  <c r="I16" i="203" s="1"/>
  <c r="I17" i="203" s="1"/>
  <c r="I18" i="203" s="1"/>
  <c r="I19" i="203" s="1"/>
  <c r="I20" i="203" s="1"/>
  <c r="I21" i="203" s="1"/>
  <c r="I22" i="203" s="1"/>
  <c r="I23" i="203" s="1"/>
  <c r="I24" i="203" s="1"/>
  <c r="I25" i="203" s="1"/>
  <c r="I26" i="203" s="1"/>
  <c r="FC30" i="1"/>
  <c r="ES29" i="1"/>
  <c r="EP33" i="1"/>
  <c r="F27" i="203"/>
  <c r="F29" i="203" s="1"/>
  <c r="G6" i="203" l="1"/>
  <c r="H6" i="203" s="1"/>
  <c r="D39" i="210" l="1"/>
  <c r="A39" i="210"/>
  <c r="F38" i="210"/>
  <c r="F37" i="210"/>
  <c r="J37" i="210" s="1"/>
  <c r="F36" i="210"/>
  <c r="J36" i="210" s="1"/>
  <c r="F35" i="210"/>
  <c r="J35" i="210" s="1"/>
  <c r="F34" i="210"/>
  <c r="J34" i="210" s="1"/>
  <c r="F33" i="210"/>
  <c r="J33" i="210" s="1"/>
  <c r="F32" i="210"/>
  <c r="J32" i="210" s="1"/>
  <c r="F31" i="210"/>
  <c r="J31" i="210" s="1"/>
  <c r="F30" i="210"/>
  <c r="J30" i="210" s="1"/>
  <c r="F29" i="210"/>
  <c r="J29" i="210" s="1"/>
  <c r="F28" i="210"/>
  <c r="J28" i="210" s="1"/>
  <c r="F27" i="210"/>
  <c r="J27" i="210" s="1"/>
  <c r="F26" i="210"/>
  <c r="J26" i="210" s="1"/>
  <c r="F25" i="210"/>
  <c r="J25" i="210" s="1"/>
  <c r="F24" i="210"/>
  <c r="J24" i="210" s="1"/>
  <c r="F23" i="210"/>
  <c r="J23" i="210" s="1"/>
  <c r="F22" i="210"/>
  <c r="J22" i="210" s="1"/>
  <c r="F21" i="210"/>
  <c r="J21" i="210" s="1"/>
  <c r="F20" i="210"/>
  <c r="J20" i="210" s="1"/>
  <c r="F19" i="210"/>
  <c r="J19" i="210" s="1"/>
  <c r="F18" i="210"/>
  <c r="J18" i="210" s="1"/>
  <c r="F17" i="210"/>
  <c r="J17" i="210" s="1"/>
  <c r="F16" i="210"/>
  <c r="J16" i="210" s="1"/>
  <c r="F15" i="210"/>
  <c r="J15" i="210" s="1"/>
  <c r="F14" i="210"/>
  <c r="J14" i="210" s="1"/>
  <c r="F13" i="210"/>
  <c r="J13" i="210" s="1"/>
  <c r="F12" i="210"/>
  <c r="J12" i="210" s="1"/>
  <c r="F11" i="210"/>
  <c r="J11" i="210" s="1"/>
  <c r="F10" i="210"/>
  <c r="J10" i="210" s="1"/>
  <c r="F9" i="210"/>
  <c r="J9" i="210" s="1"/>
  <c r="B9" i="210"/>
  <c r="B10" i="210" s="1"/>
  <c r="B11" i="210" s="1"/>
  <c r="B12" i="210" s="1"/>
  <c r="B13" i="210" s="1"/>
  <c r="B14" i="210" s="1"/>
  <c r="B15" i="210" s="1"/>
  <c r="B16" i="210" s="1"/>
  <c r="B17" i="210" s="1"/>
  <c r="B18" i="210" s="1"/>
  <c r="B19" i="210" s="1"/>
  <c r="B20" i="210" s="1"/>
  <c r="B21" i="210" s="1"/>
  <c r="B22" i="210" s="1"/>
  <c r="B23" i="210" s="1"/>
  <c r="B24" i="210" s="1"/>
  <c r="B25" i="210" s="1"/>
  <c r="B26" i="210" s="1"/>
  <c r="B27" i="210" s="1"/>
  <c r="B28" i="210" l="1"/>
  <c r="B29" i="210" s="1"/>
  <c r="B30" i="210" s="1"/>
  <c r="B31" i="210" s="1"/>
  <c r="B32" i="210" s="1"/>
  <c r="B33" i="210" s="1"/>
  <c r="B34" i="210" s="1"/>
  <c r="B35" i="210" s="1"/>
  <c r="B36" i="210" s="1"/>
  <c r="B37" i="210"/>
  <c r="B38" i="210" s="1"/>
  <c r="J38" i="210"/>
  <c r="I9" i="210"/>
  <c r="I10" i="210" s="1"/>
  <c r="I11" i="210" s="1"/>
  <c r="I12" i="210" s="1"/>
  <c r="I13" i="210" s="1"/>
  <c r="I14" i="210" s="1"/>
  <c r="I15" i="210" s="1"/>
  <c r="I16" i="210" s="1"/>
  <c r="I17" i="210" s="1"/>
  <c r="I18" i="210" s="1"/>
  <c r="I19" i="210" s="1"/>
  <c r="I20" i="210" s="1"/>
  <c r="I21" i="210" s="1"/>
  <c r="I22" i="210" s="1"/>
  <c r="I23" i="210" s="1"/>
  <c r="I24" i="210" s="1"/>
  <c r="I25" i="210" s="1"/>
  <c r="I26" i="210" s="1"/>
  <c r="I27" i="210" s="1"/>
  <c r="I28" i="210" s="1"/>
  <c r="I29" i="210" s="1"/>
  <c r="I30" i="210" s="1"/>
  <c r="I31" i="210" s="1"/>
  <c r="I32" i="210" s="1"/>
  <c r="I33" i="210" s="1"/>
  <c r="I34" i="210" s="1"/>
  <c r="I35" i="210" s="1"/>
  <c r="I36" i="210" s="1"/>
  <c r="I37" i="210" s="1"/>
  <c r="I38" i="210" s="1"/>
  <c r="F39" i="210"/>
  <c r="G5" i="210" s="1"/>
  <c r="DN5" i="1"/>
  <c r="F41" i="210" l="1"/>
  <c r="H5" i="210"/>
  <c r="DD5" i="1"/>
  <c r="F11" i="204" l="1"/>
  <c r="B11" i="139" l="1"/>
  <c r="B12" i="139" s="1"/>
  <c r="B13" i="139" s="1"/>
  <c r="B14" i="139" s="1"/>
  <c r="B15" i="139" s="1"/>
  <c r="B16" i="139" s="1"/>
  <c r="B17" i="139" s="1"/>
  <c r="B18" i="139" s="1"/>
  <c r="B19" i="139" s="1"/>
  <c r="B20" i="139" s="1"/>
  <c r="B21" i="139" s="1"/>
  <c r="B22" i="139" s="1"/>
  <c r="B23" i="139" s="1"/>
  <c r="B24" i="139" s="1"/>
  <c r="B25" i="139" s="1"/>
  <c r="B26" i="139" s="1"/>
  <c r="B27" i="139" s="1"/>
  <c r="B28" i="139" s="1"/>
  <c r="B29" i="139" s="1"/>
  <c r="B30" i="139" s="1"/>
  <c r="IO18" i="1" l="1"/>
  <c r="IO19" i="1"/>
  <c r="IO20" i="1"/>
  <c r="IO21" i="1"/>
  <c r="IO22" i="1"/>
  <c r="IO23" i="1"/>
  <c r="IO24" i="1"/>
  <c r="IO25" i="1"/>
  <c r="IO16" i="1"/>
  <c r="IO17" i="1"/>
  <c r="FM17" i="1" l="1"/>
  <c r="B8" i="204" l="1"/>
  <c r="B9" i="204" s="1"/>
  <c r="B10" i="204" s="1"/>
  <c r="B11" i="204" s="1"/>
  <c r="B12" i="204" s="1"/>
  <c r="B13" i="204" s="1"/>
  <c r="B14" i="204" s="1"/>
  <c r="B15" i="204" s="1"/>
  <c r="B16" i="204" s="1"/>
  <c r="B17" i="204" s="1"/>
  <c r="B18" i="204" s="1"/>
  <c r="B19" i="204" s="1"/>
  <c r="B20" i="204" s="1"/>
  <c r="B21" i="204" s="1"/>
  <c r="B22" i="204" s="1"/>
  <c r="B23" i="204" s="1"/>
  <c r="B24" i="204" s="1"/>
  <c r="B25" i="204" s="1"/>
  <c r="B26" i="204" s="1"/>
  <c r="B27" i="204" s="1"/>
  <c r="B28" i="204" s="1"/>
  <c r="D32" i="204" l="1"/>
  <c r="C32" i="204"/>
  <c r="F34" i="204" s="1"/>
  <c r="F28" i="204"/>
  <c r="F27" i="204"/>
  <c r="F26" i="204"/>
  <c r="F25" i="204"/>
  <c r="F24" i="204"/>
  <c r="F23" i="204"/>
  <c r="F22" i="204"/>
  <c r="F21" i="204"/>
  <c r="F20" i="204"/>
  <c r="F19" i="204"/>
  <c r="F18" i="204"/>
  <c r="F17" i="204"/>
  <c r="F16" i="204"/>
  <c r="F15" i="204"/>
  <c r="F14" i="204"/>
  <c r="F13" i="204"/>
  <c r="F12" i="204"/>
  <c r="F10" i="204"/>
  <c r="F9" i="204"/>
  <c r="I8" i="204"/>
  <c r="I9" i="204" s="1"/>
  <c r="I10" i="204" s="1"/>
  <c r="I11" i="204" s="1"/>
  <c r="I12" i="204" s="1"/>
  <c r="I13" i="204" s="1"/>
  <c r="I14" i="204" s="1"/>
  <c r="I15" i="204" s="1"/>
  <c r="I16" i="204" s="1"/>
  <c r="I17" i="204" s="1"/>
  <c r="I18" i="204" s="1"/>
  <c r="I19" i="204" s="1"/>
  <c r="I20" i="204" s="1"/>
  <c r="I21" i="204" s="1"/>
  <c r="I22" i="204" s="1"/>
  <c r="I23" i="204" s="1"/>
  <c r="I24" i="204" s="1"/>
  <c r="I25" i="204" s="1"/>
  <c r="I26" i="204" s="1"/>
  <c r="I27" i="204" s="1"/>
  <c r="F8" i="204"/>
  <c r="F32" i="204" l="1"/>
  <c r="F33" i="204" s="1"/>
  <c r="G5" i="204" l="1"/>
  <c r="H5" i="204" s="1"/>
  <c r="I170" i="38" l="1"/>
  <c r="I164" i="38"/>
  <c r="I146" i="38" l="1"/>
  <c r="S102" i="38" l="1"/>
  <c r="T102" i="38" s="1"/>
  <c r="D73" i="161"/>
  <c r="A73" i="161"/>
  <c r="F72" i="161"/>
  <c r="F37" i="161"/>
  <c r="J37" i="161" s="1"/>
  <c r="F36" i="161"/>
  <c r="J36" i="161" s="1"/>
  <c r="F35" i="161"/>
  <c r="J35" i="161" s="1"/>
  <c r="F34" i="161"/>
  <c r="J34" i="161" s="1"/>
  <c r="F33" i="161"/>
  <c r="J33" i="161" s="1"/>
  <c r="F32" i="161"/>
  <c r="J32" i="161" s="1"/>
  <c r="F31" i="161"/>
  <c r="J31" i="161" s="1"/>
  <c r="F30" i="161"/>
  <c r="J30" i="161" s="1"/>
  <c r="F29" i="161"/>
  <c r="J29" i="161" s="1"/>
  <c r="F28" i="161"/>
  <c r="J28" i="161" s="1"/>
  <c r="F27" i="161"/>
  <c r="J27" i="161" s="1"/>
  <c r="F26" i="161"/>
  <c r="J26" i="161" s="1"/>
  <c r="J25" i="161"/>
  <c r="F25" i="161"/>
  <c r="F24" i="161"/>
  <c r="J24" i="161" s="1"/>
  <c r="F23" i="161"/>
  <c r="J23" i="161" s="1"/>
  <c r="F22" i="161"/>
  <c r="J22" i="161" s="1"/>
  <c r="F21" i="161"/>
  <c r="J21" i="161" s="1"/>
  <c r="F20" i="161"/>
  <c r="J20" i="161" s="1"/>
  <c r="F19" i="161"/>
  <c r="J19" i="161" s="1"/>
  <c r="F18" i="161"/>
  <c r="J18" i="161" s="1"/>
  <c r="F17" i="161"/>
  <c r="J17" i="161" s="1"/>
  <c r="J16" i="161"/>
  <c r="F15" i="161"/>
  <c r="F14" i="161"/>
  <c r="F13" i="161"/>
  <c r="F12" i="161"/>
  <c r="F11" i="161"/>
  <c r="J10" i="161" s="1"/>
  <c r="F9" i="161"/>
  <c r="I9" i="161" s="1"/>
  <c r="I10" i="161" s="1"/>
  <c r="B9" i="161"/>
  <c r="B10" i="161" s="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J13" i="161" l="1"/>
  <c r="J14" i="161"/>
  <c r="J15" i="161"/>
  <c r="J12" i="161"/>
  <c r="F73" i="161"/>
  <c r="G5" i="161" s="1"/>
  <c r="H5" i="161" s="1"/>
  <c r="J9" i="161"/>
  <c r="I11" i="16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I30" i="161" s="1"/>
  <c r="I31" i="161" s="1"/>
  <c r="I32" i="161" s="1"/>
  <c r="I33" i="161" s="1"/>
  <c r="I34" i="161" s="1"/>
  <c r="I35" i="161" s="1"/>
  <c r="I36" i="161" s="1"/>
  <c r="I37" i="161" s="1"/>
  <c r="I72" i="161" s="1"/>
  <c r="J11" i="161"/>
  <c r="B37" i="161"/>
  <c r="B72" i="161" s="1"/>
  <c r="B28" i="161"/>
  <c r="B29" i="161" s="1"/>
  <c r="B30" i="161" s="1"/>
  <c r="B31" i="161" s="1"/>
  <c r="B32" i="161" s="1"/>
  <c r="B33" i="161" s="1"/>
  <c r="B34" i="161" s="1"/>
  <c r="B35" i="161" s="1"/>
  <c r="B36" i="161" s="1"/>
  <c r="C102" i="117"/>
  <c r="E103" i="117" s="1"/>
  <c r="F50" i="117"/>
  <c r="F49" i="117"/>
  <c r="F48" i="117"/>
  <c r="F47" i="117"/>
  <c r="F46" i="117"/>
  <c r="F45" i="117"/>
  <c r="F44" i="117"/>
  <c r="F43" i="117"/>
  <c r="F42" i="117"/>
  <c r="F41" i="117"/>
  <c r="F40" i="117"/>
  <c r="F39" i="117"/>
  <c r="F38" i="117"/>
  <c r="F37" i="117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J10" i="117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J27" i="117" s="1"/>
  <c r="J28" i="117" s="1"/>
  <c r="J29" i="117" s="1"/>
  <c r="J30" i="117" s="1"/>
  <c r="J31" i="117" s="1"/>
  <c r="J32" i="117" s="1"/>
  <c r="J33" i="117" s="1"/>
  <c r="J34" i="117" s="1"/>
  <c r="J35" i="117" s="1"/>
  <c r="J36" i="117" s="1"/>
  <c r="J37" i="117" s="1"/>
  <c r="J38" i="117" s="1"/>
  <c r="J39" i="117" s="1"/>
  <c r="J40" i="117" s="1"/>
  <c r="J41" i="117" s="1"/>
  <c r="J42" i="117" s="1"/>
  <c r="J43" i="117" s="1"/>
  <c r="J44" i="117" s="1"/>
  <c r="J45" i="117" s="1"/>
  <c r="J46" i="117" s="1"/>
  <c r="J47" i="117" s="1"/>
  <c r="J48" i="117" s="1"/>
  <c r="J49" i="117" s="1"/>
  <c r="J50" i="117" s="1"/>
  <c r="J51" i="117" s="1"/>
  <c r="J52" i="117" s="1"/>
  <c r="J53" i="117" s="1"/>
  <c r="J54" i="117" s="1"/>
  <c r="J55" i="117" s="1"/>
  <c r="J56" i="117" s="1"/>
  <c r="J57" i="117" s="1"/>
  <c r="J58" i="117" s="1"/>
  <c r="J59" i="117" s="1"/>
  <c r="J60" i="117" s="1"/>
  <c r="J61" i="117" s="1"/>
  <c r="J62" i="117" s="1"/>
  <c r="J63" i="117" s="1"/>
  <c r="J64" i="117" s="1"/>
  <c r="J65" i="117" s="1"/>
  <c r="J66" i="117" s="1"/>
  <c r="J67" i="117" s="1"/>
  <c r="J68" i="117" s="1"/>
  <c r="J69" i="117" s="1"/>
  <c r="J70" i="117" s="1"/>
  <c r="J71" i="117" s="1"/>
  <c r="J72" i="117" s="1"/>
  <c r="J73" i="117" s="1"/>
  <c r="J74" i="117" s="1"/>
  <c r="J75" i="117" s="1"/>
  <c r="J76" i="117" s="1"/>
  <c r="J77" i="117" s="1"/>
  <c r="J78" i="117" s="1"/>
  <c r="J79" i="117" s="1"/>
  <c r="J80" i="117" s="1"/>
  <c r="J81" i="117" s="1"/>
  <c r="J82" i="117" s="1"/>
  <c r="J83" i="117" s="1"/>
  <c r="J84" i="117" s="1"/>
  <c r="J85" i="117" s="1"/>
  <c r="J86" i="117" s="1"/>
  <c r="J87" i="117" s="1"/>
  <c r="J88" i="117" s="1"/>
  <c r="J89" i="117" s="1"/>
  <c r="J90" i="117" s="1"/>
  <c r="J91" i="117" s="1"/>
  <c r="F10" i="117"/>
  <c r="I10" i="117" s="1"/>
  <c r="F75" i="161" l="1"/>
  <c r="J72" i="161"/>
  <c r="I11" i="117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I27" i="117" s="1"/>
  <c r="I28" i="117" s="1"/>
  <c r="I29" i="117" s="1"/>
  <c r="I30" i="117" s="1"/>
  <c r="I31" i="117" s="1"/>
  <c r="I32" i="117" s="1"/>
  <c r="I33" i="117" s="1"/>
  <c r="I34" i="117" s="1"/>
  <c r="I35" i="117" s="1"/>
  <c r="I36" i="117" s="1"/>
  <c r="I37" i="117" s="1"/>
  <c r="I38" i="117" s="1"/>
  <c r="I39" i="117" s="1"/>
  <c r="I40" i="117" s="1"/>
  <c r="I41" i="117" s="1"/>
  <c r="I42" i="117" s="1"/>
  <c r="I43" i="117" s="1"/>
  <c r="I44" i="117" s="1"/>
  <c r="I45" i="117" s="1"/>
  <c r="I46" i="117" s="1"/>
  <c r="I47" i="117" s="1"/>
  <c r="I48" i="117" s="1"/>
  <c r="I49" i="117" s="1"/>
  <c r="I50" i="117" s="1"/>
  <c r="I51" i="117" s="1"/>
  <c r="I52" i="117" s="1"/>
  <c r="I53" i="117" s="1"/>
  <c r="I54" i="117" s="1"/>
  <c r="I55" i="117" s="1"/>
  <c r="I56" i="117" s="1"/>
  <c r="I57" i="117" s="1"/>
  <c r="I58" i="117" s="1"/>
  <c r="I59" i="117" s="1"/>
  <c r="I60" i="117" s="1"/>
  <c r="I61" i="117" s="1"/>
  <c r="I62" i="117" s="1"/>
  <c r="I63" i="117" s="1"/>
  <c r="I64" i="117" s="1"/>
  <c r="I65" i="117" s="1"/>
  <c r="I66" i="117" s="1"/>
  <c r="I67" i="117" s="1"/>
  <c r="I68" i="117" s="1"/>
  <c r="I69" i="117" s="1"/>
  <c r="I70" i="117" s="1"/>
  <c r="I71" i="117" s="1"/>
  <c r="I72" i="117" s="1"/>
  <c r="I73" i="117" s="1"/>
  <c r="I74" i="117" s="1"/>
  <c r="I75" i="117" s="1"/>
  <c r="I76" i="117" s="1"/>
  <c r="I77" i="117" s="1"/>
  <c r="I78" i="117" s="1"/>
  <c r="I79" i="117" s="1"/>
  <c r="I80" i="117" s="1"/>
  <c r="I81" i="117" s="1"/>
  <c r="I82" i="117" s="1"/>
  <c r="I83" i="117" s="1"/>
  <c r="I84" i="117" s="1"/>
  <c r="I85" i="117" s="1"/>
  <c r="I86" i="117" s="1"/>
  <c r="I87" i="117" s="1"/>
  <c r="I88" i="117" s="1"/>
  <c r="I89" i="117" s="1"/>
  <c r="I90" i="117" s="1"/>
  <c r="I91" i="117" s="1"/>
  <c r="I92" i="117" s="1"/>
  <c r="I93" i="117" s="1"/>
  <c r="I94" i="117" s="1"/>
  <c r="I95" i="117" s="1"/>
  <c r="I96" i="117" s="1"/>
  <c r="I97" i="117" s="1"/>
  <c r="I98" i="117" s="1"/>
  <c r="I99" i="117" s="1"/>
  <c r="I100" i="117" s="1"/>
  <c r="I101" i="117" s="1"/>
  <c r="F102" i="117"/>
  <c r="E105" i="117" s="1"/>
  <c r="G5" i="117" l="1"/>
  <c r="H5" i="117" s="1"/>
  <c r="I143" i="38"/>
  <c r="D35" i="159"/>
  <c r="C35" i="159"/>
  <c r="E38" i="159" s="1"/>
  <c r="F33" i="159"/>
  <c r="F32" i="159"/>
  <c r="F31" i="159"/>
  <c r="F30" i="159"/>
  <c r="F29" i="159"/>
  <c r="F28" i="159"/>
  <c r="F26" i="159"/>
  <c r="F25" i="159"/>
  <c r="F24" i="159"/>
  <c r="F23" i="159"/>
  <c r="F22" i="159"/>
  <c r="F21" i="159"/>
  <c r="F20" i="159"/>
  <c r="F19" i="159"/>
  <c r="F18" i="159"/>
  <c r="F17" i="159"/>
  <c r="F16" i="159"/>
  <c r="F15" i="159"/>
  <c r="F14" i="159"/>
  <c r="F13" i="159"/>
  <c r="F12" i="159"/>
  <c r="F11" i="159"/>
  <c r="F10" i="159"/>
  <c r="I10" i="159" s="1"/>
  <c r="B10" i="159"/>
  <c r="B11" i="159" s="1"/>
  <c r="B12" i="159" s="1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I11" i="159" l="1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F35" i="159"/>
  <c r="E40" i="159" s="1"/>
  <c r="G6" i="159" l="1"/>
  <c r="H6" i="159" s="1"/>
  <c r="D78" i="208" l="1"/>
  <c r="C78" i="208"/>
  <c r="E81" i="208" s="1"/>
  <c r="F76" i="208"/>
  <c r="F75" i="208"/>
  <c r="F74" i="208"/>
  <c r="F73" i="208"/>
  <c r="F72" i="208"/>
  <c r="F71" i="208"/>
  <c r="F70" i="208"/>
  <c r="F69" i="208"/>
  <c r="F68" i="208"/>
  <c r="F67" i="208"/>
  <c r="F66" i="208"/>
  <c r="F65" i="208"/>
  <c r="F64" i="208"/>
  <c r="F63" i="208"/>
  <c r="F62" i="208"/>
  <c r="F61" i="208"/>
  <c r="F60" i="208"/>
  <c r="F59" i="208"/>
  <c r="F58" i="208"/>
  <c r="F57" i="208"/>
  <c r="F56" i="208"/>
  <c r="F55" i="208"/>
  <c r="F54" i="208"/>
  <c r="F53" i="208"/>
  <c r="F52" i="208"/>
  <c r="F51" i="208"/>
  <c r="F50" i="208"/>
  <c r="F49" i="208"/>
  <c r="F48" i="208"/>
  <c r="F47" i="208"/>
  <c r="F46" i="208"/>
  <c r="F45" i="208"/>
  <c r="F44" i="208"/>
  <c r="F43" i="208"/>
  <c r="F42" i="208"/>
  <c r="F41" i="208"/>
  <c r="F40" i="208"/>
  <c r="F39" i="208"/>
  <c r="F38" i="208"/>
  <c r="F37" i="208"/>
  <c r="F36" i="208"/>
  <c r="F35" i="208"/>
  <c r="F34" i="208"/>
  <c r="F33" i="208"/>
  <c r="F32" i="208"/>
  <c r="F31" i="208"/>
  <c r="F30" i="208"/>
  <c r="F29" i="208"/>
  <c r="F28" i="208"/>
  <c r="F27" i="208"/>
  <c r="F26" i="208"/>
  <c r="F25" i="208"/>
  <c r="F24" i="208"/>
  <c r="F23" i="208"/>
  <c r="F22" i="208"/>
  <c r="F21" i="208"/>
  <c r="F20" i="208"/>
  <c r="F19" i="208"/>
  <c r="F18" i="208"/>
  <c r="F17" i="208"/>
  <c r="F16" i="208"/>
  <c r="F15" i="208"/>
  <c r="F14" i="208"/>
  <c r="F13" i="208"/>
  <c r="F12" i="208"/>
  <c r="F11" i="208"/>
  <c r="F10" i="208"/>
  <c r="F9" i="208"/>
  <c r="B9" i="208"/>
  <c r="B10" i="208" s="1"/>
  <c r="B11" i="208" s="1"/>
  <c r="B12" i="208" s="1"/>
  <c r="B13" i="208" s="1"/>
  <c r="B14" i="208" s="1"/>
  <c r="B15" i="208" s="1"/>
  <c r="B16" i="208" s="1"/>
  <c r="B17" i="208" s="1"/>
  <c r="B18" i="208" s="1"/>
  <c r="B19" i="208" s="1"/>
  <c r="B20" i="208" s="1"/>
  <c r="B21" i="208" s="1"/>
  <c r="B22" i="208" s="1"/>
  <c r="B23" i="208" s="1"/>
  <c r="B24" i="208" s="1"/>
  <c r="B25" i="208" s="1"/>
  <c r="B26" i="208" s="1"/>
  <c r="B27" i="208" s="1"/>
  <c r="B28" i="208" s="1"/>
  <c r="B29" i="208" s="1"/>
  <c r="B30" i="208" s="1"/>
  <c r="B31" i="208" s="1"/>
  <c r="B32" i="208" s="1"/>
  <c r="B33" i="208" s="1"/>
  <c r="B34" i="208" s="1"/>
  <c r="B35" i="208" s="1"/>
  <c r="B36" i="208" s="1"/>
  <c r="B37" i="208" s="1"/>
  <c r="B38" i="208" s="1"/>
  <c r="B39" i="208" s="1"/>
  <c r="B40" i="208" s="1"/>
  <c r="B41" i="208" s="1"/>
  <c r="B42" i="208" s="1"/>
  <c r="B43" i="208" s="1"/>
  <c r="B44" i="208" s="1"/>
  <c r="B45" i="208" s="1"/>
  <c r="B46" i="208" s="1"/>
  <c r="B47" i="208" s="1"/>
  <c r="B48" i="208" s="1"/>
  <c r="B49" i="208" s="1"/>
  <c r="B50" i="208" s="1"/>
  <c r="B51" i="208" s="1"/>
  <c r="B52" i="208" s="1"/>
  <c r="B53" i="208" s="1"/>
  <c r="B54" i="208" s="1"/>
  <c r="B55" i="208" s="1"/>
  <c r="B56" i="208" s="1"/>
  <c r="B57" i="208" s="1"/>
  <c r="B58" i="208" s="1"/>
  <c r="B59" i="208" s="1"/>
  <c r="B60" i="208" s="1"/>
  <c r="B61" i="208" s="1"/>
  <c r="B62" i="208" s="1"/>
  <c r="B63" i="208" s="1"/>
  <c r="B64" i="208" s="1"/>
  <c r="B65" i="208" s="1"/>
  <c r="B66" i="208" s="1"/>
  <c r="B67" i="208" s="1"/>
  <c r="B68" i="208" s="1"/>
  <c r="B69" i="208" s="1"/>
  <c r="B70" i="208" s="1"/>
  <c r="B71" i="208" s="1"/>
  <c r="B72" i="208" s="1"/>
  <c r="B73" i="208" s="1"/>
  <c r="B74" i="208" s="1"/>
  <c r="B75" i="208" s="1"/>
  <c r="F78" i="208" l="1"/>
  <c r="E83" i="208" s="1"/>
  <c r="I9" i="208"/>
  <c r="I10" i="208" s="1"/>
  <c r="I11" i="208" s="1"/>
  <c r="I12" i="208" s="1"/>
  <c r="I13" i="208" s="1"/>
  <c r="I14" i="208" s="1"/>
  <c r="I15" i="208" s="1"/>
  <c r="I16" i="208" s="1"/>
  <c r="I17" i="208" s="1"/>
  <c r="I18" i="208" s="1"/>
  <c r="I19" i="208" s="1"/>
  <c r="I20" i="208" s="1"/>
  <c r="I21" i="208" s="1"/>
  <c r="I22" i="208" s="1"/>
  <c r="I23" i="208" s="1"/>
  <c r="I24" i="208" s="1"/>
  <c r="I25" i="208" s="1"/>
  <c r="I26" i="208" s="1"/>
  <c r="I27" i="208" s="1"/>
  <c r="I28" i="208" s="1"/>
  <c r="I29" i="208" s="1"/>
  <c r="I30" i="208" s="1"/>
  <c r="I31" i="208" s="1"/>
  <c r="I32" i="208" s="1"/>
  <c r="I33" i="208" s="1"/>
  <c r="I34" i="208" s="1"/>
  <c r="I35" i="208" s="1"/>
  <c r="I36" i="208" s="1"/>
  <c r="I37" i="208" s="1"/>
  <c r="I38" i="208" s="1"/>
  <c r="I39" i="208" s="1"/>
  <c r="I40" i="208" s="1"/>
  <c r="I41" i="208" s="1"/>
  <c r="I42" i="208" s="1"/>
  <c r="I43" i="208" s="1"/>
  <c r="I44" i="208" s="1"/>
  <c r="I45" i="208" s="1"/>
  <c r="I46" i="208" s="1"/>
  <c r="I47" i="208" s="1"/>
  <c r="I48" i="208" s="1"/>
  <c r="I49" i="208" s="1"/>
  <c r="I50" i="208" s="1"/>
  <c r="I51" i="208" s="1"/>
  <c r="I52" i="208" s="1"/>
  <c r="I53" i="208" s="1"/>
  <c r="I54" i="208" s="1"/>
  <c r="I55" i="208" s="1"/>
  <c r="I56" i="208" s="1"/>
  <c r="I57" i="208" s="1"/>
  <c r="I58" i="208" s="1"/>
  <c r="I59" i="208" s="1"/>
  <c r="I60" i="208" s="1"/>
  <c r="I61" i="208" s="1"/>
  <c r="I62" i="208" s="1"/>
  <c r="I63" i="208" s="1"/>
  <c r="I64" i="208" s="1"/>
  <c r="I65" i="208" s="1"/>
  <c r="I66" i="208" s="1"/>
  <c r="I67" i="208" s="1"/>
  <c r="I68" i="208" s="1"/>
  <c r="I69" i="208" s="1"/>
  <c r="I70" i="208" s="1"/>
  <c r="I71" i="208" s="1"/>
  <c r="I72" i="208" s="1"/>
  <c r="I73" i="208" s="1"/>
  <c r="I74" i="208" s="1"/>
  <c r="I75" i="208" s="1"/>
  <c r="I76" i="208" s="1"/>
  <c r="G6" i="208" l="1"/>
  <c r="H6" i="208" s="1"/>
  <c r="F10" i="139" l="1"/>
  <c r="F11" i="139"/>
  <c r="F12" i="139"/>
  <c r="F13" i="139"/>
  <c r="F14" i="139"/>
  <c r="F15" i="139"/>
  <c r="F16" i="139"/>
  <c r="F17" i="139"/>
  <c r="F18" i="139"/>
  <c r="F19" i="139"/>
  <c r="F20" i="139"/>
  <c r="F21" i="139"/>
  <c r="F22" i="139"/>
  <c r="F23" i="139"/>
  <c r="F24" i="139"/>
  <c r="F25" i="139"/>
  <c r="F26" i="139"/>
  <c r="F27" i="139"/>
  <c r="F28" i="139"/>
  <c r="F29" i="139"/>
  <c r="F9" i="139"/>
  <c r="I9" i="139" s="1"/>
  <c r="I10" i="139" l="1"/>
  <c r="I11" i="139" s="1"/>
  <c r="I12" i="139" s="1"/>
  <c r="I13" i="139" s="1"/>
  <c r="I14" i="139" s="1"/>
  <c r="I15" i="139" s="1"/>
  <c r="I16" i="139" s="1"/>
  <c r="I17" i="139" s="1"/>
  <c r="I18" i="139" s="1"/>
  <c r="I19" i="139" s="1"/>
  <c r="I20" i="139" s="1"/>
  <c r="I21" i="139" s="1"/>
  <c r="I22" i="139" s="1"/>
  <c r="I23" i="139" s="1"/>
  <c r="I24" i="139" s="1"/>
  <c r="I25" i="139" s="1"/>
  <c r="I26" i="139" s="1"/>
  <c r="I27" i="139" s="1"/>
  <c r="I28" i="139" s="1"/>
  <c r="I29" i="139" s="1"/>
  <c r="I30" i="139" s="1"/>
  <c r="D32" i="195"/>
  <c r="C32" i="195"/>
  <c r="F34" i="195" s="1"/>
  <c r="F28" i="195"/>
  <c r="F27" i="195"/>
  <c r="F26" i="195"/>
  <c r="F25" i="195"/>
  <c r="F24" i="195"/>
  <c r="F23" i="195"/>
  <c r="F22" i="195"/>
  <c r="F21" i="195"/>
  <c r="F20" i="195"/>
  <c r="F19" i="195"/>
  <c r="F18" i="195"/>
  <c r="F17" i="195"/>
  <c r="F16" i="195"/>
  <c r="F15" i="195"/>
  <c r="F14" i="195"/>
  <c r="F13" i="195"/>
  <c r="F12" i="195"/>
  <c r="F11" i="195"/>
  <c r="F10" i="195"/>
  <c r="F9" i="195"/>
  <c r="I8" i="195"/>
  <c r="I9" i="195" s="1"/>
  <c r="I10" i="195" s="1"/>
  <c r="I11" i="195" s="1"/>
  <c r="I12" i="195" s="1"/>
  <c r="I13" i="195" s="1"/>
  <c r="I14" i="195" s="1"/>
  <c r="I15" i="195" s="1"/>
  <c r="I16" i="195" s="1"/>
  <c r="I17" i="195" s="1"/>
  <c r="I18" i="195" s="1"/>
  <c r="I19" i="195" s="1"/>
  <c r="I20" i="195" s="1"/>
  <c r="I21" i="195" s="1"/>
  <c r="I22" i="195" s="1"/>
  <c r="I23" i="195" s="1"/>
  <c r="I24" i="195" s="1"/>
  <c r="I25" i="195" s="1"/>
  <c r="I26" i="195" s="1"/>
  <c r="I27" i="195" s="1"/>
  <c r="F32" i="195" l="1"/>
  <c r="G5" i="195" s="1"/>
  <c r="H5" i="195" s="1"/>
  <c r="F33" i="195" l="1"/>
  <c r="BD32" i="1" l="1"/>
  <c r="BD33" i="1" s="1"/>
  <c r="BB32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F5" i="1"/>
  <c r="BG30" i="1" l="1"/>
  <c r="D30" i="202"/>
  <c r="A30" i="202"/>
  <c r="F29" i="202"/>
  <c r="J28" i="202"/>
  <c r="F28" i="202"/>
  <c r="F27" i="202"/>
  <c r="J27" i="202" s="1"/>
  <c r="F26" i="202"/>
  <c r="J26" i="202" s="1"/>
  <c r="F25" i="202"/>
  <c r="J25" i="202" s="1"/>
  <c r="J24" i="202"/>
  <c r="F24" i="202"/>
  <c r="F23" i="202"/>
  <c r="J23" i="202" s="1"/>
  <c r="F22" i="202"/>
  <c r="J22" i="202" s="1"/>
  <c r="F21" i="202"/>
  <c r="J21" i="202" s="1"/>
  <c r="F20" i="202"/>
  <c r="J20" i="202" s="1"/>
  <c r="F19" i="202"/>
  <c r="J19" i="202" s="1"/>
  <c r="J18" i="202"/>
  <c r="F18" i="202"/>
  <c r="F17" i="202"/>
  <c r="J17" i="202" s="1"/>
  <c r="F16" i="202"/>
  <c r="J16" i="202" s="1"/>
  <c r="F15" i="202"/>
  <c r="J15" i="202" s="1"/>
  <c r="F14" i="202"/>
  <c r="J14" i="202" s="1"/>
  <c r="F13" i="202"/>
  <c r="J13" i="202" s="1"/>
  <c r="J12" i="202"/>
  <c r="F12" i="202"/>
  <c r="F11" i="202"/>
  <c r="J11" i="202" s="1"/>
  <c r="F10" i="202"/>
  <c r="J10" i="202" s="1"/>
  <c r="F9" i="202"/>
  <c r="B9" i="202"/>
  <c r="B10" i="202" s="1"/>
  <c r="B11" i="202" s="1"/>
  <c r="B12" i="202" s="1"/>
  <c r="B13" i="202" s="1"/>
  <c r="B14" i="202" s="1"/>
  <c r="B15" i="202" s="1"/>
  <c r="B16" i="202" s="1"/>
  <c r="B17" i="202" s="1"/>
  <c r="B18" i="202" s="1"/>
  <c r="B19" i="202" s="1"/>
  <c r="B20" i="202" s="1"/>
  <c r="B21" i="202" s="1"/>
  <c r="B22" i="202" s="1"/>
  <c r="B23" i="202" s="1"/>
  <c r="B24" i="202" s="1"/>
  <c r="B25" i="202" s="1"/>
  <c r="B26" i="202" s="1"/>
  <c r="B27" i="202" s="1"/>
  <c r="B28" i="202" s="1"/>
  <c r="B29" i="202" s="1"/>
  <c r="D78" i="201"/>
  <c r="C78" i="201"/>
  <c r="E81" i="201" s="1"/>
  <c r="F76" i="201"/>
  <c r="F75" i="201"/>
  <c r="F74" i="201"/>
  <c r="F73" i="201"/>
  <c r="F72" i="201"/>
  <c r="F71" i="201"/>
  <c r="F70" i="201"/>
  <c r="F69" i="201"/>
  <c r="F68" i="201"/>
  <c r="F67" i="201"/>
  <c r="F66" i="201"/>
  <c r="F65" i="201"/>
  <c r="F64" i="201"/>
  <c r="F63" i="201"/>
  <c r="F62" i="201"/>
  <c r="F61" i="201"/>
  <c r="F60" i="201"/>
  <c r="F59" i="201"/>
  <c r="F58" i="201"/>
  <c r="F57" i="201"/>
  <c r="F56" i="201"/>
  <c r="F55" i="201"/>
  <c r="F54" i="201"/>
  <c r="F53" i="201"/>
  <c r="F52" i="201"/>
  <c r="F51" i="201"/>
  <c r="F50" i="201"/>
  <c r="F49" i="201"/>
  <c r="F48" i="201"/>
  <c r="F47" i="201"/>
  <c r="F46" i="201"/>
  <c r="F45" i="201"/>
  <c r="F44" i="201"/>
  <c r="F43" i="201"/>
  <c r="F42" i="201"/>
  <c r="F41" i="201"/>
  <c r="F40" i="201"/>
  <c r="F39" i="201"/>
  <c r="F38" i="201"/>
  <c r="F37" i="201"/>
  <c r="F36" i="201"/>
  <c r="F35" i="201"/>
  <c r="F34" i="201"/>
  <c r="F33" i="201"/>
  <c r="F32" i="201"/>
  <c r="F31" i="201"/>
  <c r="F30" i="201"/>
  <c r="F29" i="201"/>
  <c r="F28" i="201"/>
  <c r="F27" i="201"/>
  <c r="F26" i="201"/>
  <c r="F25" i="201"/>
  <c r="F24" i="201"/>
  <c r="F23" i="201"/>
  <c r="F22" i="201"/>
  <c r="F21" i="201"/>
  <c r="F20" i="201"/>
  <c r="F19" i="201"/>
  <c r="F18" i="201"/>
  <c r="F17" i="201"/>
  <c r="F16" i="201"/>
  <c r="F15" i="201"/>
  <c r="F14" i="201"/>
  <c r="F13" i="201"/>
  <c r="F12" i="201"/>
  <c r="F11" i="201"/>
  <c r="F10" i="201"/>
  <c r="F9" i="201"/>
  <c r="B9" i="201"/>
  <c r="B10" i="201" s="1"/>
  <c r="B11" i="201" s="1"/>
  <c r="B12" i="201" s="1"/>
  <c r="B13" i="201" s="1"/>
  <c r="B14" i="201" s="1"/>
  <c r="B15" i="201" s="1"/>
  <c r="B16" i="201" s="1"/>
  <c r="B17" i="201" s="1"/>
  <c r="B18" i="201" s="1"/>
  <c r="B19" i="201" s="1"/>
  <c r="B20" i="201" s="1"/>
  <c r="B21" i="201" s="1"/>
  <c r="B22" i="201" s="1"/>
  <c r="B23" i="201" s="1"/>
  <c r="B24" i="201" s="1"/>
  <c r="B25" i="201" s="1"/>
  <c r="B26" i="201" s="1"/>
  <c r="B27" i="201" s="1"/>
  <c r="B28" i="201" s="1"/>
  <c r="B29" i="201" s="1"/>
  <c r="B30" i="201" s="1"/>
  <c r="B31" i="201" s="1"/>
  <c r="B32" i="201" s="1"/>
  <c r="B33" i="201" s="1"/>
  <c r="B34" i="201" s="1"/>
  <c r="B35" i="201" s="1"/>
  <c r="B36" i="201" s="1"/>
  <c r="B37" i="201" s="1"/>
  <c r="B38" i="201" s="1"/>
  <c r="B39" i="201" s="1"/>
  <c r="B40" i="201" s="1"/>
  <c r="B41" i="201" s="1"/>
  <c r="B42" i="201" s="1"/>
  <c r="B43" i="201" s="1"/>
  <c r="B44" i="201" s="1"/>
  <c r="B45" i="201" s="1"/>
  <c r="B46" i="201" s="1"/>
  <c r="B47" i="201" s="1"/>
  <c r="B48" i="201" s="1"/>
  <c r="B49" i="201" s="1"/>
  <c r="B50" i="201" s="1"/>
  <c r="B51" i="201" s="1"/>
  <c r="B52" i="201" s="1"/>
  <c r="B53" i="201" s="1"/>
  <c r="B54" i="201" s="1"/>
  <c r="B55" i="201" s="1"/>
  <c r="B56" i="201" s="1"/>
  <c r="B57" i="201" s="1"/>
  <c r="B58" i="201" s="1"/>
  <c r="B59" i="201" s="1"/>
  <c r="B60" i="201" s="1"/>
  <c r="B61" i="201" s="1"/>
  <c r="B62" i="201" s="1"/>
  <c r="B63" i="201" s="1"/>
  <c r="B64" i="201" s="1"/>
  <c r="B65" i="201" s="1"/>
  <c r="B66" i="201" s="1"/>
  <c r="B67" i="201" s="1"/>
  <c r="B68" i="201" s="1"/>
  <c r="B69" i="201" s="1"/>
  <c r="B70" i="201" s="1"/>
  <c r="B71" i="201" s="1"/>
  <c r="B72" i="201" s="1"/>
  <c r="B73" i="201" s="1"/>
  <c r="B74" i="201" s="1"/>
  <c r="B75" i="201" s="1"/>
  <c r="F78" i="201" l="1"/>
  <c r="E83" i="201" s="1"/>
  <c r="F30" i="202"/>
  <c r="I9" i="201"/>
  <c r="I10" i="201" s="1"/>
  <c r="I11" i="201" s="1"/>
  <c r="I12" i="201" s="1"/>
  <c r="I13" i="201" s="1"/>
  <c r="I14" i="201" s="1"/>
  <c r="I15" i="201" s="1"/>
  <c r="I16" i="201" s="1"/>
  <c r="I17" i="201" s="1"/>
  <c r="I18" i="201" s="1"/>
  <c r="I19" i="201" s="1"/>
  <c r="I20" i="201" s="1"/>
  <c r="I21" i="201" s="1"/>
  <c r="I22" i="201" s="1"/>
  <c r="I23" i="201" s="1"/>
  <c r="I24" i="201" s="1"/>
  <c r="I25" i="201" s="1"/>
  <c r="I26" i="201" s="1"/>
  <c r="I27" i="201" s="1"/>
  <c r="I28" i="201" s="1"/>
  <c r="I29" i="201" s="1"/>
  <c r="I30" i="201" s="1"/>
  <c r="I31" i="201" s="1"/>
  <c r="I32" i="201" s="1"/>
  <c r="I33" i="201" s="1"/>
  <c r="I34" i="201" s="1"/>
  <c r="I35" i="201" s="1"/>
  <c r="I36" i="201" s="1"/>
  <c r="I37" i="201" s="1"/>
  <c r="I38" i="201" s="1"/>
  <c r="I39" i="201" s="1"/>
  <c r="I40" i="201" s="1"/>
  <c r="I41" i="201" s="1"/>
  <c r="I42" i="201" s="1"/>
  <c r="I43" i="201" s="1"/>
  <c r="I44" i="201" s="1"/>
  <c r="I45" i="201" s="1"/>
  <c r="I46" i="201" s="1"/>
  <c r="I47" i="201" s="1"/>
  <c r="I48" i="201" s="1"/>
  <c r="I49" i="201" s="1"/>
  <c r="I50" i="201" s="1"/>
  <c r="I51" i="201" s="1"/>
  <c r="I52" i="201" s="1"/>
  <c r="I53" i="201" s="1"/>
  <c r="I54" i="201" s="1"/>
  <c r="I55" i="201" s="1"/>
  <c r="I56" i="201" s="1"/>
  <c r="I57" i="201" s="1"/>
  <c r="I58" i="201" s="1"/>
  <c r="I59" i="201" s="1"/>
  <c r="I60" i="201" s="1"/>
  <c r="I61" i="201" s="1"/>
  <c r="I62" i="201" s="1"/>
  <c r="I63" i="201" s="1"/>
  <c r="I64" i="201" s="1"/>
  <c r="I65" i="201" s="1"/>
  <c r="I66" i="201" s="1"/>
  <c r="I67" i="201" s="1"/>
  <c r="I68" i="201" s="1"/>
  <c r="I69" i="201" s="1"/>
  <c r="I70" i="201" s="1"/>
  <c r="I71" i="201" s="1"/>
  <c r="I72" i="201" s="1"/>
  <c r="I73" i="201" s="1"/>
  <c r="I74" i="201" s="1"/>
  <c r="I75" i="201" s="1"/>
  <c r="I76" i="201" s="1"/>
  <c r="I9" i="202"/>
  <c r="I10" i="202" s="1"/>
  <c r="I11" i="202" s="1"/>
  <c r="I12" i="202" s="1"/>
  <c r="I13" i="202" s="1"/>
  <c r="I14" i="202" s="1"/>
  <c r="I15" i="202" s="1"/>
  <c r="I16" i="202" s="1"/>
  <c r="I17" i="202" s="1"/>
  <c r="I18" i="202" s="1"/>
  <c r="I19" i="202" s="1"/>
  <c r="I20" i="202" s="1"/>
  <c r="I21" i="202" s="1"/>
  <c r="I22" i="202" s="1"/>
  <c r="I23" i="202" s="1"/>
  <c r="I24" i="202" s="1"/>
  <c r="I25" i="202" s="1"/>
  <c r="I26" i="202" s="1"/>
  <c r="I27" i="202" s="1"/>
  <c r="I28" i="202" s="1"/>
  <c r="J9" i="202"/>
  <c r="J29" i="202" s="1"/>
  <c r="D56" i="187"/>
  <c r="C56" i="187"/>
  <c r="E59" i="187" s="1"/>
  <c r="F55" i="187"/>
  <c r="F54" i="187"/>
  <c r="F53" i="187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5" i="187"/>
  <c r="F14" i="187"/>
  <c r="F13" i="187"/>
  <c r="F12" i="187"/>
  <c r="F11" i="187"/>
  <c r="F10" i="187"/>
  <c r="B10" i="187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B52" i="187" s="1"/>
  <c r="B53" i="187" s="1"/>
  <c r="B54" i="187" s="1"/>
  <c r="G6" i="201" l="1"/>
  <c r="H6" i="201" s="1"/>
  <c r="G5" i="202"/>
  <c r="H5" i="202" s="1"/>
  <c r="F56" i="187"/>
  <c r="E61" i="187" s="1"/>
  <c r="I10" i="187"/>
  <c r="I11" i="187" s="1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I53" i="187" s="1"/>
  <c r="I54" i="187" s="1"/>
  <c r="I55" i="187" s="1"/>
  <c r="IX5" i="1"/>
  <c r="F32" i="202" l="1"/>
  <c r="G4" i="187"/>
  <c r="H4" i="187" s="1"/>
  <c r="D78" i="200"/>
  <c r="C78" i="200"/>
  <c r="E81" i="200" s="1"/>
  <c r="F76" i="200"/>
  <c r="F75" i="200"/>
  <c r="F74" i="200"/>
  <c r="F73" i="200"/>
  <c r="F72" i="200"/>
  <c r="F71" i="200"/>
  <c r="F70" i="200"/>
  <c r="F69" i="200"/>
  <c r="F68" i="200"/>
  <c r="F67" i="200"/>
  <c r="F66" i="200"/>
  <c r="F65" i="200"/>
  <c r="F64" i="200"/>
  <c r="F63" i="200"/>
  <c r="F62" i="200"/>
  <c r="F61" i="200"/>
  <c r="F60" i="200"/>
  <c r="F59" i="200"/>
  <c r="F58" i="200"/>
  <c r="F57" i="200"/>
  <c r="F56" i="200"/>
  <c r="F55" i="200"/>
  <c r="F54" i="200"/>
  <c r="F53" i="200"/>
  <c r="F52" i="200"/>
  <c r="F51" i="200"/>
  <c r="F50" i="200"/>
  <c r="F49" i="200"/>
  <c r="F48" i="200"/>
  <c r="F47" i="200"/>
  <c r="F46" i="200"/>
  <c r="F45" i="200"/>
  <c r="F44" i="200"/>
  <c r="F43" i="200"/>
  <c r="F42" i="200"/>
  <c r="F41" i="200"/>
  <c r="F40" i="200"/>
  <c r="F39" i="200"/>
  <c r="F38" i="200"/>
  <c r="F37" i="200"/>
  <c r="F36" i="200"/>
  <c r="F35" i="200"/>
  <c r="F34" i="200"/>
  <c r="F33" i="200"/>
  <c r="F32" i="200"/>
  <c r="F31" i="200"/>
  <c r="F30" i="200"/>
  <c r="F29" i="200"/>
  <c r="F28" i="200"/>
  <c r="F27" i="200"/>
  <c r="F26" i="200"/>
  <c r="F25" i="200"/>
  <c r="F24" i="200"/>
  <c r="F23" i="200"/>
  <c r="F22" i="200"/>
  <c r="F21" i="200"/>
  <c r="F20" i="200"/>
  <c r="F19" i="200"/>
  <c r="F18" i="200"/>
  <c r="F17" i="200"/>
  <c r="F16" i="200"/>
  <c r="F15" i="200"/>
  <c r="F14" i="200"/>
  <c r="F13" i="200"/>
  <c r="F12" i="200"/>
  <c r="F11" i="200"/>
  <c r="F10" i="200"/>
  <c r="F9" i="200"/>
  <c r="B9" i="200"/>
  <c r="B10" i="200" s="1"/>
  <c r="B11" i="200" s="1"/>
  <c r="B12" i="200" s="1"/>
  <c r="B13" i="200" s="1"/>
  <c r="B14" i="200" s="1"/>
  <c r="B15" i="200" s="1"/>
  <c r="B16" i="200" s="1"/>
  <c r="B17" i="200" s="1"/>
  <c r="B18" i="200" s="1"/>
  <c r="B19" i="200" s="1"/>
  <c r="B20" i="200" s="1"/>
  <c r="B21" i="200" s="1"/>
  <c r="B22" i="200" s="1"/>
  <c r="B23" i="200" s="1"/>
  <c r="B24" i="200" s="1"/>
  <c r="B25" i="200" s="1"/>
  <c r="B26" i="200" s="1"/>
  <c r="B27" i="200" s="1"/>
  <c r="B28" i="200" s="1"/>
  <c r="B29" i="200" s="1"/>
  <c r="B30" i="200" s="1"/>
  <c r="B31" i="200" s="1"/>
  <c r="B32" i="200" s="1"/>
  <c r="B33" i="200" s="1"/>
  <c r="B34" i="200" s="1"/>
  <c r="B35" i="200" s="1"/>
  <c r="B36" i="200" s="1"/>
  <c r="B37" i="200" s="1"/>
  <c r="B38" i="200" s="1"/>
  <c r="B39" i="200" s="1"/>
  <c r="B40" i="200" s="1"/>
  <c r="B41" i="200" s="1"/>
  <c r="B42" i="200" s="1"/>
  <c r="B43" i="200" s="1"/>
  <c r="B44" i="200" s="1"/>
  <c r="B45" i="200" s="1"/>
  <c r="B46" i="200" s="1"/>
  <c r="B47" i="200" s="1"/>
  <c r="B48" i="200" s="1"/>
  <c r="B49" i="200" s="1"/>
  <c r="B50" i="200" s="1"/>
  <c r="B51" i="200" s="1"/>
  <c r="B52" i="200" s="1"/>
  <c r="B53" i="200" s="1"/>
  <c r="B54" i="200" s="1"/>
  <c r="B55" i="200" s="1"/>
  <c r="B56" i="200" s="1"/>
  <c r="B57" i="200" s="1"/>
  <c r="B58" i="200" s="1"/>
  <c r="B59" i="200" s="1"/>
  <c r="B60" i="200" s="1"/>
  <c r="B61" i="200" s="1"/>
  <c r="B62" i="200" s="1"/>
  <c r="B63" i="200" s="1"/>
  <c r="B64" i="200" s="1"/>
  <c r="B65" i="200" s="1"/>
  <c r="B66" i="200" s="1"/>
  <c r="B67" i="200" s="1"/>
  <c r="B68" i="200" s="1"/>
  <c r="B69" i="200" s="1"/>
  <c r="B70" i="200" s="1"/>
  <c r="B71" i="200" s="1"/>
  <c r="B72" i="200" s="1"/>
  <c r="B73" i="200" s="1"/>
  <c r="B74" i="200" s="1"/>
  <c r="B75" i="200" s="1"/>
  <c r="I9" i="200" l="1"/>
  <c r="I10" i="200" s="1"/>
  <c r="I11" i="200" s="1"/>
  <c r="I12" i="200" s="1"/>
  <c r="I13" i="200" s="1"/>
  <c r="I14" i="200" s="1"/>
  <c r="I15" i="200" s="1"/>
  <c r="I16" i="200" s="1"/>
  <c r="I17" i="200" s="1"/>
  <c r="I18" i="200" s="1"/>
  <c r="I19" i="200" s="1"/>
  <c r="I20" i="200" s="1"/>
  <c r="I21" i="200" s="1"/>
  <c r="I22" i="200" s="1"/>
  <c r="I23" i="200" s="1"/>
  <c r="I24" i="200" s="1"/>
  <c r="I25" i="200" s="1"/>
  <c r="I26" i="200" s="1"/>
  <c r="I27" i="200" s="1"/>
  <c r="I28" i="200" s="1"/>
  <c r="I29" i="200" s="1"/>
  <c r="I30" i="200" s="1"/>
  <c r="I31" i="200" s="1"/>
  <c r="I32" i="200" s="1"/>
  <c r="I33" i="200" s="1"/>
  <c r="I34" i="200" s="1"/>
  <c r="I35" i="200" s="1"/>
  <c r="I36" i="200" s="1"/>
  <c r="I37" i="200" s="1"/>
  <c r="I38" i="200" s="1"/>
  <c r="I39" i="200" s="1"/>
  <c r="I40" i="200" s="1"/>
  <c r="I41" i="200" s="1"/>
  <c r="I42" i="200" s="1"/>
  <c r="I43" i="200" s="1"/>
  <c r="I44" i="200" s="1"/>
  <c r="I45" i="200" s="1"/>
  <c r="I46" i="200" s="1"/>
  <c r="I47" i="200" s="1"/>
  <c r="I48" i="200" s="1"/>
  <c r="I49" i="200" s="1"/>
  <c r="I50" i="200" s="1"/>
  <c r="I51" i="200" s="1"/>
  <c r="I52" i="200" s="1"/>
  <c r="I53" i="200" s="1"/>
  <c r="I54" i="200" s="1"/>
  <c r="I55" i="200" s="1"/>
  <c r="I56" i="200" s="1"/>
  <c r="I57" i="200" s="1"/>
  <c r="I58" i="200" s="1"/>
  <c r="I59" i="200" s="1"/>
  <c r="I60" i="200" s="1"/>
  <c r="I61" i="200" s="1"/>
  <c r="I62" i="200" s="1"/>
  <c r="I63" i="200" s="1"/>
  <c r="I64" i="200" s="1"/>
  <c r="I65" i="200" s="1"/>
  <c r="I66" i="200" s="1"/>
  <c r="I67" i="200" s="1"/>
  <c r="I68" i="200" s="1"/>
  <c r="I69" i="200" s="1"/>
  <c r="I70" i="200" s="1"/>
  <c r="I71" i="200" s="1"/>
  <c r="I72" i="200" s="1"/>
  <c r="I73" i="200" s="1"/>
  <c r="I74" i="200" s="1"/>
  <c r="I75" i="200" s="1"/>
  <c r="I76" i="200" s="1"/>
  <c r="F78" i="200"/>
  <c r="E83" i="200" l="1"/>
  <c r="G6" i="200"/>
  <c r="H6" i="200" s="1"/>
  <c r="F11" i="130" l="1"/>
  <c r="J11" i="130" s="1"/>
  <c r="F12" i="130"/>
  <c r="F13" i="130"/>
  <c r="F14" i="130"/>
  <c r="J14" i="130" s="1"/>
  <c r="F15" i="130"/>
  <c r="J15" i="130" s="1"/>
  <c r="F16" i="130"/>
  <c r="F17" i="130"/>
  <c r="F18" i="130"/>
  <c r="J18" i="130" s="1"/>
  <c r="F19" i="130"/>
  <c r="J19" i="130" s="1"/>
  <c r="F20" i="130"/>
  <c r="F21" i="130"/>
  <c r="F22" i="130"/>
  <c r="J22" i="130" s="1"/>
  <c r="F23" i="130"/>
  <c r="J23" i="130" s="1"/>
  <c r="F24" i="130"/>
  <c r="F25" i="130"/>
  <c r="F26" i="130"/>
  <c r="J26" i="130" s="1"/>
  <c r="F27" i="130"/>
  <c r="J27" i="130" s="1"/>
  <c r="F28" i="130"/>
  <c r="F29" i="130"/>
  <c r="D30" i="130"/>
  <c r="A30" i="130"/>
  <c r="J28" i="130"/>
  <c r="J25" i="130"/>
  <c r="J24" i="130"/>
  <c r="J21" i="130"/>
  <c r="J20" i="130"/>
  <c r="J17" i="130"/>
  <c r="J16" i="130"/>
  <c r="J13" i="130"/>
  <c r="J12" i="130"/>
  <c r="F10" i="130"/>
  <c r="J10" i="130" s="1"/>
  <c r="F9" i="130"/>
  <c r="I9" i="130" s="1"/>
  <c r="B9" i="130"/>
  <c r="B10" i="130" s="1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1" i="130" s="1"/>
  <c r="B22" i="130" s="1"/>
  <c r="B23" i="130" s="1"/>
  <c r="B24" i="130" s="1"/>
  <c r="B25" i="130" s="1"/>
  <c r="B26" i="130" s="1"/>
  <c r="B27" i="130" s="1"/>
  <c r="B28" i="130" s="1"/>
  <c r="B29" i="130" s="1"/>
  <c r="I10" i="130" l="1"/>
  <c r="I11" i="130" s="1"/>
  <c r="I12" i="130" s="1"/>
  <c r="I13" i="130" s="1"/>
  <c r="I14" i="130" s="1"/>
  <c r="I15" i="130" s="1"/>
  <c r="I16" i="130" s="1"/>
  <c r="I17" i="130" s="1"/>
  <c r="I18" i="130" s="1"/>
  <c r="I19" i="130" s="1"/>
  <c r="I20" i="130" s="1"/>
  <c r="I21" i="130" s="1"/>
  <c r="I22" i="130" s="1"/>
  <c r="I23" i="130" s="1"/>
  <c r="I24" i="130" s="1"/>
  <c r="I25" i="130" s="1"/>
  <c r="I26" i="130" s="1"/>
  <c r="I27" i="130" s="1"/>
  <c r="I28" i="130" s="1"/>
  <c r="J9" i="130"/>
  <c r="J29" i="130" s="1"/>
  <c r="F30" i="130"/>
  <c r="G5" i="130" s="1"/>
  <c r="F32" i="130" l="1"/>
  <c r="H5" i="130"/>
  <c r="HT5" i="1" l="1"/>
  <c r="D35" i="198" l="1"/>
  <c r="C35" i="198"/>
  <c r="E38" i="198" s="1"/>
  <c r="F33" i="198"/>
  <c r="F32" i="198"/>
  <c r="F31" i="198"/>
  <c r="F30" i="198"/>
  <c r="F29" i="198"/>
  <c r="F28" i="198"/>
  <c r="F26" i="198"/>
  <c r="F15" i="198"/>
  <c r="F14" i="198"/>
  <c r="F13" i="198"/>
  <c r="F12" i="198"/>
  <c r="F11" i="198"/>
  <c r="F10" i="198"/>
  <c r="I10" i="198" s="1"/>
  <c r="B10" i="198"/>
  <c r="B11" i="198" s="1"/>
  <c r="B12" i="198" s="1"/>
  <c r="B13" i="198" s="1"/>
  <c r="B14" i="198" s="1"/>
  <c r="B15" i="198" s="1"/>
  <c r="B16" i="198" s="1"/>
  <c r="B17" i="198" s="1"/>
  <c r="B18" i="198" s="1"/>
  <c r="B19" i="198" s="1"/>
  <c r="B20" i="198" s="1"/>
  <c r="B21" i="198" s="1"/>
  <c r="B22" i="198" s="1"/>
  <c r="B23" i="198" s="1"/>
  <c r="B24" i="198" s="1"/>
  <c r="B25" i="198" s="1"/>
  <c r="B26" i="198" s="1"/>
  <c r="B27" i="198" s="1"/>
  <c r="B28" i="198" s="1"/>
  <c r="I11" i="198" l="1"/>
  <c r="I12" i="198" s="1"/>
  <c r="I13" i="198" s="1"/>
  <c r="I14" i="198" s="1"/>
  <c r="I15" i="198" s="1"/>
  <c r="I16" i="198" s="1"/>
  <c r="I17" i="198" s="1"/>
  <c r="I18" i="198" s="1"/>
  <c r="I19" i="198" s="1"/>
  <c r="I20" i="198" s="1"/>
  <c r="I21" i="198" s="1"/>
  <c r="I22" i="198" s="1"/>
  <c r="I23" i="198" s="1"/>
  <c r="I24" i="198" s="1"/>
  <c r="I25" i="198" s="1"/>
  <c r="I26" i="198" s="1"/>
  <c r="I27" i="198" s="1"/>
  <c r="I28" i="198" s="1"/>
  <c r="I29" i="198" s="1"/>
  <c r="I30" i="198" s="1"/>
  <c r="F35" i="198"/>
  <c r="G6" i="198" s="1"/>
  <c r="E40" i="198" l="1"/>
  <c r="H6" i="198"/>
  <c r="S116" i="38" l="1"/>
  <c r="T116" i="38" s="1"/>
  <c r="S22" i="38" l="1"/>
  <c r="IE8" i="1" l="1"/>
  <c r="IE9" i="1"/>
  <c r="IE10" i="1"/>
  <c r="IE11" i="1"/>
  <c r="IE12" i="1"/>
  <c r="IE13" i="1"/>
  <c r="IE14" i="1"/>
  <c r="IE15" i="1"/>
  <c r="IE16" i="1"/>
  <c r="IE17" i="1"/>
  <c r="IE18" i="1"/>
  <c r="IE19" i="1"/>
  <c r="IE20" i="1"/>
  <c r="IE21" i="1"/>
  <c r="IE22" i="1"/>
  <c r="IE23" i="1"/>
  <c r="IE24" i="1"/>
  <c r="IE25" i="1"/>
  <c r="IE26" i="1"/>
  <c r="IE27" i="1"/>
  <c r="IE28" i="1"/>
  <c r="IE29" i="1"/>
  <c r="I116" i="38" l="1"/>
  <c r="AT32" i="1" l="1"/>
  <c r="AT33" i="1" s="1"/>
  <c r="AR32" i="1"/>
  <c r="AJ32" i="1"/>
  <c r="AJ33" i="1" s="1"/>
  <c r="AH32" i="1"/>
  <c r="AW29" i="1"/>
  <c r="AM29" i="1"/>
  <c r="AW28" i="1"/>
  <c r="AM28" i="1"/>
  <c r="AW27" i="1"/>
  <c r="AM27" i="1"/>
  <c r="AW26" i="1"/>
  <c r="AM26" i="1"/>
  <c r="AW25" i="1"/>
  <c r="AM25" i="1"/>
  <c r="AW24" i="1"/>
  <c r="AM24" i="1"/>
  <c r="AW23" i="1"/>
  <c r="AM23" i="1"/>
  <c r="AW22" i="1"/>
  <c r="AM22" i="1"/>
  <c r="AW21" i="1"/>
  <c r="AM21" i="1"/>
  <c r="AW20" i="1"/>
  <c r="AM20" i="1"/>
  <c r="AW19" i="1"/>
  <c r="AM19" i="1"/>
  <c r="AW18" i="1"/>
  <c r="AW17" i="1"/>
  <c r="AW16" i="1"/>
  <c r="AM16" i="1"/>
  <c r="AW15" i="1"/>
  <c r="AM15" i="1"/>
  <c r="AW14" i="1"/>
  <c r="AM14" i="1"/>
  <c r="AW13" i="1"/>
  <c r="AM13" i="1"/>
  <c r="AW12" i="1"/>
  <c r="AM12" i="1"/>
  <c r="AW11" i="1"/>
  <c r="AM11" i="1"/>
  <c r="AW10" i="1"/>
  <c r="AM10" i="1"/>
  <c r="AW9" i="1"/>
  <c r="AM9" i="1"/>
  <c r="AW8" i="1"/>
  <c r="AM8" i="1"/>
  <c r="AV5" i="1"/>
  <c r="AL5" i="1"/>
  <c r="GQ8" i="1"/>
  <c r="GQ9" i="1"/>
  <c r="GQ10" i="1"/>
  <c r="GQ11" i="1"/>
  <c r="GQ12" i="1"/>
  <c r="GQ13" i="1"/>
  <c r="GQ14" i="1"/>
  <c r="GQ15" i="1"/>
  <c r="GQ16" i="1"/>
  <c r="GQ17" i="1"/>
  <c r="GQ18" i="1"/>
  <c r="GQ19" i="1"/>
  <c r="GQ20" i="1"/>
  <c r="GQ21" i="1"/>
  <c r="GQ22" i="1"/>
  <c r="GQ23" i="1"/>
  <c r="GQ24" i="1"/>
  <c r="GQ25" i="1"/>
  <c r="GQ26" i="1"/>
  <c r="AM30" i="1" l="1"/>
  <c r="AW30" i="1"/>
  <c r="B9" i="8"/>
  <c r="DO18" i="1" l="1"/>
  <c r="DO19" i="1"/>
  <c r="DO20" i="1"/>
  <c r="DO21" i="1"/>
  <c r="DO22" i="1"/>
  <c r="DO23" i="1"/>
  <c r="DO24" i="1"/>
  <c r="DO25" i="1"/>
  <c r="DO26" i="1"/>
  <c r="BQ21" i="1" l="1"/>
  <c r="S30" i="38" l="1"/>
  <c r="D28" i="135" l="1"/>
  <c r="G7" i="135" s="1"/>
  <c r="H7" i="135" s="1"/>
  <c r="C28" i="135"/>
  <c r="F31" i="135" s="1"/>
  <c r="A28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F30" i="135" s="1"/>
  <c r="F11" i="8" l="1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D27" i="8"/>
  <c r="C27" i="8"/>
  <c r="F30" i="8" s="1"/>
  <c r="A27" i="8"/>
  <c r="F10" i="8"/>
  <c r="F9" i="8"/>
  <c r="I9" i="8" s="1"/>
  <c r="B10" i="8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F27" i="8" l="1"/>
  <c r="F29" i="8" s="1"/>
  <c r="I10" i="8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G6" i="8" l="1"/>
  <c r="H6" i="8" s="1"/>
  <c r="I8" i="189" l="1"/>
  <c r="I9" i="189" s="1"/>
  <c r="I10" i="189" s="1"/>
  <c r="I11" i="189" s="1"/>
  <c r="I12" i="189" s="1"/>
  <c r="I13" i="189" s="1"/>
  <c r="I14" i="189" s="1"/>
  <c r="I15" i="189" s="1"/>
  <c r="I16" i="189" s="1"/>
  <c r="I17" i="189" s="1"/>
  <c r="I18" i="189" s="1"/>
  <c r="I19" i="189" s="1"/>
  <c r="I20" i="189" s="1"/>
  <c r="I21" i="189" s="1"/>
  <c r="I22" i="189" s="1"/>
  <c r="I23" i="189" s="1"/>
  <c r="I24" i="189" s="1"/>
  <c r="I25" i="189" s="1"/>
  <c r="I26" i="189" s="1"/>
  <c r="I27" i="189" s="1"/>
  <c r="I28" i="189" s="1"/>
  <c r="F9" i="189"/>
  <c r="F10" i="189"/>
  <c r="F11" i="189"/>
  <c r="F12" i="189"/>
  <c r="F13" i="189"/>
  <c r="F14" i="189"/>
  <c r="F15" i="189"/>
  <c r="F16" i="189"/>
  <c r="F17" i="189"/>
  <c r="F18" i="189"/>
  <c r="F19" i="189"/>
  <c r="F20" i="189"/>
  <c r="F21" i="189"/>
  <c r="F22" i="189"/>
  <c r="F23" i="189"/>
  <c r="F24" i="189"/>
  <c r="F25" i="189"/>
  <c r="F26" i="189"/>
  <c r="GG18" i="1" l="1"/>
  <c r="GG17" i="1"/>
  <c r="D32" i="189" l="1"/>
  <c r="F33" i="189" s="1"/>
  <c r="C32" i="189"/>
  <c r="F34" i="189" s="1"/>
  <c r="F28" i="189"/>
  <c r="F27" i="189"/>
  <c r="F8" i="189"/>
  <c r="F32" i="189" l="1"/>
  <c r="G5" i="189" s="1"/>
  <c r="H5" i="189" s="1"/>
  <c r="S10" i="38" l="1"/>
  <c r="C40" i="154" l="1"/>
  <c r="F43" i="154" s="1"/>
  <c r="A40" i="154"/>
  <c r="D39" i="154"/>
  <c r="F39" i="154" s="1"/>
  <c r="J39" i="154" s="1"/>
  <c r="D38" i="154"/>
  <c r="F38" i="154" s="1"/>
  <c r="J38" i="154" s="1"/>
  <c r="D37" i="154"/>
  <c r="F37" i="154" s="1"/>
  <c r="J37" i="154" s="1"/>
  <c r="D36" i="154"/>
  <c r="F36" i="154" s="1"/>
  <c r="J36" i="154" s="1"/>
  <c r="D35" i="154"/>
  <c r="F35" i="154" s="1"/>
  <c r="J35" i="154" s="1"/>
  <c r="D34" i="154"/>
  <c r="F34" i="154" s="1"/>
  <c r="J34" i="154" s="1"/>
  <c r="D33" i="154"/>
  <c r="F33" i="154" s="1"/>
  <c r="J33" i="154" s="1"/>
  <c r="D32" i="154"/>
  <c r="F32" i="154" s="1"/>
  <c r="J32" i="154" s="1"/>
  <c r="D31" i="154"/>
  <c r="F31" i="154" s="1"/>
  <c r="J31" i="154" s="1"/>
  <c r="D30" i="154"/>
  <c r="F30" i="154" s="1"/>
  <c r="J30" i="154" s="1"/>
  <c r="D29" i="154"/>
  <c r="F29" i="154" s="1"/>
  <c r="J29" i="154" s="1"/>
  <c r="D28" i="154"/>
  <c r="F28" i="154" s="1"/>
  <c r="J28" i="154" s="1"/>
  <c r="D27" i="154"/>
  <c r="F27" i="154" s="1"/>
  <c r="J27" i="154" s="1"/>
  <c r="D26" i="154"/>
  <c r="F26" i="154" s="1"/>
  <c r="J26" i="154" s="1"/>
  <c r="D25" i="154"/>
  <c r="F25" i="154" s="1"/>
  <c r="J25" i="154" s="1"/>
  <c r="D24" i="154"/>
  <c r="F24" i="154" s="1"/>
  <c r="J24" i="154" s="1"/>
  <c r="D23" i="154"/>
  <c r="F23" i="154" s="1"/>
  <c r="J23" i="154" s="1"/>
  <c r="D22" i="154"/>
  <c r="F22" i="154" s="1"/>
  <c r="J22" i="154" s="1"/>
  <c r="D21" i="154"/>
  <c r="F21" i="154" s="1"/>
  <c r="J21" i="154" s="1"/>
  <c r="D20" i="154"/>
  <c r="F20" i="154" s="1"/>
  <c r="J20" i="154" s="1"/>
  <c r="D19" i="154"/>
  <c r="F19" i="154" s="1"/>
  <c r="J19" i="154" s="1"/>
  <c r="D18" i="154"/>
  <c r="F18" i="154" s="1"/>
  <c r="J18" i="154" s="1"/>
  <c r="D17" i="154"/>
  <c r="F17" i="154" s="1"/>
  <c r="J17" i="154" s="1"/>
  <c r="D16" i="154"/>
  <c r="F16" i="154" s="1"/>
  <c r="J16" i="154" s="1"/>
  <c r="D15" i="154"/>
  <c r="F15" i="154" s="1"/>
  <c r="J15" i="154" s="1"/>
  <c r="D14" i="154"/>
  <c r="F14" i="154" s="1"/>
  <c r="J14" i="154" s="1"/>
  <c r="D13" i="154"/>
  <c r="F13" i="154" s="1"/>
  <c r="J13" i="154" s="1"/>
  <c r="D12" i="154"/>
  <c r="F12" i="154" s="1"/>
  <c r="J12" i="154" s="1"/>
  <c r="D11" i="154"/>
  <c r="F11" i="154" s="1"/>
  <c r="J11" i="154" s="1"/>
  <c r="D10" i="154"/>
  <c r="F10" i="154" s="1"/>
  <c r="J10" i="154" s="1"/>
  <c r="D9" i="154"/>
  <c r="F9" i="154" s="1"/>
  <c r="J9" i="154" s="1"/>
  <c r="D35" i="194"/>
  <c r="C35" i="194"/>
  <c r="E38" i="194" s="1"/>
  <c r="F33" i="194"/>
  <c r="F32" i="194"/>
  <c r="F31" i="194"/>
  <c r="F30" i="194"/>
  <c r="F29" i="194"/>
  <c r="F28" i="194"/>
  <c r="F26" i="194"/>
  <c r="F25" i="194"/>
  <c r="F24" i="194"/>
  <c r="F23" i="194"/>
  <c r="F22" i="194"/>
  <c r="F21" i="194"/>
  <c r="F20" i="194"/>
  <c r="F19" i="194"/>
  <c r="F18" i="194"/>
  <c r="F17" i="194"/>
  <c r="F16" i="194"/>
  <c r="F15" i="194"/>
  <c r="F14" i="194"/>
  <c r="F13" i="194"/>
  <c r="F12" i="194"/>
  <c r="F11" i="194"/>
  <c r="F10" i="194"/>
  <c r="B10" i="194"/>
  <c r="B11" i="194" s="1"/>
  <c r="B12" i="194" s="1"/>
  <c r="B13" i="194" s="1"/>
  <c r="B14" i="194" s="1"/>
  <c r="B15" i="194" s="1"/>
  <c r="B16" i="194" s="1"/>
  <c r="B17" i="194" s="1"/>
  <c r="B18" i="194" s="1"/>
  <c r="B19" i="194" s="1"/>
  <c r="B20" i="194" s="1"/>
  <c r="B21" i="194" s="1"/>
  <c r="B22" i="194" s="1"/>
  <c r="B23" i="194" s="1"/>
  <c r="B24" i="194" s="1"/>
  <c r="B25" i="194" s="1"/>
  <c r="B26" i="194" s="1"/>
  <c r="B27" i="194" s="1"/>
  <c r="B28" i="194" s="1"/>
  <c r="F35" i="194" l="1"/>
  <c r="I10" i="194"/>
  <c r="I11" i="194" s="1"/>
  <c r="I12" i="194" s="1"/>
  <c r="I13" i="194" s="1"/>
  <c r="I14" i="194" s="1"/>
  <c r="I15" i="194" s="1"/>
  <c r="I16" i="194" s="1"/>
  <c r="I17" i="194" s="1"/>
  <c r="I18" i="194" s="1"/>
  <c r="I19" i="194" s="1"/>
  <c r="I20" i="194" s="1"/>
  <c r="I21" i="194" s="1"/>
  <c r="I22" i="194" s="1"/>
  <c r="I23" i="194" s="1"/>
  <c r="I24" i="194" s="1"/>
  <c r="I25" i="194" s="1"/>
  <c r="I26" i="194" s="1"/>
  <c r="I27" i="194" s="1"/>
  <c r="I28" i="194" s="1"/>
  <c r="I29" i="194" s="1"/>
  <c r="I30" i="194" s="1"/>
  <c r="D40" i="154"/>
  <c r="F8" i="154"/>
  <c r="E40" i="194"/>
  <c r="H6" i="194"/>
  <c r="J8" i="154" l="1"/>
  <c r="F40" i="154"/>
  <c r="I8" i="154"/>
  <c r="I9" i="154" s="1"/>
  <c r="I10" i="154" s="1"/>
  <c r="I11" i="154" s="1"/>
  <c r="I12" i="154" s="1"/>
  <c r="I13" i="154" s="1"/>
  <c r="I14" i="154" s="1"/>
  <c r="I15" i="154" s="1"/>
  <c r="I16" i="154" s="1"/>
  <c r="I17" i="154" s="1"/>
  <c r="I18" i="154" s="1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I32" i="154" s="1"/>
  <c r="I33" i="154" s="1"/>
  <c r="I34" i="154" s="1"/>
  <c r="I35" i="154" s="1"/>
  <c r="I36" i="154" s="1"/>
  <c r="I37" i="154" s="1"/>
  <c r="I38" i="154" s="1"/>
  <c r="F42" i="154" l="1"/>
  <c r="G5" i="154"/>
  <c r="H5" i="154" s="1"/>
  <c r="D55" i="193" l="1"/>
  <c r="C55" i="193"/>
  <c r="E58" i="193" s="1"/>
  <c r="F54" i="193"/>
  <c r="F53" i="193"/>
  <c r="F52" i="193"/>
  <c r="F51" i="193"/>
  <c r="F50" i="193"/>
  <c r="F49" i="193"/>
  <c r="F48" i="193"/>
  <c r="F47" i="193"/>
  <c r="F46" i="193"/>
  <c r="F45" i="193"/>
  <c r="F44" i="193"/>
  <c r="F43" i="193"/>
  <c r="F42" i="193"/>
  <c r="F41" i="193"/>
  <c r="F40" i="193"/>
  <c r="F39" i="193"/>
  <c r="F38" i="193"/>
  <c r="F37" i="193"/>
  <c r="F36" i="193"/>
  <c r="F35" i="193"/>
  <c r="F34" i="193"/>
  <c r="F33" i="193"/>
  <c r="F32" i="193"/>
  <c r="F31" i="193"/>
  <c r="F30" i="193"/>
  <c r="F29" i="193"/>
  <c r="F28" i="193"/>
  <c r="F27" i="193"/>
  <c r="F26" i="193"/>
  <c r="F25" i="193"/>
  <c r="F24" i="193"/>
  <c r="F23" i="193"/>
  <c r="F22" i="193"/>
  <c r="F21" i="193"/>
  <c r="F20" i="193"/>
  <c r="F19" i="193"/>
  <c r="F18" i="193"/>
  <c r="F17" i="193"/>
  <c r="F16" i="193"/>
  <c r="F15" i="193"/>
  <c r="F14" i="193"/>
  <c r="F13" i="193"/>
  <c r="F12" i="193"/>
  <c r="F11" i="193"/>
  <c r="F10" i="193"/>
  <c r="F9" i="193"/>
  <c r="I9" i="193" s="1"/>
  <c r="I10" i="193" s="1"/>
  <c r="I11" i="193" s="1"/>
  <c r="B9" i="193"/>
  <c r="B10" i="193" s="1"/>
  <c r="B11" i="193" s="1"/>
  <c r="B12" i="193" s="1"/>
  <c r="B13" i="193" s="1"/>
  <c r="B14" i="193" s="1"/>
  <c r="B15" i="193" s="1"/>
  <c r="B16" i="193" s="1"/>
  <c r="B17" i="193" s="1"/>
  <c r="B18" i="193" s="1"/>
  <c r="B19" i="193" s="1"/>
  <c r="B20" i="193" s="1"/>
  <c r="B21" i="193" s="1"/>
  <c r="B22" i="193" s="1"/>
  <c r="B23" i="193" s="1"/>
  <c r="B24" i="193" s="1"/>
  <c r="B25" i="193" s="1"/>
  <c r="B26" i="193" s="1"/>
  <c r="B27" i="193" s="1"/>
  <c r="B28" i="193" s="1"/>
  <c r="B29" i="193" s="1"/>
  <c r="B30" i="193" s="1"/>
  <c r="B31" i="193" s="1"/>
  <c r="B32" i="193" s="1"/>
  <c r="B33" i="193" s="1"/>
  <c r="B34" i="193" s="1"/>
  <c r="B35" i="193" s="1"/>
  <c r="B36" i="193" s="1"/>
  <c r="B37" i="193" s="1"/>
  <c r="B38" i="193" s="1"/>
  <c r="B39" i="193" s="1"/>
  <c r="B40" i="193" s="1"/>
  <c r="B41" i="193" s="1"/>
  <c r="B42" i="193" s="1"/>
  <c r="B43" i="193" s="1"/>
  <c r="B44" i="193" s="1"/>
  <c r="B45" i="193" s="1"/>
  <c r="B46" i="193" s="1"/>
  <c r="B47" i="193" s="1"/>
  <c r="B48" i="193" s="1"/>
  <c r="B49" i="193" s="1"/>
  <c r="B50" i="193" s="1"/>
  <c r="B51" i="193" s="1"/>
  <c r="B52" i="193" s="1"/>
  <c r="B53" i="193" s="1"/>
  <c r="I12" i="193" l="1"/>
  <c r="I13" i="193" s="1"/>
  <c r="I14" i="193" s="1"/>
  <c r="I15" i="193" s="1"/>
  <c r="I16" i="193" s="1"/>
  <c r="I17" i="193" s="1"/>
  <c r="I18" i="193" s="1"/>
  <c r="I19" i="193" s="1"/>
  <c r="I20" i="193" s="1"/>
  <c r="I21" i="193" s="1"/>
  <c r="I22" i="193" s="1"/>
  <c r="I23" i="193" s="1"/>
  <c r="I24" i="193" s="1"/>
  <c r="I25" i="193" s="1"/>
  <c r="I26" i="193" s="1"/>
  <c r="I27" i="193" s="1"/>
  <c r="I28" i="193" s="1"/>
  <c r="I29" i="193" s="1"/>
  <c r="I30" i="193" s="1"/>
  <c r="I31" i="193" s="1"/>
  <c r="I32" i="193" s="1"/>
  <c r="I33" i="193" s="1"/>
  <c r="I34" i="193" s="1"/>
  <c r="I35" i="193" s="1"/>
  <c r="I36" i="193" s="1"/>
  <c r="I37" i="193" s="1"/>
  <c r="I38" i="193" s="1"/>
  <c r="I39" i="193" s="1"/>
  <c r="I40" i="193" s="1"/>
  <c r="I41" i="193" s="1"/>
  <c r="I42" i="193" s="1"/>
  <c r="I43" i="193" s="1"/>
  <c r="I44" i="193" s="1"/>
  <c r="I45" i="193" s="1"/>
  <c r="I46" i="193" s="1"/>
  <c r="I47" i="193" s="1"/>
  <c r="I48" i="193" s="1"/>
  <c r="I49" i="193" s="1"/>
  <c r="I50" i="193" s="1"/>
  <c r="I51" i="193" s="1"/>
  <c r="I52" i="193" s="1"/>
  <c r="I53" i="193" s="1"/>
  <c r="I54" i="193" s="1"/>
  <c r="F55" i="193"/>
  <c r="E60" i="193" s="1"/>
  <c r="G5" i="193" l="1"/>
  <c r="H5" i="193" s="1"/>
  <c r="I130" i="38" l="1"/>
  <c r="C30" i="133" l="1"/>
  <c r="E31" i="133" s="1"/>
  <c r="F29" i="133"/>
  <c r="D28" i="133"/>
  <c r="F28" i="133" s="1"/>
  <c r="D27" i="133"/>
  <c r="F27" i="133" s="1"/>
  <c r="D26" i="133"/>
  <c r="F26" i="133" s="1"/>
  <c r="D25" i="133"/>
  <c r="F25" i="133" s="1"/>
  <c r="D24" i="133"/>
  <c r="F24" i="133" s="1"/>
  <c r="D23" i="133"/>
  <c r="F23" i="133" s="1"/>
  <c r="D22" i="133"/>
  <c r="F22" i="133" s="1"/>
  <c r="D21" i="133"/>
  <c r="F21" i="133" s="1"/>
  <c r="D20" i="133"/>
  <c r="F20" i="133" s="1"/>
  <c r="D19" i="133"/>
  <c r="F19" i="133" s="1"/>
  <c r="D18" i="133"/>
  <c r="F18" i="133" s="1"/>
  <c r="D17" i="133"/>
  <c r="F17" i="133" s="1"/>
  <c r="D16" i="133"/>
  <c r="F16" i="133" s="1"/>
  <c r="D15" i="133"/>
  <c r="F15" i="133" s="1"/>
  <c r="D14" i="133"/>
  <c r="F14" i="133" s="1"/>
  <c r="D13" i="133"/>
  <c r="F13" i="133" s="1"/>
  <c r="D12" i="133"/>
  <c r="F12" i="133" s="1"/>
  <c r="D11" i="133"/>
  <c r="F11" i="133" s="1"/>
  <c r="F10" i="133"/>
  <c r="F9" i="133"/>
  <c r="J8" i="133"/>
  <c r="J9" i="133" s="1"/>
  <c r="J10" i="133" s="1"/>
  <c r="J11" i="133" s="1"/>
  <c r="J12" i="133" s="1"/>
  <c r="J13" i="133" s="1"/>
  <c r="J14" i="133" s="1"/>
  <c r="J15" i="133" s="1"/>
  <c r="J16" i="133" s="1"/>
  <c r="J17" i="133" s="1"/>
  <c r="J18" i="133" s="1"/>
  <c r="J19" i="133" s="1"/>
  <c r="J20" i="133" s="1"/>
  <c r="J21" i="133" s="1"/>
  <c r="J22" i="133" s="1"/>
  <c r="J23" i="133" s="1"/>
  <c r="J24" i="133" s="1"/>
  <c r="J25" i="133" s="1"/>
  <c r="J26" i="133" s="1"/>
  <c r="J27" i="133" s="1"/>
  <c r="J28" i="133" s="1"/>
  <c r="F8" i="133"/>
  <c r="I8" i="133" s="1"/>
  <c r="H5" i="133"/>
  <c r="I9" i="133" l="1"/>
  <c r="I10" i="133"/>
  <c r="I11" i="133" s="1"/>
  <c r="I12" i="133" s="1"/>
  <c r="I13" i="133" s="1"/>
  <c r="I14" i="133" s="1"/>
  <c r="I15" i="133" s="1"/>
  <c r="I16" i="133" s="1"/>
  <c r="I17" i="133" s="1"/>
  <c r="I18" i="133" s="1"/>
  <c r="I19" i="133" s="1"/>
  <c r="I20" i="133" s="1"/>
  <c r="I21" i="133" s="1"/>
  <c r="I22" i="133" s="1"/>
  <c r="I23" i="133" s="1"/>
  <c r="I24" i="133" s="1"/>
  <c r="I25" i="133" s="1"/>
  <c r="I26" i="133" s="1"/>
  <c r="I27" i="133" s="1"/>
  <c r="I28" i="133" s="1"/>
  <c r="F30" i="133"/>
  <c r="E33" i="133" s="1"/>
  <c r="D30" i="133"/>
  <c r="F9" i="179" l="1"/>
  <c r="F10" i="179"/>
  <c r="F11" i="179"/>
  <c r="F12" i="179"/>
  <c r="F13" i="179"/>
  <c r="F14" i="179"/>
  <c r="F15" i="179"/>
  <c r="F16" i="179"/>
  <c r="F17" i="179"/>
  <c r="F18" i="179"/>
  <c r="F19" i="179"/>
  <c r="F20" i="179"/>
  <c r="F21" i="179"/>
  <c r="F22" i="179"/>
  <c r="F23" i="179"/>
  <c r="F24" i="179"/>
  <c r="F25" i="179"/>
  <c r="F26" i="179"/>
  <c r="F27" i="179"/>
  <c r="F28" i="179"/>
  <c r="F29" i="179"/>
  <c r="F30" i="179"/>
  <c r="D29" i="192" l="1"/>
  <c r="C29" i="192"/>
  <c r="F32" i="192" s="1"/>
  <c r="A29" i="192"/>
  <c r="F28" i="192"/>
  <c r="J28" i="192" s="1"/>
  <c r="F27" i="192"/>
  <c r="J27" i="192" s="1"/>
  <c r="F26" i="192"/>
  <c r="J26" i="192" s="1"/>
  <c r="F25" i="192"/>
  <c r="J25" i="192" s="1"/>
  <c r="F24" i="192"/>
  <c r="J24" i="192" s="1"/>
  <c r="F23" i="192"/>
  <c r="J23" i="192" s="1"/>
  <c r="F22" i="192"/>
  <c r="J22" i="192" s="1"/>
  <c r="F21" i="192"/>
  <c r="J21" i="192" s="1"/>
  <c r="F20" i="192"/>
  <c r="J20" i="192" s="1"/>
  <c r="F19" i="192"/>
  <c r="J19" i="192" s="1"/>
  <c r="F18" i="192"/>
  <c r="J18" i="192" s="1"/>
  <c r="F17" i="192"/>
  <c r="J17" i="192" s="1"/>
  <c r="F16" i="192"/>
  <c r="J16" i="192" s="1"/>
  <c r="F15" i="192"/>
  <c r="J15" i="192" s="1"/>
  <c r="F14" i="192"/>
  <c r="J14" i="192" s="1"/>
  <c r="F13" i="192"/>
  <c r="J13" i="192" s="1"/>
  <c r="F12" i="192"/>
  <c r="J12" i="192" s="1"/>
  <c r="F11" i="192"/>
  <c r="J11" i="192" s="1"/>
  <c r="F10" i="192"/>
  <c r="J10" i="192" s="1"/>
  <c r="F9" i="192"/>
  <c r="J9" i="192" s="1"/>
  <c r="F8" i="192"/>
  <c r="B8" i="192"/>
  <c r="B9" i="192" s="1"/>
  <c r="B10" i="192" s="1"/>
  <c r="B11" i="192" s="1"/>
  <c r="B12" i="192" s="1"/>
  <c r="B13" i="192" s="1"/>
  <c r="B14" i="192" s="1"/>
  <c r="B15" i="192" s="1"/>
  <c r="B16" i="192" s="1"/>
  <c r="B17" i="192" s="1"/>
  <c r="B18" i="192" s="1"/>
  <c r="B19" i="192" s="1"/>
  <c r="B20" i="192" s="1"/>
  <c r="B21" i="192" s="1"/>
  <c r="B22" i="192" s="1"/>
  <c r="B23" i="192" s="1"/>
  <c r="B24" i="192" s="1"/>
  <c r="B25" i="192" s="1"/>
  <c r="B26" i="192" s="1"/>
  <c r="B27" i="192" s="1"/>
  <c r="F29" i="192" l="1"/>
  <c r="G5" i="192" s="1"/>
  <c r="H5" i="192" s="1"/>
  <c r="I8" i="192"/>
  <c r="I9" i="192" s="1"/>
  <c r="I10" i="192" s="1"/>
  <c r="I11" i="192" s="1"/>
  <c r="I12" i="192" s="1"/>
  <c r="I13" i="192" s="1"/>
  <c r="I14" i="192" s="1"/>
  <c r="I15" i="192" s="1"/>
  <c r="I16" i="192" s="1"/>
  <c r="I17" i="192" s="1"/>
  <c r="I18" i="192" s="1"/>
  <c r="I19" i="192" s="1"/>
  <c r="I20" i="192" s="1"/>
  <c r="I21" i="192" s="1"/>
  <c r="I22" i="192" s="1"/>
  <c r="I23" i="192" s="1"/>
  <c r="I24" i="192" s="1"/>
  <c r="I25" i="192" s="1"/>
  <c r="I26" i="192" s="1"/>
  <c r="I27" i="192" s="1"/>
  <c r="J8" i="192"/>
  <c r="F31" i="192" l="1"/>
  <c r="C23" i="1"/>
  <c r="NB32" i="1"/>
  <c r="NB33" i="1" s="1"/>
  <c r="MZ32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8" i="1"/>
  <c r="ND5" i="1"/>
  <c r="C97" i="190"/>
  <c r="E98" i="190" s="1"/>
  <c r="D96" i="190"/>
  <c r="F96" i="190" s="1"/>
  <c r="D95" i="190"/>
  <c r="F95" i="190" s="1"/>
  <c r="D41" i="190"/>
  <c r="F41" i="190" s="1"/>
  <c r="D40" i="190"/>
  <c r="F40" i="190" s="1"/>
  <c r="D39" i="190"/>
  <c r="F38" i="190"/>
  <c r="F37" i="190"/>
  <c r="F36" i="190"/>
  <c r="F35" i="190"/>
  <c r="F34" i="190"/>
  <c r="F33" i="190"/>
  <c r="F32" i="190"/>
  <c r="F31" i="190"/>
  <c r="F30" i="190"/>
  <c r="F29" i="190"/>
  <c r="F28" i="190"/>
  <c r="F27" i="190"/>
  <c r="F26" i="190"/>
  <c r="F25" i="190"/>
  <c r="F24" i="190"/>
  <c r="F23" i="190"/>
  <c r="F22" i="190"/>
  <c r="F21" i="190"/>
  <c r="F20" i="190"/>
  <c r="F19" i="190"/>
  <c r="F18" i="190"/>
  <c r="F17" i="190"/>
  <c r="F16" i="190"/>
  <c r="F15" i="190"/>
  <c r="F14" i="190"/>
  <c r="F13" i="190"/>
  <c r="F12" i="190"/>
  <c r="F11" i="190"/>
  <c r="F10" i="190"/>
  <c r="F9" i="190"/>
  <c r="J8" i="190"/>
  <c r="J9" i="190" s="1"/>
  <c r="J10" i="190" s="1"/>
  <c r="J11" i="190" s="1"/>
  <c r="J12" i="190" s="1"/>
  <c r="J13" i="190" s="1"/>
  <c r="J14" i="190" s="1"/>
  <c r="J15" i="190" s="1"/>
  <c r="J16" i="190" s="1"/>
  <c r="J17" i="190" s="1"/>
  <c r="J18" i="190" s="1"/>
  <c r="J19" i="190" s="1"/>
  <c r="J20" i="190" s="1"/>
  <c r="J21" i="190" s="1"/>
  <c r="J22" i="190" s="1"/>
  <c r="J23" i="190" s="1"/>
  <c r="J24" i="190" s="1"/>
  <c r="J25" i="190" s="1"/>
  <c r="J26" i="190" s="1"/>
  <c r="J27" i="190" s="1"/>
  <c r="J28" i="190" s="1"/>
  <c r="J29" i="190" s="1"/>
  <c r="J30" i="190" s="1"/>
  <c r="J31" i="190" s="1"/>
  <c r="J32" i="190" s="1"/>
  <c r="J33" i="190" s="1"/>
  <c r="J34" i="190" s="1"/>
  <c r="J35" i="190" s="1"/>
  <c r="J36" i="190" s="1"/>
  <c r="J37" i="190" s="1"/>
  <c r="J38" i="190" s="1"/>
  <c r="J39" i="190" s="1"/>
  <c r="J40" i="190" s="1"/>
  <c r="J41" i="190" s="1"/>
  <c r="F8" i="190"/>
  <c r="I8" i="190" s="1"/>
  <c r="I9" i="190" s="1"/>
  <c r="D97" i="190" l="1"/>
  <c r="F39" i="190"/>
  <c r="I10" i="190"/>
  <c r="I11" i="190" s="1"/>
  <c r="I12" i="190" s="1"/>
  <c r="I13" i="190" s="1"/>
  <c r="I14" i="190" s="1"/>
  <c r="I15" i="190" s="1"/>
  <c r="I16" i="190" s="1"/>
  <c r="I17" i="190" s="1"/>
  <c r="I18" i="190" s="1"/>
  <c r="I19" i="190" s="1"/>
  <c r="I20" i="190" s="1"/>
  <c r="I21" i="190" s="1"/>
  <c r="I22" i="190" s="1"/>
  <c r="I23" i="190" s="1"/>
  <c r="I24" i="190" s="1"/>
  <c r="I25" i="190" s="1"/>
  <c r="I26" i="190" s="1"/>
  <c r="I27" i="190" s="1"/>
  <c r="I28" i="190" s="1"/>
  <c r="I29" i="190" s="1"/>
  <c r="I30" i="190" s="1"/>
  <c r="I31" i="190" s="1"/>
  <c r="I32" i="190" s="1"/>
  <c r="I33" i="190" s="1"/>
  <c r="I34" i="190" s="1"/>
  <c r="I35" i="190" s="1"/>
  <c r="I36" i="190" s="1"/>
  <c r="I37" i="190" s="1"/>
  <c r="I38" i="190" s="1"/>
  <c r="I39" i="190" s="1"/>
  <c r="I40" i="190" s="1"/>
  <c r="I41" i="190" s="1"/>
  <c r="I42" i="190" s="1"/>
  <c r="I43" i="190" s="1"/>
  <c r="I44" i="190" s="1"/>
  <c r="I45" i="190" s="1"/>
  <c r="I46" i="190" s="1"/>
  <c r="I47" i="190" s="1"/>
  <c r="I48" i="190" s="1"/>
  <c r="I49" i="190" s="1"/>
  <c r="I50" i="190" s="1"/>
  <c r="I51" i="190" s="1"/>
  <c r="I52" i="190" s="1"/>
  <c r="I53" i="190" s="1"/>
  <c r="I54" i="190" s="1"/>
  <c r="I55" i="190" s="1"/>
  <c r="I56" i="190" s="1"/>
  <c r="I57" i="190" s="1"/>
  <c r="I58" i="190" s="1"/>
  <c r="I93" i="190" s="1"/>
  <c r="I94" i="190" s="1"/>
  <c r="I95" i="190" s="1"/>
  <c r="F97" i="190"/>
  <c r="E100" i="190" s="1"/>
  <c r="NE29" i="1"/>
  <c r="J95" i="190"/>
  <c r="J42" i="190"/>
  <c r="J43" i="190" s="1"/>
  <c r="J44" i="190" s="1"/>
  <c r="J45" i="190" s="1"/>
  <c r="J46" i="190" s="1"/>
  <c r="J47" i="190" s="1"/>
  <c r="J48" i="190" s="1"/>
  <c r="J49" i="190" s="1"/>
  <c r="J50" i="190" s="1"/>
  <c r="J51" i="190" s="1"/>
  <c r="J52" i="190" s="1"/>
  <c r="J53" i="190" s="1"/>
  <c r="J54" i="190" s="1"/>
  <c r="J55" i="190" s="1"/>
  <c r="J56" i="190" s="1"/>
  <c r="J57" i="190" s="1"/>
  <c r="J58" i="190" s="1"/>
  <c r="J93" i="190" s="1"/>
  <c r="J94" i="190" s="1"/>
  <c r="G5" i="190" l="1"/>
  <c r="H5" i="190" s="1"/>
  <c r="S17" i="38" l="1"/>
  <c r="B17" i="1" l="1"/>
  <c r="HU18" i="1" l="1"/>
  <c r="S18" i="38" l="1"/>
  <c r="S23" i="38" l="1"/>
  <c r="I168" i="38" l="1"/>
  <c r="I167" i="38"/>
  <c r="I166" i="38"/>
  <c r="S21" i="38" l="1"/>
  <c r="BP5" i="1" l="1"/>
  <c r="H4" i="1" l="1"/>
  <c r="G4" i="1"/>
  <c r="F4" i="1"/>
  <c r="E4" i="1"/>
  <c r="D4" i="1"/>
  <c r="B4" i="1"/>
  <c r="I144" i="38" l="1"/>
  <c r="I179" i="38" l="1"/>
  <c r="I178" i="38"/>
  <c r="D53" i="178" l="1"/>
  <c r="C52" i="178"/>
  <c r="E53" i="178" s="1"/>
  <c r="D51" i="178"/>
  <c r="F51" i="178" s="1"/>
  <c r="D50" i="178"/>
  <c r="F50" i="178" s="1"/>
  <c r="D49" i="178"/>
  <c r="F49" i="178" s="1"/>
  <c r="D48" i="178"/>
  <c r="F48" i="178" s="1"/>
  <c r="D47" i="178"/>
  <c r="F47" i="178" s="1"/>
  <c r="D46" i="178"/>
  <c r="F46" i="178" s="1"/>
  <c r="D45" i="178"/>
  <c r="F45" i="178" s="1"/>
  <c r="D44" i="178"/>
  <c r="F44" i="178" s="1"/>
  <c r="D43" i="178"/>
  <c r="F43" i="178" s="1"/>
  <c r="D42" i="178"/>
  <c r="F42" i="178" s="1"/>
  <c r="D41" i="178"/>
  <c r="F41" i="178" s="1"/>
  <c r="D40" i="178"/>
  <c r="F40" i="178" s="1"/>
  <c r="D39" i="178"/>
  <c r="F39" i="178" s="1"/>
  <c r="D38" i="178"/>
  <c r="F38" i="178" s="1"/>
  <c r="D37" i="178"/>
  <c r="F37" i="178" s="1"/>
  <c r="D36" i="178"/>
  <c r="F36" i="178" s="1"/>
  <c r="D35" i="178"/>
  <c r="F35" i="178" s="1"/>
  <c r="D34" i="178"/>
  <c r="F34" i="178" s="1"/>
  <c r="D33" i="178"/>
  <c r="F33" i="178" s="1"/>
  <c r="D32" i="178"/>
  <c r="F32" i="178" s="1"/>
  <c r="D31" i="178"/>
  <c r="F31" i="178" s="1"/>
  <c r="D30" i="178"/>
  <c r="F30" i="178" s="1"/>
  <c r="D29" i="178"/>
  <c r="F29" i="178" s="1"/>
  <c r="D28" i="178"/>
  <c r="F28" i="178" s="1"/>
  <c r="D27" i="178"/>
  <c r="F27" i="178" s="1"/>
  <c r="D26" i="178"/>
  <c r="F26" i="178" s="1"/>
  <c r="D25" i="178"/>
  <c r="F25" i="178" s="1"/>
  <c r="D24" i="178"/>
  <c r="F24" i="178" s="1"/>
  <c r="D23" i="178"/>
  <c r="F23" i="178" s="1"/>
  <c r="D22" i="178"/>
  <c r="F22" i="178" s="1"/>
  <c r="D21" i="178"/>
  <c r="F21" i="178" s="1"/>
  <c r="D20" i="178"/>
  <c r="F20" i="178" s="1"/>
  <c r="D19" i="178"/>
  <c r="F19" i="178" s="1"/>
  <c r="D18" i="178"/>
  <c r="F18" i="178" s="1"/>
  <c r="D17" i="178"/>
  <c r="F17" i="178" s="1"/>
  <c r="D16" i="178"/>
  <c r="F16" i="178" s="1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F8" i="178"/>
  <c r="I8" i="178" s="1"/>
  <c r="I9" i="178" l="1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D52" i="178"/>
  <c r="F52" i="178"/>
  <c r="I154" i="38"/>
  <c r="G5" i="178" l="1"/>
  <c r="H5" i="178" s="1"/>
  <c r="E55" i="178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F8" i="14"/>
  <c r="K8" i="14" l="1"/>
  <c r="I8" i="14"/>
  <c r="I9" i="14" s="1"/>
  <c r="D53" i="14"/>
  <c r="F10" i="14"/>
  <c r="K10" i="14" s="1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S12" i="38"/>
  <c r="E56" i="14" l="1"/>
  <c r="K53" i="14"/>
  <c r="H5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2" i="1"/>
  <c r="BQ23" i="1"/>
  <c r="BQ24" i="1"/>
  <c r="BQ25" i="1"/>
  <c r="BQ26" i="1"/>
  <c r="BQ27" i="1"/>
  <c r="BQ28" i="1"/>
  <c r="BQ29" i="1"/>
  <c r="JS18" i="1" l="1"/>
  <c r="JS17" i="1"/>
  <c r="JI18" i="1" l="1"/>
  <c r="JI19" i="1"/>
  <c r="JI20" i="1"/>
  <c r="HU29" i="1" l="1"/>
  <c r="HU28" i="1"/>
  <c r="HU27" i="1"/>
  <c r="HU26" i="1"/>
  <c r="HU25" i="1"/>
  <c r="HU24" i="1"/>
  <c r="HU23" i="1"/>
  <c r="HU22" i="1"/>
  <c r="HU21" i="1"/>
  <c r="HU20" i="1"/>
  <c r="HU19" i="1"/>
  <c r="HU17" i="1"/>
  <c r="HU16" i="1"/>
  <c r="HU15" i="1"/>
  <c r="HU14" i="1"/>
  <c r="HU13" i="1"/>
  <c r="HU12" i="1"/>
  <c r="HU11" i="1"/>
  <c r="HU10" i="1"/>
  <c r="HU9" i="1"/>
  <c r="HU8" i="1"/>
  <c r="IE30" i="1" l="1"/>
  <c r="HU30" i="1"/>
  <c r="ID5" i="1"/>
  <c r="FW17" i="1" l="1"/>
  <c r="FW18" i="1"/>
  <c r="DO17" i="1" l="1"/>
  <c r="C4" i="1" l="1"/>
  <c r="I4" i="1" l="1"/>
  <c r="KC17" i="1" l="1"/>
  <c r="KC18" i="1"/>
  <c r="KC19" i="1"/>
  <c r="C30" i="128"/>
  <c r="A30" i="128"/>
  <c r="F29" i="128"/>
  <c r="F28" i="128"/>
  <c r="J28" i="128" s="1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F17" i="128"/>
  <c r="J17" i="128" s="1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J10" i="128" s="1"/>
  <c r="F9" i="128"/>
  <c r="I9" i="128" s="1"/>
  <c r="J29" i="128" l="1"/>
  <c r="J9" i="128"/>
  <c r="I10" i="128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D30" i="128"/>
  <c r="F27" i="128"/>
  <c r="J27" i="128" s="1"/>
  <c r="I27" i="128" l="1"/>
  <c r="I28" i="128" s="1"/>
  <c r="F30" i="128"/>
  <c r="G5" i="128" s="1"/>
  <c r="H5" i="128" s="1"/>
  <c r="F32" i="128" l="1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J8" i="185" s="1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I173" i="38" l="1"/>
  <c r="I172" i="38"/>
  <c r="I171" i="38"/>
  <c r="I169" i="38"/>
  <c r="I165" i="38"/>
  <c r="I159" i="38"/>
  <c r="D35" i="179"/>
  <c r="C35" i="179"/>
  <c r="E38" i="179" s="1"/>
  <c r="F33" i="179"/>
  <c r="F32" i="179"/>
  <c r="F31" i="179"/>
  <c r="I9" i="179"/>
  <c r="I10" i="179" l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F35" i="179"/>
  <c r="E40" i="179" s="1"/>
  <c r="H6" i="179" l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IB32" i="1"/>
  <c r="IB33" i="1" s="1"/>
  <c r="HZ32" i="1"/>
  <c r="IN5" i="1"/>
  <c r="JH5" i="1"/>
  <c r="JR5" i="1"/>
  <c r="KV5" i="1"/>
  <c r="IO8" i="1"/>
  <c r="IY8" i="1"/>
  <c r="JI8" i="1"/>
  <c r="JS8" i="1"/>
  <c r="KW8" i="1"/>
  <c r="IO9" i="1"/>
  <c r="IY9" i="1"/>
  <c r="JI9" i="1"/>
  <c r="JS9" i="1"/>
  <c r="KW9" i="1"/>
  <c r="IO10" i="1"/>
  <c r="IY10" i="1"/>
  <c r="JI10" i="1"/>
  <c r="JS10" i="1"/>
  <c r="KW10" i="1"/>
  <c r="IO11" i="1"/>
  <c r="IY11" i="1"/>
  <c r="JI11" i="1"/>
  <c r="JS11" i="1"/>
  <c r="KW11" i="1"/>
  <c r="IO12" i="1"/>
  <c r="IY12" i="1"/>
  <c r="JI12" i="1"/>
  <c r="JS12" i="1"/>
  <c r="KW12" i="1"/>
  <c r="IO13" i="1"/>
  <c r="IY13" i="1"/>
  <c r="JI13" i="1"/>
  <c r="JS13" i="1"/>
  <c r="KW13" i="1"/>
  <c r="IO14" i="1"/>
  <c r="IY14" i="1"/>
  <c r="JI14" i="1"/>
  <c r="JS14" i="1"/>
  <c r="KW14" i="1"/>
  <c r="IO15" i="1"/>
  <c r="IY15" i="1"/>
  <c r="JI15" i="1"/>
  <c r="JS15" i="1"/>
  <c r="KW15" i="1"/>
  <c r="IY16" i="1"/>
  <c r="JI16" i="1"/>
  <c r="JS16" i="1"/>
  <c r="KW16" i="1"/>
  <c r="IY17" i="1"/>
  <c r="JI17" i="1"/>
  <c r="KW17" i="1"/>
  <c r="IY18" i="1"/>
  <c r="KW18" i="1"/>
  <c r="IY19" i="1"/>
  <c r="JS19" i="1"/>
  <c r="KW19" i="1"/>
  <c r="IY20" i="1"/>
  <c r="JS20" i="1"/>
  <c r="KW20" i="1"/>
  <c r="IY21" i="1"/>
  <c r="JI21" i="1"/>
  <c r="JS21" i="1"/>
  <c r="KW21" i="1"/>
  <c r="IY22" i="1"/>
  <c r="JI22" i="1"/>
  <c r="JS22" i="1"/>
  <c r="KW22" i="1"/>
  <c r="IY23" i="1"/>
  <c r="JI23" i="1"/>
  <c r="JS23" i="1"/>
  <c r="KW23" i="1"/>
  <c r="IY24" i="1"/>
  <c r="JI24" i="1"/>
  <c r="JS24" i="1"/>
  <c r="KW24" i="1"/>
  <c r="IY25" i="1"/>
  <c r="JI25" i="1"/>
  <c r="JS25" i="1"/>
  <c r="KW25" i="1"/>
  <c r="IO26" i="1"/>
  <c r="IY26" i="1"/>
  <c r="JI26" i="1"/>
  <c r="JS26" i="1"/>
  <c r="KW26" i="1"/>
  <c r="IO27" i="1"/>
  <c r="IY27" i="1"/>
  <c r="JI27" i="1"/>
  <c r="JS27" i="1"/>
  <c r="KW27" i="1"/>
  <c r="IO28" i="1"/>
  <c r="IY28" i="1"/>
  <c r="JI28" i="1"/>
  <c r="JS28" i="1"/>
  <c r="KW28" i="1"/>
  <c r="IO29" i="1"/>
  <c r="IY29" i="1"/>
  <c r="JI29" i="1"/>
  <c r="IJ32" i="1"/>
  <c r="IL32" i="1"/>
  <c r="IT32" i="1"/>
  <c r="IV32" i="1"/>
  <c r="JD32" i="1"/>
  <c r="JF32" i="1"/>
  <c r="JN32" i="1"/>
  <c r="JP32" i="1"/>
  <c r="KR32" i="1"/>
  <c r="KT32" i="1"/>
  <c r="KT33" i="1" s="1"/>
  <c r="IO30" i="1" l="1"/>
  <c r="JI30" i="1"/>
  <c r="JS29" i="1"/>
  <c r="KC29" i="1"/>
  <c r="KW29" i="1"/>
  <c r="JF33" i="1"/>
  <c r="IL33" i="1"/>
  <c r="JP33" i="1"/>
  <c r="IY30" i="1"/>
  <c r="IV33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CU31" i="1" l="1"/>
  <c r="PM9" i="1" l="1"/>
  <c r="PM10" i="1"/>
  <c r="PM11" i="1"/>
  <c r="PM12" i="1"/>
  <c r="PM13" i="1"/>
  <c r="PM14" i="1"/>
  <c r="PM15" i="1"/>
  <c r="PM16" i="1"/>
  <c r="PM17" i="1"/>
  <c r="PM18" i="1"/>
  <c r="PM19" i="1"/>
  <c r="PM20" i="1"/>
  <c r="PM21" i="1"/>
  <c r="PM22" i="1"/>
  <c r="PM23" i="1"/>
  <c r="PM24" i="1"/>
  <c r="PM25" i="1"/>
  <c r="PM26" i="1"/>
  <c r="PM27" i="1"/>
  <c r="PM28" i="1"/>
  <c r="PM8" i="1"/>
  <c r="PC9" i="1" l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S8" i="1"/>
  <c r="NO9" i="1"/>
  <c r="NO10" i="1"/>
  <c r="NO11" i="1"/>
  <c r="NO12" i="1"/>
  <c r="NO13" i="1"/>
  <c r="NO14" i="1"/>
  <c r="NO15" i="1"/>
  <c r="NO16" i="1"/>
  <c r="NO17" i="1"/>
  <c r="NO18" i="1"/>
  <c r="NO19" i="1"/>
  <c r="NO20" i="1"/>
  <c r="NO21" i="1"/>
  <c r="NO22" i="1"/>
  <c r="NO23" i="1"/>
  <c r="NO24" i="1"/>
  <c r="NO25" i="1"/>
  <c r="NO26" i="1"/>
  <c r="NO27" i="1"/>
  <c r="NO28" i="1"/>
  <c r="NO8" i="1"/>
  <c r="NY9" i="1"/>
  <c r="NY10" i="1"/>
  <c r="NY11" i="1"/>
  <c r="NY12" i="1"/>
  <c r="NY13" i="1"/>
  <c r="NY14" i="1"/>
  <c r="NY15" i="1"/>
  <c r="NY16" i="1"/>
  <c r="NY17" i="1"/>
  <c r="NY18" i="1"/>
  <c r="NY19" i="1"/>
  <c r="NY20" i="1"/>
  <c r="NY21" i="1"/>
  <c r="NY22" i="1"/>
  <c r="NY23" i="1"/>
  <c r="NY24" i="1"/>
  <c r="NY25" i="1"/>
  <c r="NY26" i="1"/>
  <c r="NY27" i="1"/>
  <c r="NY28" i="1"/>
  <c r="NY8" i="1"/>
  <c r="NY30" i="1" l="1"/>
  <c r="PC30" i="1"/>
  <c r="MU29" i="1"/>
  <c r="OS30" i="1"/>
  <c r="MK29" i="1"/>
  <c r="OI30" i="1"/>
  <c r="OB29" i="1"/>
  <c r="NO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FL5" i="1" l="1"/>
  <c r="BQ30" i="1" l="1"/>
  <c r="D29" i="164" l="1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HK19" i="1" l="1"/>
  <c r="HK18" i="1"/>
  <c r="HK17" i="1"/>
  <c r="HK9" i="1"/>
  <c r="HK10" i="1"/>
  <c r="HK11" i="1"/>
  <c r="HK12" i="1"/>
  <c r="HK13" i="1"/>
  <c r="HK14" i="1"/>
  <c r="HK15" i="1"/>
  <c r="HK16" i="1"/>
  <c r="HK20" i="1"/>
  <c r="HK21" i="1"/>
  <c r="HK22" i="1"/>
  <c r="HK23" i="1"/>
  <c r="HK24" i="1"/>
  <c r="HK25" i="1"/>
  <c r="HK26" i="1"/>
  <c r="HK27" i="1"/>
  <c r="HK28" i="1"/>
  <c r="HK8" i="1"/>
  <c r="HK29" i="1" l="1"/>
  <c r="HA9" i="1" l="1"/>
  <c r="HA10" i="1"/>
  <c r="HA11" i="1"/>
  <c r="HA12" i="1"/>
  <c r="HA13" i="1"/>
  <c r="HA14" i="1"/>
  <c r="HA15" i="1"/>
  <c r="HA16" i="1"/>
  <c r="HA17" i="1"/>
  <c r="HA18" i="1"/>
  <c r="HA19" i="1"/>
  <c r="HA20" i="1"/>
  <c r="HA21" i="1"/>
  <c r="HA22" i="1"/>
  <c r="HA23" i="1"/>
  <c r="HA24" i="1"/>
  <c r="HA25" i="1"/>
  <c r="HA26" i="1"/>
  <c r="HA27" i="1"/>
  <c r="HA28" i="1"/>
  <c r="HA8" i="1"/>
  <c r="GQ27" i="1"/>
  <c r="GQ28" i="1"/>
  <c r="GQ29" i="1"/>
  <c r="FW9" i="1"/>
  <c r="FW10" i="1"/>
  <c r="FW11" i="1"/>
  <c r="FW12" i="1"/>
  <c r="FW13" i="1"/>
  <c r="FW14" i="1"/>
  <c r="FW15" i="1"/>
  <c r="FW16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GG9" i="1"/>
  <c r="GG10" i="1"/>
  <c r="GG11" i="1"/>
  <c r="GG12" i="1"/>
  <c r="GG13" i="1"/>
  <c r="GG14" i="1"/>
  <c r="GG15" i="1"/>
  <c r="GG16" i="1"/>
  <c r="GG19" i="1"/>
  <c r="GG20" i="1"/>
  <c r="GG21" i="1"/>
  <c r="GG22" i="1"/>
  <c r="GG23" i="1"/>
  <c r="GG24" i="1"/>
  <c r="GG25" i="1"/>
  <c r="GG26" i="1"/>
  <c r="GG27" i="1"/>
  <c r="GG28" i="1"/>
  <c r="GG29" i="1"/>
  <c r="GG8" i="1"/>
  <c r="FM9" i="1"/>
  <c r="FM10" i="1"/>
  <c r="FM11" i="1"/>
  <c r="FM12" i="1"/>
  <c r="FM13" i="1"/>
  <c r="FM14" i="1"/>
  <c r="FM15" i="1"/>
  <c r="FM16" i="1"/>
  <c r="FM18" i="1"/>
  <c r="FM19" i="1"/>
  <c r="FM20" i="1"/>
  <c r="FM21" i="1"/>
  <c r="FM22" i="1"/>
  <c r="FM23" i="1"/>
  <c r="FM24" i="1"/>
  <c r="FM25" i="1"/>
  <c r="FM26" i="1"/>
  <c r="FM27" i="1"/>
  <c r="FM28" i="1"/>
  <c r="FM29" i="1"/>
  <c r="FM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GG30" i="1" l="1"/>
  <c r="FW30" i="1"/>
  <c r="HA29" i="1"/>
  <c r="EI29" i="1"/>
  <c r="GQ30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7" i="1"/>
  <c r="DO28" i="1"/>
  <c r="DO29" i="1"/>
  <c r="DO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O30" i="1" l="1"/>
  <c r="DY30" i="1"/>
  <c r="DE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10" i="1" l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30" i="1" l="1"/>
  <c r="S19" i="38" l="1"/>
  <c r="S9" i="38" l="1"/>
  <c r="S4" i="38" l="1"/>
  <c r="S5" i="38"/>
  <c r="I180" i="38" l="1"/>
  <c r="I181" i="38"/>
  <c r="I182" i="38"/>
  <c r="I183" i="38"/>
  <c r="I184" i="38"/>
  <c r="I185" i="38"/>
  <c r="I186" i="38"/>
  <c r="I187" i="38"/>
  <c r="I188" i="38"/>
  <c r="I189" i="38"/>
  <c r="I190" i="38"/>
  <c r="I5" i="1" l="1"/>
  <c r="I93" i="38" l="1"/>
  <c r="I94" i="38"/>
  <c r="I95" i="38"/>
  <c r="I191" i="38" l="1"/>
  <c r="I192" i="38"/>
  <c r="I193" i="38"/>
  <c r="I194" i="38"/>
  <c r="I195" i="38"/>
  <c r="I196" i="38"/>
  <c r="I197" i="38"/>
  <c r="I198" i="38"/>
  <c r="I199" i="38"/>
  <c r="I200" i="38"/>
  <c r="I201" i="38"/>
  <c r="I202" i="38"/>
  <c r="I120" i="38" l="1"/>
  <c r="S115" i="38" l="1"/>
  <c r="T115" i="38" s="1"/>
  <c r="I115" i="38" l="1"/>
  <c r="HJ5" i="1" l="1"/>
  <c r="C31" i="139" l="1"/>
  <c r="CT5" i="1" l="1"/>
  <c r="SC32" i="1" l="1"/>
  <c r="SC33" i="1" s="1"/>
  <c r="SA32" i="1"/>
  <c r="RS32" i="1"/>
  <c r="RS33" i="1" s="1"/>
  <c r="RQ32" i="1"/>
  <c r="SE5" i="1"/>
  <c r="RU5" i="1"/>
  <c r="I142" i="38" l="1"/>
  <c r="AE1" i="1" l="1"/>
  <c r="F10" i="156" l="1"/>
  <c r="I153" i="38" l="1"/>
  <c r="GZ5" i="1" l="1"/>
  <c r="D55" i="156" l="1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F55" i="156" l="1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G5" i="156" l="1"/>
  <c r="H5" i="156" s="1"/>
  <c r="D30" i="139" l="1"/>
  <c r="F31" i="139" l="1"/>
  <c r="D31" i="139"/>
  <c r="E34" i="139" l="1"/>
  <c r="H5" i="139"/>
  <c r="I114" i="38" l="1"/>
  <c r="BZ5" i="1" l="1"/>
  <c r="CJ5" i="1"/>
  <c r="BL32" i="1"/>
  <c r="BN32" i="1"/>
  <c r="BV32" i="1"/>
  <c r="BX33" i="1" s="1"/>
  <c r="CF32" i="1"/>
  <c r="CH32" i="1"/>
  <c r="CP32" i="1"/>
  <c r="CR32" i="1"/>
  <c r="CZ32" i="1"/>
  <c r="DB32" i="1"/>
  <c r="DB33" i="1" l="1"/>
  <c r="CH33" i="1"/>
  <c r="BN33" i="1"/>
  <c r="CR33" i="1"/>
  <c r="S25" i="38" l="1"/>
  <c r="S26" i="38"/>
  <c r="S96" i="38" l="1"/>
  <c r="T96" i="38" s="1"/>
  <c r="S97" i="38"/>
  <c r="T97" i="38" s="1"/>
  <c r="I176" i="38" l="1"/>
  <c r="GF5" i="1" l="1"/>
  <c r="FV5" i="1"/>
  <c r="EH5" i="1"/>
  <c r="DX5" i="1"/>
  <c r="I6" i="1"/>
  <c r="I147" i="38" l="1"/>
  <c r="I158" i="38"/>
  <c r="I174" i="38"/>
  <c r="I175" i="38"/>
  <c r="I177" i="38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U5" i="1"/>
  <c r="VD5" i="1"/>
  <c r="VM5" i="1"/>
  <c r="VV5" i="1"/>
  <c r="UQ32" i="1"/>
  <c r="US32" i="1"/>
  <c r="US33" i="1" s="1"/>
  <c r="UZ32" i="1"/>
  <c r="VB32" i="1"/>
  <c r="VB33" i="1" s="1"/>
  <c r="VI32" i="1"/>
  <c r="VK32" i="1"/>
  <c r="VK33" i="1" s="1"/>
  <c r="VR32" i="1"/>
  <c r="VT32" i="1"/>
  <c r="VT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RA5" i="1"/>
  <c r="RK5" i="1"/>
  <c r="QW32" i="1"/>
  <c r="QY32" i="1"/>
  <c r="QY33" i="1" s="1"/>
  <c r="RG32" i="1"/>
  <c r="RI32" i="1"/>
  <c r="RI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S13" i="38" l="1"/>
  <c r="AO1" i="1" l="1"/>
  <c r="AY1" i="1" s="1"/>
  <c r="D23" i="1" l="1"/>
  <c r="S6" i="38" l="1"/>
  <c r="S8" i="38"/>
  <c r="S16" i="38"/>
  <c r="S20" i="38"/>
  <c r="S7" i="38"/>
  <c r="S11" i="38"/>
  <c r="T53" i="38" l="1"/>
  <c r="HR32" i="1" l="1"/>
  <c r="HP32" i="1"/>
  <c r="HR33" i="1" l="1"/>
  <c r="HH32" i="1" l="1"/>
  <c r="HF32" i="1"/>
  <c r="GX32" i="1"/>
  <c r="GV32" i="1"/>
  <c r="GN32" i="1"/>
  <c r="GO5" i="1" s="1"/>
  <c r="GP5" i="1" s="1"/>
  <c r="I22" i="1" s="1"/>
  <c r="I22" i="38" s="1"/>
  <c r="GL32" i="1"/>
  <c r="GD32" i="1"/>
  <c r="GD33" i="1" s="1"/>
  <c r="GB32" i="1"/>
  <c r="FT32" i="1"/>
  <c r="FR32" i="1"/>
  <c r="FJ32" i="1"/>
  <c r="FH32" i="1"/>
  <c r="DV32" i="1"/>
  <c r="DT32" i="1"/>
  <c r="DL32" i="1"/>
  <c r="DJ32" i="1"/>
  <c r="GX33" i="1" l="1"/>
  <c r="FJ33" i="1"/>
  <c r="DV33" i="1"/>
  <c r="HH33" i="1"/>
  <c r="GN33" i="1"/>
  <c r="FT33" i="1"/>
  <c r="DL33" i="1"/>
  <c r="S34" i="38" l="1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C51" i="38" s="1"/>
  <c r="B51" i="1"/>
  <c r="B51" i="38" s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B49" i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FC32" i="1"/>
  <c r="AFC33" i="1" s="1"/>
  <c r="AFA32" i="1"/>
  <c r="AET32" i="1"/>
  <c r="AET33" i="1" s="1"/>
  <c r="AER32" i="1"/>
  <c r="AEK32" i="1"/>
  <c r="AEK33" i="1" s="1"/>
  <c r="AEI32" i="1"/>
  <c r="AEB32" i="1"/>
  <c r="AEB33" i="1" s="1"/>
  <c r="ADZ32" i="1"/>
  <c r="ADS32" i="1"/>
  <c r="ADS33" i="1" s="1"/>
  <c r="ADQ32" i="1"/>
  <c r="ADJ32" i="1"/>
  <c r="ADJ33" i="1" s="1"/>
  <c r="ADH32" i="1"/>
  <c r="ADA32" i="1"/>
  <c r="ADA33" i="1" s="1"/>
  <c r="ACY32" i="1"/>
  <c r="ACR32" i="1"/>
  <c r="ACR33" i="1" s="1"/>
  <c r="ACP32" i="1"/>
  <c r="ACI32" i="1"/>
  <c r="ACI33" i="1" s="1"/>
  <c r="ACG32" i="1"/>
  <c r="ABZ32" i="1"/>
  <c r="ABZ33" i="1" s="1"/>
  <c r="ABX32" i="1"/>
  <c r="ABQ32" i="1"/>
  <c r="ABQ33" i="1" s="1"/>
  <c r="ABO32" i="1"/>
  <c r="ABH32" i="1"/>
  <c r="ABF32" i="1"/>
  <c r="AAY32" i="1"/>
  <c r="AAY33" i="1" s="1"/>
  <c r="AAW32" i="1"/>
  <c r="AAP32" i="1"/>
  <c r="AAP33" i="1" s="1"/>
  <c r="AAN32" i="1"/>
  <c r="AAG32" i="1"/>
  <c r="AAG33" i="1" s="1"/>
  <c r="AAE32" i="1"/>
  <c r="ZX32" i="1"/>
  <c r="ZX33" i="1" s="1"/>
  <c r="ZV32" i="1"/>
  <c r="ZO32" i="1"/>
  <c r="ZO33" i="1" s="1"/>
  <c r="ZM32" i="1"/>
  <c r="ZF32" i="1"/>
  <c r="ZF33" i="1" s="1"/>
  <c r="ZD32" i="1"/>
  <c r="YW32" i="1"/>
  <c r="YW33" i="1" s="1"/>
  <c r="YU32" i="1"/>
  <c r="YN32" i="1"/>
  <c r="YN33" i="1" s="1"/>
  <c r="YL32" i="1"/>
  <c r="YE32" i="1"/>
  <c r="YE33" i="1" s="1"/>
  <c r="YC32" i="1"/>
  <c r="XV32" i="1"/>
  <c r="XV33" i="1" s="1"/>
  <c r="XT32" i="1"/>
  <c r="XM32" i="1"/>
  <c r="XM33" i="1" s="1"/>
  <c r="XK32" i="1"/>
  <c r="XD32" i="1"/>
  <c r="XD33" i="1" s="1"/>
  <c r="XB32" i="1"/>
  <c r="WU32" i="1"/>
  <c r="WU33" i="1" s="1"/>
  <c r="WS32" i="1"/>
  <c r="WL32" i="1"/>
  <c r="WL33" i="1" s="1"/>
  <c r="WJ32" i="1"/>
  <c r="WC32" i="1"/>
  <c r="WC33" i="1" s="1"/>
  <c r="WA32" i="1"/>
  <c r="UJ32" i="1"/>
  <c r="UJ33" i="1" s="1"/>
  <c r="UH32" i="1"/>
  <c r="UA32" i="1"/>
  <c r="UA33" i="1" s="1"/>
  <c r="TY32" i="1"/>
  <c r="TQ32" i="1"/>
  <c r="TQ33" i="1" s="1"/>
  <c r="TO32" i="1"/>
  <c r="TG32" i="1"/>
  <c r="TG33" i="1" s="1"/>
  <c r="TE32" i="1"/>
  <c r="SW32" i="1"/>
  <c r="SW33" i="1" s="1"/>
  <c r="SU32" i="1"/>
  <c r="SM32" i="1"/>
  <c r="SM33" i="1" s="1"/>
  <c r="SK32" i="1"/>
  <c r="QO32" i="1"/>
  <c r="QO33" i="1" s="1"/>
  <c r="QM32" i="1"/>
  <c r="QE32" i="1"/>
  <c r="QE33" i="1" s="1"/>
  <c r="QC32" i="1"/>
  <c r="PU32" i="1"/>
  <c r="PU33" i="1" s="1"/>
  <c r="PS32" i="1"/>
  <c r="PJ32" i="1"/>
  <c r="PH32" i="1"/>
  <c r="OZ32" i="1"/>
  <c r="OZ33" i="1" s="1"/>
  <c r="OX32" i="1"/>
  <c r="OP32" i="1"/>
  <c r="OP33" i="1" s="1"/>
  <c r="ON32" i="1"/>
  <c r="OF32" i="1"/>
  <c r="OF33" i="1" s="1"/>
  <c r="OD32" i="1"/>
  <c r="NV32" i="1"/>
  <c r="NV33" i="1" s="1"/>
  <c r="NT32" i="1"/>
  <c r="NL32" i="1"/>
  <c r="NL33" i="1" s="1"/>
  <c r="NJ32" i="1"/>
  <c r="MR32" i="1"/>
  <c r="MR33" i="1" s="1"/>
  <c r="MP32" i="1"/>
  <c r="MH32" i="1"/>
  <c r="MH33" i="1" s="1"/>
  <c r="MF32" i="1"/>
  <c r="H32" i="1"/>
  <c r="H32" i="38" s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T23" i="38" s="1"/>
  <c r="G23" i="1"/>
  <c r="G23" i="38" s="1"/>
  <c r="F23" i="1"/>
  <c r="E23" i="1"/>
  <c r="E23" i="38" s="1"/>
  <c r="D23" i="38"/>
  <c r="C23" i="38"/>
  <c r="B23" i="1"/>
  <c r="B23" i="38" s="1"/>
  <c r="H22" i="1"/>
  <c r="H22" i="38" s="1"/>
  <c r="T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T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FE5" i="1"/>
  <c r="AEV5" i="1"/>
  <c r="AEM5" i="1"/>
  <c r="AED5" i="1"/>
  <c r="ADU5" i="1"/>
  <c r="ADL5" i="1"/>
  <c r="ADC5" i="1"/>
  <c r="ACT5" i="1"/>
  <c r="ACK5" i="1"/>
  <c r="ACB5" i="1"/>
  <c r="ABS5" i="1"/>
  <c r="ABJ5" i="1"/>
  <c r="ABA5" i="1"/>
  <c r="AAR5" i="1"/>
  <c r="AAI5" i="1"/>
  <c r="ZZ5" i="1"/>
  <c r="ZQ5" i="1"/>
  <c r="ZH5" i="1"/>
  <c r="YY5" i="1"/>
  <c r="YP5" i="1"/>
  <c r="YG5" i="1"/>
  <c r="XX5" i="1"/>
  <c r="XO5" i="1"/>
  <c r="XF5" i="1"/>
  <c r="WW5" i="1"/>
  <c r="WN5" i="1"/>
  <c r="WE5" i="1"/>
  <c r="UL5" i="1"/>
  <c r="UC5" i="1"/>
  <c r="TS5" i="1"/>
  <c r="TI5" i="1"/>
  <c r="SY5" i="1"/>
  <c r="SO5" i="1"/>
  <c r="QQ5" i="1"/>
  <c r="QG5" i="1"/>
  <c r="PW5" i="1"/>
  <c r="PL5" i="1"/>
  <c r="PB5" i="1"/>
  <c r="OR5" i="1"/>
  <c r="OH5" i="1"/>
  <c r="NX5" i="1"/>
  <c r="NN5" i="1"/>
  <c r="MT5" i="1"/>
  <c r="MJ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Q203" i="38"/>
  <c r="M203" i="38"/>
  <c r="K203" i="38"/>
  <c r="S202" i="38"/>
  <c r="T202" i="38" s="1"/>
  <c r="S201" i="38"/>
  <c r="T201" i="38" s="1"/>
  <c r="S200" i="38"/>
  <c r="T200" i="38" s="1"/>
  <c r="S199" i="38"/>
  <c r="T199" i="38" s="1"/>
  <c r="S198" i="38"/>
  <c r="T198" i="38" s="1"/>
  <c r="S197" i="38"/>
  <c r="T197" i="38" s="1"/>
  <c r="S196" i="38"/>
  <c r="T196" i="38" s="1"/>
  <c r="S195" i="38"/>
  <c r="T195" i="38" s="1"/>
  <c r="S194" i="38"/>
  <c r="T194" i="38" s="1"/>
  <c r="S193" i="38"/>
  <c r="T193" i="38" s="1"/>
  <c r="S192" i="38"/>
  <c r="T192" i="38" s="1"/>
  <c r="S191" i="38"/>
  <c r="T191" i="38" s="1"/>
  <c r="S190" i="38"/>
  <c r="T190" i="38" s="1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S32" i="38"/>
  <c r="G32" i="38"/>
  <c r="F32" i="38"/>
  <c r="E32" i="38"/>
  <c r="D32" i="38"/>
  <c r="C32" i="38"/>
  <c r="B32" i="38"/>
  <c r="S31" i="38"/>
  <c r="H31" i="38"/>
  <c r="G31" i="38"/>
  <c r="F31" i="38"/>
  <c r="E31" i="38"/>
  <c r="D31" i="38"/>
  <c r="C31" i="38"/>
  <c r="B31" i="38"/>
  <c r="H30" i="38"/>
  <c r="T30" i="38" s="1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S24" i="38"/>
  <c r="AA23" i="38"/>
  <c r="AA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7" i="38"/>
  <c r="T28" i="38"/>
  <c r="T24" i="38"/>
  <c r="T31" i="38"/>
  <c r="HT1" i="1"/>
  <c r="ID1" i="1" s="1"/>
  <c r="IN1" i="1" s="1"/>
  <c r="T35" i="38"/>
  <c r="F23" i="38"/>
  <c r="I23" i="1"/>
  <c r="I23" i="38" s="1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3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J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BH33" i="1"/>
  <c r="T46" i="38"/>
  <c r="T45" i="38"/>
  <c r="T44" i="38"/>
  <c r="T43" i="38"/>
  <c r="T42" i="38"/>
  <c r="S203" i="38"/>
  <c r="IX1" i="1" l="1"/>
  <c r="JH1" i="1" s="1"/>
  <c r="JR1" i="1" s="1"/>
  <c r="KB1" i="1" s="1"/>
  <c r="KL1" i="1" s="1"/>
  <c r="KV1" i="1" s="1"/>
  <c r="LF1" i="1" s="1"/>
  <c r="LP1" i="1" s="1"/>
  <c r="LZ1" i="1" s="1"/>
  <c r="MJ1" i="1" s="1"/>
  <c r="MT1" i="1" s="1"/>
  <c r="ND1" i="1" s="1"/>
  <c r="NN1" i="1" s="1"/>
  <c r="NX1" i="1" s="1"/>
  <c r="OH1" i="1" s="1"/>
  <c r="OR1" i="1" s="1"/>
  <c r="PB1" i="1" s="1"/>
  <c r="PL1" i="1" s="1"/>
  <c r="PW1" i="1" s="1"/>
  <c r="QG1" i="1" s="1"/>
  <c r="QQ1" i="1" s="1"/>
  <c r="RA1" i="1" s="1"/>
  <c r="RK1" i="1" s="1"/>
  <c r="RU1" i="1" s="1"/>
  <c r="SE1" i="1" s="1"/>
  <c r="SO1" i="1" s="1"/>
  <c r="SY1" i="1" s="1"/>
  <c r="TI1" i="1" s="1"/>
  <c r="TS1" i="1" s="1"/>
  <c r="UC1" i="1" s="1"/>
  <c r="UL1" i="1" s="1"/>
  <c r="UU1" i="1" s="1"/>
  <c r="VD1" i="1" s="1"/>
  <c r="VM1" i="1" s="1"/>
  <c r="VV1" i="1" s="1"/>
  <c r="WE1" i="1" s="1"/>
  <c r="WN1" i="1" s="1"/>
  <c r="WW1" i="1" s="1"/>
  <c r="XF1" i="1" s="1"/>
  <c r="XO1" i="1" s="1"/>
  <c r="XX1" i="1" s="1"/>
  <c r="YG1" i="1" s="1"/>
  <c r="YP1" i="1" s="1"/>
  <c r="YY1" i="1" s="1"/>
  <c r="ZH1" i="1" s="1"/>
  <c r="ZQ1" i="1" s="1"/>
  <c r="ZZ1" i="1" s="1"/>
  <c r="AAI1" i="1" s="1"/>
  <c r="AAR1" i="1" s="1"/>
  <c r="ABA1" i="1" s="1"/>
  <c r="ABJ1" i="1" s="1"/>
  <c r="ABS1" i="1" s="1"/>
  <c r="ACB1" i="1" s="1"/>
  <c r="ACK1" i="1" s="1"/>
  <c r="ACT1" i="1" s="1"/>
  <c r="ADC1" i="1" s="1"/>
  <c r="ADL1" i="1" s="1"/>
  <c r="ADU1" i="1" s="1"/>
  <c r="AED1" i="1" s="1"/>
  <c r="AEM1" i="1" s="1"/>
  <c r="AEV1" i="1" s="1"/>
  <c r="AFE1" i="1" s="1"/>
  <c r="T68" i="38"/>
  <c r="T69" i="38"/>
  <c r="G203" i="38"/>
  <c r="I203" i="38"/>
  <c r="H203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l="1"/>
  <c r="JA1" i="1" s="1"/>
  <c r="JK1" i="1" s="1"/>
  <c r="JU1" i="1" s="1"/>
  <c r="KE1" i="1" s="1"/>
  <c r="KO1" i="1" s="1"/>
  <c r="KY1" i="1" s="1"/>
  <c r="LI1" i="1" s="1"/>
  <c r="LS1" i="1" s="1"/>
  <c r="MC1" i="1" s="1"/>
  <c r="MM1" i="1" s="1"/>
  <c r="MW1" i="1" s="1"/>
  <c r="NG1" i="1" s="1"/>
  <c r="NQ1" i="1" s="1"/>
  <c r="OA1" i="1" s="1"/>
  <c r="OK1" i="1" s="1"/>
  <c r="OU1" i="1" s="1"/>
  <c r="PE1" i="1" s="1"/>
  <c r="PP1" i="1" s="1"/>
  <c r="PZ1" i="1" l="1"/>
  <c r="QJ1" i="1" s="1"/>
  <c r="QT1" i="1" s="1"/>
  <c r="RD1" i="1" s="1"/>
  <c r="RN1" i="1" s="1"/>
  <c r="RX1" i="1" s="1"/>
  <c r="SH1" i="1" s="1"/>
  <c r="SR1" i="1" s="1"/>
  <c r="TB1" i="1" s="1"/>
  <c r="TL1" i="1" s="1"/>
  <c r="TV1" i="1" s="1"/>
  <c r="UE1" i="1" s="1"/>
  <c r="UN1" i="1" s="1"/>
  <c r="UW1" i="1" s="1"/>
  <c r="VF1" i="1" s="1"/>
  <c r="VO1" i="1" s="1"/>
  <c r="VX1" i="1" s="1"/>
  <c r="WG1" i="1" s="1"/>
  <c r="WP1" i="1" s="1"/>
  <c r="WY1" i="1" s="1"/>
  <c r="XH1" i="1" s="1"/>
  <c r="XQ1" i="1" s="1"/>
  <c r="XZ1" i="1" s="1"/>
  <c r="YI1" i="1" s="1"/>
  <c r="YR1" i="1" s="1"/>
  <c r="ZA1" i="1" s="1"/>
  <c r="ZJ1" i="1" s="1"/>
  <c r="ZS1" i="1" s="1"/>
  <c r="AAB1" i="1" s="1"/>
  <c r="AAK1" i="1" s="1"/>
  <c r="AAT1" i="1" s="1"/>
  <c r="ABC1" i="1" s="1"/>
  <c r="ABL1" i="1" s="1"/>
  <c r="ABU1" i="1" s="1"/>
  <c r="ACD1" i="1" s="1"/>
  <c r="ACM1" i="1" s="1"/>
  <c r="ACV1" i="1" s="1"/>
  <c r="ADE1" i="1" s="1"/>
  <c r="ADN1" i="1" s="1"/>
  <c r="ADW1" i="1" s="1"/>
  <c r="AEF1" i="1" s="1"/>
  <c r="AEO1" i="1" s="1"/>
  <c r="AEX1" i="1" s="1"/>
  <c r="B26" i="1" l="1"/>
  <c r="B26" i="38"/>
  <c r="B17" i="38"/>
</calcChain>
</file>

<file path=xl/sharedStrings.xml><?xml version="1.0" encoding="utf-8"?>
<sst xmlns="http://schemas.openxmlformats.org/spreadsheetml/2006/main" count="5243" uniqueCount="966">
  <si>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</si>
  <si>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</si>
  <si>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</si>
  <si>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</si>
  <si>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</si>
  <si>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</si>
  <si>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</si>
  <si>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</si>
  <si>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</si>
  <si>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</si>
  <si>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</si>
  <si>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</si>
  <si>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</si>
  <si>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</si>
  <si>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</si>
  <si>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</si>
  <si>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</si>
  <si>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</si>
  <si>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</si>
  <si>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</si>
  <si>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</si>
  <si>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</si>
  <si>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</si>
  <si>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</si>
  <si>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</si>
  <si>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</si>
  <si>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</si>
  <si>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</si>
  <si>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</si>
  <si>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</si>
  <si>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</si>
  <si>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</si>
  <si>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</si>
  <si>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</si>
  <si>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</si>
  <si>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</si>
  <si>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</si>
  <si>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</si>
  <si>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</si>
  <si>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</si>
  <si>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</si>
  <si>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</si>
  <si>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D</t>
  </si>
  <si>
    <t>FILETE TILAPIA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</si>
  <si>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</si>
  <si>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</si>
  <si>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</si>
  <si>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</si>
  <si>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</si>
  <si>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</si>
  <si>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>PAVOS</t>
  </si>
  <si>
    <t>saldo kilos</t>
  </si>
  <si>
    <t xml:space="preserve">I N N O V A </t>
  </si>
  <si>
    <t>SALDO KG</t>
  </si>
  <si>
    <t>PERNIL</t>
  </si>
  <si>
    <t>TRASPASO</t>
  </si>
  <si>
    <t>ESP. S/H</t>
  </si>
  <si>
    <t>CUERO COMBO</t>
  </si>
  <si>
    <t>PRECIO</t>
  </si>
  <si>
    <t>EXISENCIA</t>
  </si>
  <si>
    <t>Piezas</t>
  </si>
  <si>
    <t>VALOR SALIDA</t>
  </si>
  <si>
    <t>EL GRANJERO FELIZ</t>
  </si>
  <si>
    <t>ARRACHERA TAQUERA</t>
  </si>
  <si>
    <t>MARIMEX</t>
  </si>
  <si>
    <t>GRANJERO FELIZ</t>
  </si>
  <si>
    <t>ESPALDILLA</t>
  </si>
  <si>
    <t>DE CARNERO</t>
  </si>
  <si>
    <t>CAMARON COCIDO  41/50</t>
  </si>
  <si>
    <t>CAMARON COCIDO  100/200</t>
  </si>
  <si>
    <t xml:space="preserve">  A T U N  </t>
  </si>
  <si>
    <t>MANITAS DE CERDO</t>
  </si>
  <si>
    <t>ARRACHERA TAMPIQUEÑA</t>
  </si>
  <si>
    <t>CONTRA EXCEL 86K</t>
  </si>
  <si>
    <t>COSTILLA ESP DE CERDO</t>
  </si>
  <si>
    <t>SALMON</t>
  </si>
  <si>
    <t xml:space="preserve">QUESOS GOUDA </t>
  </si>
  <si>
    <t>CABEZA DE LOMO</t>
  </si>
  <si>
    <t>PIERNA S/H</t>
  </si>
  <si>
    <t>PULPA DE RES</t>
  </si>
  <si>
    <t xml:space="preserve">GRANJERO FELIZ </t>
  </si>
  <si>
    <t>BUCHE</t>
  </si>
  <si>
    <t xml:space="preserve">CARNERO CANAL X CAJA </t>
  </si>
  <si>
    <t xml:space="preserve">CUERO PANCETA </t>
  </si>
  <si>
    <t xml:space="preserve">INDIANA </t>
  </si>
  <si>
    <t>QUESOS GOUDA</t>
  </si>
  <si>
    <t>PERNIL con piel</t>
  </si>
  <si>
    <t>CAÑA DE LOMO</t>
  </si>
  <si>
    <t>PERNIL con cuero</t>
  </si>
  <si>
    <t>ARRACHERA  TEXANA</t>
  </si>
  <si>
    <t>PULPA NEGRA</t>
  </si>
  <si>
    <t>ESPALDILLA   S/H</t>
  </si>
  <si>
    <t>DISTRIBUIDORA PEPE</t>
  </si>
  <si>
    <t xml:space="preserve">FILETE </t>
  </si>
  <si>
    <t>PIERNA CON CUERO</t>
  </si>
  <si>
    <t>I N N O V A</t>
  </si>
  <si>
    <t>RECORTE     ESPECIAL</t>
  </si>
  <si>
    <t>ABASTECEDORA DE CARNES FRESCAS ROEL</t>
  </si>
  <si>
    <t xml:space="preserve">CHAMBARETE   CAJA </t>
  </si>
  <si>
    <t xml:space="preserve">CHULETA DE CERDO </t>
  </si>
  <si>
    <t>PUNTA DE CHELETA</t>
  </si>
  <si>
    <t>CUERO EN COMBO</t>
  </si>
  <si>
    <t>GRASA</t>
  </si>
  <si>
    <t>0079 A1</t>
  </si>
  <si>
    <t>0120 A1</t>
  </si>
  <si>
    <t>0131 A1</t>
  </si>
  <si>
    <t>IMPORTE</t>
  </si>
  <si>
    <t>INVENTARIO    DEL MES  DE  JUNIO 2022</t>
  </si>
  <si>
    <t>0459 A1</t>
  </si>
  <si>
    <t>0458 A1</t>
  </si>
  <si>
    <t>0463 A1</t>
  </si>
  <si>
    <t>0467 A1</t>
  </si>
  <si>
    <t>0470 A1</t>
  </si>
  <si>
    <t>0489 A1</t>
  </si>
  <si>
    <t>0496 A1</t>
  </si>
  <si>
    <t>0524 A1</t>
  </si>
  <si>
    <t>0563 A1</t>
  </si>
  <si>
    <t>0565 A1</t>
  </si>
  <si>
    <t>0564 A1</t>
  </si>
  <si>
    <t>0582 A1</t>
  </si>
  <si>
    <t>TOCINO  Nacional</t>
  </si>
  <si>
    <t>0603 A1</t>
  </si>
  <si>
    <t>0616 A1</t>
  </si>
  <si>
    <t>0635 A1</t>
  </si>
  <si>
    <t>0659 A1</t>
  </si>
  <si>
    <t>0664 A1</t>
  </si>
  <si>
    <t>0670 A1</t>
  </si>
  <si>
    <t xml:space="preserve">FILETE VAG CONG   DE CERDO </t>
  </si>
  <si>
    <t>0678 A1</t>
  </si>
  <si>
    <t>0688 A1</t>
  </si>
  <si>
    <t>0689 A1</t>
  </si>
  <si>
    <t>0692 A1</t>
  </si>
  <si>
    <t>0693 A1</t>
  </si>
  <si>
    <t>0711 A1</t>
  </si>
  <si>
    <t>0715 A1</t>
  </si>
  <si>
    <t>0723 A1</t>
  </si>
  <si>
    <t>0733 A1</t>
  </si>
  <si>
    <t>0744 A1</t>
  </si>
  <si>
    <t>0748 A1</t>
  </si>
  <si>
    <t>0770 A1</t>
  </si>
  <si>
    <t>0774 A1</t>
  </si>
  <si>
    <t>ENTRADA NO REGISTRADA POR ALMACEN</t>
  </si>
  <si>
    <t>EXCEL</t>
  </si>
  <si>
    <t>ENTRADA DEL MES DE SEPTIEMBRE 2022</t>
  </si>
  <si>
    <t>CORBATA Smithfield</t>
  </si>
  <si>
    <t>SESOS MARQUETA</t>
  </si>
  <si>
    <t>TOP SIRLON</t>
  </si>
  <si>
    <t>0794 A1</t>
  </si>
  <si>
    <t>0797 A1</t>
  </si>
  <si>
    <t>0822 A1</t>
  </si>
  <si>
    <t>0833 A1</t>
  </si>
  <si>
    <t>0848 A1</t>
  </si>
  <si>
    <t>0867 A1</t>
  </si>
  <si>
    <t>0893 A1</t>
  </si>
  <si>
    <t>0869 A1</t>
  </si>
  <si>
    <t>0870 A1</t>
  </si>
  <si>
    <t>0871 A1</t>
  </si>
  <si>
    <t>0926 A1</t>
  </si>
  <si>
    <t>0942 A1</t>
  </si>
  <si>
    <t>0946 A1</t>
  </si>
  <si>
    <t>0949 A1</t>
  </si>
  <si>
    <t>0952 A1</t>
  </si>
  <si>
    <t>0955 A1</t>
  </si>
  <si>
    <t>0956 A1</t>
  </si>
  <si>
    <t>0989 A1</t>
  </si>
  <si>
    <t>0995 A1</t>
  </si>
  <si>
    <t>0997 A1</t>
  </si>
  <si>
    <t>0002 B1</t>
  </si>
  <si>
    <t>0011 B1</t>
  </si>
  <si>
    <t>0015 B1</t>
  </si>
  <si>
    <t>0017 B1</t>
  </si>
  <si>
    <t>0032 B1</t>
  </si>
  <si>
    <t>0045 B1</t>
  </si>
  <si>
    <t>0069 B1</t>
  </si>
  <si>
    <t xml:space="preserve">COMERCIAL MAXIMEX S DE R </t>
  </si>
  <si>
    <t xml:space="preserve">COMERCIAL MARIMEX S DE RL </t>
  </si>
  <si>
    <t>ADAMS INT MORELIA</t>
  </si>
  <si>
    <t>TAMPIQUEÑA</t>
  </si>
  <si>
    <t>ARRACHERA TEXANA</t>
  </si>
  <si>
    <t>CARNES SELECTAS EL CIEN</t>
  </si>
  <si>
    <t>RES</t>
  </si>
  <si>
    <t>0078 B1</t>
  </si>
  <si>
    <t>0089 B1</t>
  </si>
  <si>
    <t>0096 B1</t>
  </si>
  <si>
    <t>0097 B1</t>
  </si>
  <si>
    <t>0100 B1</t>
  </si>
  <si>
    <t>0107 B1</t>
  </si>
  <si>
    <t>0110 B1</t>
  </si>
  <si>
    <t>0119 B1</t>
  </si>
  <si>
    <t>0124 B1</t>
  </si>
  <si>
    <t>0131 B1</t>
  </si>
  <si>
    <t>0138 B1</t>
  </si>
  <si>
    <t>0144 B1</t>
  </si>
  <si>
    <t>KARDES Reg. 4 cajas</t>
  </si>
  <si>
    <t>0147 B1</t>
  </si>
  <si>
    <t>0149B1</t>
  </si>
  <si>
    <t>0163 B1</t>
  </si>
  <si>
    <t>0168 B1</t>
  </si>
  <si>
    <t>0186 B1</t>
  </si>
  <si>
    <t>0187 B1</t>
  </si>
  <si>
    <t>0195 B1</t>
  </si>
  <si>
    <t>0198 B1</t>
  </si>
  <si>
    <t>0199 B1</t>
  </si>
  <si>
    <t>0204 B1</t>
  </si>
  <si>
    <t>0207 B1</t>
  </si>
  <si>
    <t>0210 B1</t>
  </si>
  <si>
    <t>0210 b1</t>
  </si>
  <si>
    <t>0212 B1</t>
  </si>
  <si>
    <t>0216 B1</t>
  </si>
  <si>
    <t>0220 B1</t>
  </si>
  <si>
    <t>0229 B1</t>
  </si>
  <si>
    <t>0231 B1</t>
  </si>
  <si>
    <t>0232 B1</t>
  </si>
  <si>
    <t>0248 B1</t>
  </si>
  <si>
    <t>0255 B1</t>
  </si>
  <si>
    <t>0257 B1</t>
  </si>
  <si>
    <t>0264 B1</t>
  </si>
  <si>
    <t>según 275 CAJAS ALMACEN</t>
  </si>
  <si>
    <t>INVENTARIO    DEL MES DE   OCTUBRE    2022</t>
  </si>
  <si>
    <t>TYSON FRESH MEAT</t>
  </si>
  <si>
    <t xml:space="preserve">I B P </t>
  </si>
  <si>
    <t>SEABOARD FOODS</t>
  </si>
  <si>
    <t>Seaboard</t>
  </si>
  <si>
    <t>BAK HERCA SDE RL DE CV</t>
  </si>
  <si>
    <t xml:space="preserve">RYC ALIMENTOS SA DE CV </t>
  </si>
  <si>
    <t xml:space="preserve"> I N N O V A </t>
  </si>
  <si>
    <t>INVENTARIO    DEL MES DE   NOVIEMBRE  2022</t>
  </si>
  <si>
    <t>PED. 90393224</t>
  </si>
  <si>
    <t>PED. 90393221</t>
  </si>
  <si>
    <t>NLSE22-213</t>
  </si>
  <si>
    <t>NLSE22-214</t>
  </si>
  <si>
    <t>Transfer S 30-Nov-22</t>
  </si>
  <si>
    <t>Transfer Bnte 30-Nov-22</t>
  </si>
  <si>
    <t>0272 B1</t>
  </si>
  <si>
    <t>0275 B1</t>
  </si>
  <si>
    <t>0275  B1</t>
  </si>
  <si>
    <t>0284 B1</t>
  </si>
  <si>
    <t>0286 B1</t>
  </si>
  <si>
    <t>0287 B1</t>
  </si>
  <si>
    <t>0291 B1</t>
  </si>
  <si>
    <t>0294 B1</t>
  </si>
  <si>
    <t>0300 B1</t>
  </si>
  <si>
    <t>0307 B1</t>
  </si>
  <si>
    <t>0308 B1</t>
  </si>
  <si>
    <t>0309 B1</t>
  </si>
  <si>
    <t>0313 B1</t>
  </si>
  <si>
    <t>0315 B1</t>
  </si>
  <si>
    <t>0316 B1</t>
  </si>
  <si>
    <t>0319 B1</t>
  </si>
  <si>
    <t>0321 B1</t>
  </si>
  <si>
    <t>0327 B1</t>
  </si>
  <si>
    <t>0329 B1</t>
  </si>
  <si>
    <t>0331 B1</t>
  </si>
  <si>
    <t>0334 B1</t>
  </si>
  <si>
    <t>0335 B1</t>
  </si>
  <si>
    <t>0338 B1</t>
  </si>
  <si>
    <t>0339 B1</t>
  </si>
  <si>
    <t>0340 B1</t>
  </si>
  <si>
    <t>0341 B1</t>
  </si>
  <si>
    <t>0342 B1</t>
  </si>
  <si>
    <t>0345 B1</t>
  </si>
  <si>
    <t>0348 B1</t>
  </si>
  <si>
    <t>0350 B1</t>
  </si>
  <si>
    <t>0353 B1</t>
  </si>
  <si>
    <t>0357 B1</t>
  </si>
  <si>
    <t>0358 B1</t>
  </si>
  <si>
    <t>0360 B1</t>
  </si>
  <si>
    <t>0361 B1</t>
  </si>
  <si>
    <t>0363. B1</t>
  </si>
  <si>
    <t>0363 B1</t>
  </si>
  <si>
    <t>0365 B1</t>
  </si>
  <si>
    <t>0373 b1</t>
  </si>
  <si>
    <t>0373 B1</t>
  </si>
  <si>
    <t>0369 B1</t>
  </si>
  <si>
    <t>0394 B1</t>
  </si>
  <si>
    <t>0376 B1</t>
  </si>
  <si>
    <t>0377 B1</t>
  </si>
  <si>
    <t>0383 B1</t>
  </si>
  <si>
    <t>0386 B1</t>
  </si>
  <si>
    <t>0387 B1</t>
  </si>
  <si>
    <t>0392 B1</t>
  </si>
  <si>
    <t>0393 B1</t>
  </si>
  <si>
    <t>0395 B1</t>
  </si>
  <si>
    <t>0403 B1</t>
  </si>
  <si>
    <t>0404 B1</t>
  </si>
  <si>
    <t>0406 B1</t>
  </si>
  <si>
    <t>0409 B1</t>
  </si>
  <si>
    <t>0410 B1</t>
  </si>
  <si>
    <t>0411 B1</t>
  </si>
  <si>
    <t>0412 B1</t>
  </si>
  <si>
    <t>0418 B1</t>
  </si>
  <si>
    <t>0428 B1</t>
  </si>
  <si>
    <t>0430 B1</t>
  </si>
  <si>
    <t>0431 B1</t>
  </si>
  <si>
    <t>0432 B1</t>
  </si>
  <si>
    <t>0435 B1</t>
  </si>
  <si>
    <t>0436 B1</t>
  </si>
  <si>
    <t>0440 B1</t>
  </si>
  <si>
    <t>0441 B1</t>
  </si>
  <si>
    <t>0443 B1</t>
  </si>
  <si>
    <t>0445 B1</t>
  </si>
  <si>
    <t>0447 B1</t>
  </si>
  <si>
    <t>0449 B1</t>
  </si>
  <si>
    <t>0452 B1</t>
  </si>
  <si>
    <t>0454 B1</t>
  </si>
  <si>
    <t>0455 B1</t>
  </si>
  <si>
    <t>0456 B1</t>
  </si>
  <si>
    <t>0457 B1</t>
  </si>
  <si>
    <t>0459 B1</t>
  </si>
  <si>
    <t>0461 B1</t>
  </si>
  <si>
    <t>0462 B1</t>
  </si>
  <si>
    <t>0463 B1</t>
  </si>
  <si>
    <t>0466 B1</t>
  </si>
  <si>
    <t>0467 B1</t>
  </si>
  <si>
    <t>0468 B1</t>
  </si>
  <si>
    <t>0471 B1</t>
  </si>
  <si>
    <t>AJUSTE ALMACEN</t>
  </si>
  <si>
    <t>REGISTRA  46 CAJAS</t>
  </si>
  <si>
    <t>ENTRADA DEL MES DE    DICIEMBRE    2022</t>
  </si>
  <si>
    <t>TOTAL DE ENTRADAS DEL MES      DICIEMBRE        2022</t>
  </si>
  <si>
    <t>INVENTARIO   DEL MES DE    NOVIEMBRE 2022</t>
  </si>
  <si>
    <t>INVENTARIO DE NOVIEMBRRE 2022</t>
  </si>
  <si>
    <t>INVENTARIO   DEL MES DE   NOVIEMBRE  2022</t>
  </si>
  <si>
    <t>INVENTARIO   DEL MES DE NOVIEMBRE  2022</t>
  </si>
  <si>
    <t>INVENTARIO    DEL MES DE NOVIEMBRE 2022</t>
  </si>
  <si>
    <t>INVENTARIO    DEL MES DE  NOVIEMBRE  2022</t>
  </si>
  <si>
    <t>INVENTARIO   DEL MES DE NOVIEMBRE 2022</t>
  </si>
  <si>
    <t>INVENTARIO    DEL MES DE NOVIEMBRE  2022</t>
  </si>
  <si>
    <t>INVENTARIO DEL MES DE  NOVIEMBRE  2022</t>
  </si>
  <si>
    <t>INVENTARIO    DEL MES DE    NOVIEMBRE    2022</t>
  </si>
  <si>
    <t>INVENTARIO      DEL MES DE   NOVIEMBRE       2022</t>
  </si>
  <si>
    <t>INVENTARIO  DEL MES DE   NOVIEMBRE 2022</t>
  </si>
  <si>
    <t xml:space="preserve"> INVENTARIO   DEL MES DE     NOVIEMBRE       2022</t>
  </si>
  <si>
    <t>INVENTARIO DEL MES DE NOVIEMBRE 2022</t>
  </si>
  <si>
    <t>INVENTARIO   DEL MES DE    NOVIEMBRE    2022</t>
  </si>
  <si>
    <t>PED. 90429145</t>
  </si>
  <si>
    <t>PED. 90446524</t>
  </si>
  <si>
    <t>PED. 90509378</t>
  </si>
  <si>
    <t>ENTRADA DE DICIEMBRE 2022</t>
  </si>
  <si>
    <t>ENTRADA DEL MES DE DICIEMBRE 2022</t>
  </si>
  <si>
    <t>PED. 90509303</t>
  </si>
  <si>
    <t xml:space="preserve">OJAI ALIMENTOS SA DE CV </t>
  </si>
  <si>
    <t>CERDO EN COMBO</t>
  </si>
  <si>
    <t>PED. 90587790</t>
  </si>
  <si>
    <t>PED. 90644060</t>
  </si>
  <si>
    <t>PED. 90707882</t>
  </si>
  <si>
    <t>PED. 90757463</t>
  </si>
  <si>
    <t>PED. 90722929</t>
  </si>
  <si>
    <t>PED. 90825607</t>
  </si>
  <si>
    <t>PED. 90825386</t>
  </si>
  <si>
    <t>NLSE22-219</t>
  </si>
  <si>
    <t>NLSE22-215</t>
  </si>
  <si>
    <t xml:space="preserve">  I N N O V A </t>
  </si>
  <si>
    <t>E-4280</t>
  </si>
  <si>
    <t>NLSE22-217</t>
  </si>
  <si>
    <t>A14-28187</t>
  </si>
  <si>
    <t>E-4281</t>
  </si>
  <si>
    <t>OBF-29173</t>
  </si>
  <si>
    <t>MENUDO EXCEL</t>
  </si>
  <si>
    <t>PU-109934</t>
  </si>
  <si>
    <t>NLSE22-216</t>
  </si>
  <si>
    <t>OJAI</t>
  </si>
  <si>
    <t>E-4282</t>
  </si>
  <si>
    <t>NLSE22-220</t>
  </si>
  <si>
    <t>N-5155</t>
  </si>
  <si>
    <t>NLSE22-223</t>
  </si>
  <si>
    <t>NLSE22-218</t>
  </si>
  <si>
    <t>Transfer S 23-Nov-22</t>
  </si>
  <si>
    <t>Transfer S 29-Nov-22</t>
  </si>
  <si>
    <t>Transfer B 25-Nov-22</t>
  </si>
  <si>
    <t xml:space="preserve">COMERCIAL MARIMEX S DE RL DE CV </t>
  </si>
  <si>
    <t>CAMARON 100/200</t>
  </si>
  <si>
    <t>CAMARON  16/20</t>
  </si>
  <si>
    <t>PLA-8273</t>
  </si>
  <si>
    <t>COMERCIAL MARIMEX</t>
  </si>
  <si>
    <t xml:space="preserve">COMERCIAL MARIMEX  </t>
  </si>
  <si>
    <t>Transfer B 2-Dic-22---6-Dic-22</t>
  </si>
  <si>
    <t>Transfer S 5-Dic-22</t>
  </si>
  <si>
    <t>A-61699-----------B-61033</t>
  </si>
  <si>
    <t>Transfer S 1-Dic-22</t>
  </si>
  <si>
    <t>Transfer S 2-Dic-2022----6-Dic-22</t>
  </si>
  <si>
    <t>A14-28172</t>
  </si>
  <si>
    <t>Transfer S 8-Dic-22</t>
  </si>
  <si>
    <t xml:space="preserve">Transfer B 2-Dic-22   </t>
  </si>
  <si>
    <t>Transfer B 5-Dic-22</t>
  </si>
  <si>
    <t>Transfer B 7-Dic-22</t>
  </si>
  <si>
    <t>Transfer B 8-Dic-22</t>
  </si>
  <si>
    <t>Transfer BNTE 1-Dic-22</t>
  </si>
  <si>
    <t>Transfer Bnte 1-Dic-22</t>
  </si>
  <si>
    <t>Transfer Bnte 2-Dic-22</t>
  </si>
  <si>
    <t>Transfer Bnte 5-Dic-22</t>
  </si>
  <si>
    <t>Transfer Bnte 6-Dic-22</t>
  </si>
  <si>
    <t>Transfer Bnte 8-Dic-22</t>
  </si>
  <si>
    <t>Transfer Bnte 9-Dic-22</t>
  </si>
  <si>
    <t>PECHO</t>
  </si>
  <si>
    <t>PED. 90825608</t>
  </si>
  <si>
    <t>PED. 90826159</t>
  </si>
  <si>
    <t>PED. 90888795</t>
  </si>
  <si>
    <t>PED. 90971391</t>
  </si>
  <si>
    <t>PED. 90970890</t>
  </si>
  <si>
    <t>PED. 90973441</t>
  </si>
  <si>
    <t>PED. 910285201</t>
  </si>
  <si>
    <t>TYSON FREHS MEAT</t>
  </si>
  <si>
    <t>PED. 91026280</t>
  </si>
  <si>
    <t>PED. 91075573</t>
  </si>
  <si>
    <t>PED. 91025870</t>
  </si>
  <si>
    <t>PED. 9102497</t>
  </si>
  <si>
    <t>PED. 91179969</t>
  </si>
  <si>
    <t>PED. 91092545</t>
  </si>
  <si>
    <t>PED. 91143502</t>
  </si>
  <si>
    <t>PED. 91307670</t>
  </si>
  <si>
    <t xml:space="preserve">I  B P </t>
  </si>
  <si>
    <t>PED. 91354477</t>
  </si>
  <si>
    <t>PED. 91409199</t>
  </si>
  <si>
    <t xml:space="preserve"> I B P</t>
  </si>
  <si>
    <t>PED. 91408419</t>
  </si>
  <si>
    <t>PED. 91479897</t>
  </si>
  <si>
    <t>PED. 91408800</t>
  </si>
  <si>
    <t>PED. 91478998</t>
  </si>
  <si>
    <t>PED. 91552977</t>
  </si>
  <si>
    <t>PED. 91548406</t>
  </si>
  <si>
    <t xml:space="preserve">ALIMENTOS CERTIFICADOS PUEBLA   I N N O V A </t>
  </si>
  <si>
    <t>ESPALDILLA S/H</t>
  </si>
  <si>
    <t>NLSE22-222</t>
  </si>
  <si>
    <t>NLSE22-221</t>
  </si>
  <si>
    <t>E-4283</t>
  </si>
  <si>
    <t>TOCINO NACIONAL</t>
  </si>
  <si>
    <t>CAMARON 41/50</t>
  </si>
  <si>
    <t>PLA-8371</t>
  </si>
  <si>
    <t>NLSE22-224</t>
  </si>
  <si>
    <t>NLSE22-225</t>
  </si>
  <si>
    <t>NLSE22-226</t>
  </si>
  <si>
    <t>I-2916</t>
  </si>
  <si>
    <t>I-2917</t>
  </si>
  <si>
    <t>CONTRA EXCEL</t>
  </si>
  <si>
    <t>I-2918</t>
  </si>
  <si>
    <t>NLSE22-227</t>
  </si>
  <si>
    <t>NLSE22-229</t>
  </si>
  <si>
    <t>NLSE22-230</t>
  </si>
  <si>
    <t>NLSE22-228</t>
  </si>
  <si>
    <t>NLSE22-231</t>
  </si>
  <si>
    <t>PAY DE CARNE</t>
  </si>
  <si>
    <t>LOMO RELLENO</t>
  </si>
  <si>
    <t>PECHUGA RELLENA</t>
  </si>
  <si>
    <t>PIERNA RELLENA</t>
  </si>
  <si>
    <t>GRAVY</t>
  </si>
  <si>
    <t>NLSE22-233</t>
  </si>
  <si>
    <t>I-2919</t>
  </si>
  <si>
    <t>NLSE22-232</t>
  </si>
  <si>
    <t>I-2920</t>
  </si>
  <si>
    <t>NLSE22-234</t>
  </si>
  <si>
    <t>NLSE22-236</t>
  </si>
  <si>
    <t>I-2921</t>
  </si>
  <si>
    <t>NLSE22-239</t>
  </si>
  <si>
    <t>NLSE22-240</t>
  </si>
  <si>
    <t>HC-12010</t>
  </si>
  <si>
    <t>ODELPA</t>
  </si>
  <si>
    <t>Transfer S 21-Dic-22</t>
  </si>
  <si>
    <t>Transfer B 19-Dic-22</t>
  </si>
  <si>
    <t>Transfer B 22-Dic-22</t>
  </si>
  <si>
    <t>Transfer S 6-Dic-22</t>
  </si>
  <si>
    <t>Transfer S 14-Dic-22</t>
  </si>
  <si>
    <t>Transfer S 22-Dic-22</t>
  </si>
  <si>
    <t>Transfer S 15-Dic-22</t>
  </si>
  <si>
    <t>Transfer S 16-Dic-22</t>
  </si>
  <si>
    <t>A-62641</t>
  </si>
  <si>
    <t>Transfer S 19-Dic-22</t>
  </si>
  <si>
    <t>ARCADIO LEDO BERTISTAIN     ALBICIA</t>
  </si>
  <si>
    <t>FOLIO CENTRAL 11047</t>
  </si>
  <si>
    <t>A-336307</t>
  </si>
  <si>
    <t>A-336348</t>
  </si>
  <si>
    <t>FOLIO CENTRAL 11206</t>
  </si>
  <si>
    <t>VARIOS NOTA 2986</t>
  </si>
  <si>
    <t>CUERO PAPEL NOTA 2541</t>
  </si>
  <si>
    <t>FOLIO CENTRAL 11204</t>
  </si>
  <si>
    <t>VARIOS NOTA 2942</t>
  </si>
  <si>
    <t>A-336343</t>
  </si>
  <si>
    <t>CARNEROS</t>
  </si>
  <si>
    <t>FOLIO CENTRAL 11192</t>
  </si>
  <si>
    <t>A-336342</t>
  </si>
  <si>
    <t>VARIOS NOTA 2768</t>
  </si>
  <si>
    <t>FOLIO CENTRAL 11202</t>
  </si>
  <si>
    <t>A-336335</t>
  </si>
  <si>
    <t>VARIOS NOTA 2335</t>
  </si>
  <si>
    <t>FOLIO CENTRAL 11197</t>
  </si>
  <si>
    <t>A-336303</t>
  </si>
  <si>
    <t>Transfer B 6-Dic-22</t>
  </si>
  <si>
    <t>Transfer B 9-Dic-22</t>
  </si>
  <si>
    <t>Transfer B 13-Dic-22</t>
  </si>
  <si>
    <t>Transfer B 14-Dic-22</t>
  </si>
  <si>
    <t>Transfer B 16-Dic-22</t>
  </si>
  <si>
    <t>Transfer B 21-Dic-22</t>
  </si>
  <si>
    <t>Transfer Bnte 13-Dic-22</t>
  </si>
  <si>
    <t>Transfer Bnte 14-Dic-22</t>
  </si>
  <si>
    <t>Tranfer Bnte 14-Dic-22</t>
  </si>
  <si>
    <t>Transfer Bnte 15-Dic-22</t>
  </si>
  <si>
    <t>Transfer Bnte 16-Dic-22</t>
  </si>
  <si>
    <t>Transfer B 2-Dic-22</t>
  </si>
  <si>
    <t>ENTRADA DEL MES DE DICIEMBRE  2022</t>
  </si>
  <si>
    <t>ADAMS INTERNATIONAL</t>
  </si>
  <si>
    <t xml:space="preserve">MORELIA SA DE CV </t>
  </si>
  <si>
    <t>PED. 91443107</t>
  </si>
  <si>
    <t>PED. 91548649</t>
  </si>
  <si>
    <t>PED. 91534162</t>
  </si>
  <si>
    <t xml:space="preserve">MARIA DE LOURDES HERNANDEZ CABRERA </t>
  </si>
  <si>
    <t>PED. 91509926</t>
  </si>
  <si>
    <t xml:space="preserve">ALIMENTOS CERTIFICADOS DE PUEBLA    I N N O V A </t>
  </si>
  <si>
    <t>PAPADA</t>
  </si>
  <si>
    <t xml:space="preserve">ALIMENTOS CERTIFICACOS DE PUEBLA  I N N O V A </t>
  </si>
  <si>
    <t>ENTRADA DEL MES DE  DICIEMBRE  2022</t>
  </si>
  <si>
    <t>PED. 91773391</t>
  </si>
  <si>
    <t>PED. 91773084</t>
  </si>
  <si>
    <t>PED. 91773083</t>
  </si>
  <si>
    <t>A14-28321</t>
  </si>
  <si>
    <t xml:space="preserve">ARRACHERA TAQUERA </t>
  </si>
  <si>
    <t>PLA-8486</t>
  </si>
  <si>
    <t xml:space="preserve">BAK HERCA S DE RL DE CV </t>
  </si>
  <si>
    <t xml:space="preserve">ESPALDILLA DE CARNERO </t>
  </si>
  <si>
    <t>A14-28345</t>
  </si>
  <si>
    <t xml:space="preserve">CHAMBARETE MIXCO </t>
  </si>
  <si>
    <t>PECHO DE RES</t>
  </si>
  <si>
    <t>PU-110665</t>
  </si>
  <si>
    <t>NLSE22-235</t>
  </si>
  <si>
    <t>NLSE22-238</t>
  </si>
  <si>
    <t>NLSE22-241</t>
  </si>
  <si>
    <t>Ma. DE LOURDES HDZ CABRERA</t>
  </si>
  <si>
    <t>CABEZA DE CERDO</t>
  </si>
  <si>
    <t xml:space="preserve">PECHO DE RES </t>
  </si>
  <si>
    <t>PU-110756</t>
  </si>
  <si>
    <t>PECHO DE CERDO</t>
  </si>
  <si>
    <t>SEABOARD</t>
  </si>
  <si>
    <t xml:space="preserve">PUNTA DE CHULETA </t>
  </si>
  <si>
    <t>NLSE22-245</t>
  </si>
  <si>
    <t>NLSE22-246</t>
  </si>
  <si>
    <t>I-2922</t>
  </si>
  <si>
    <t>PLA-8652</t>
  </si>
  <si>
    <t>PECHO RES</t>
  </si>
  <si>
    <t>PED. 91898611</t>
  </si>
  <si>
    <t>PED. 91934532</t>
  </si>
  <si>
    <t>NLSE22-248</t>
  </si>
  <si>
    <t>NLSE22-247</t>
  </si>
  <si>
    <t>PUNTAS DE CAÑA DE LOMO</t>
  </si>
  <si>
    <t>Transfer S 27-Dic-22</t>
  </si>
  <si>
    <t>HC-12143</t>
  </si>
  <si>
    <t>Transfer S 30-Dic-22</t>
  </si>
  <si>
    <t>HC-12104</t>
  </si>
  <si>
    <t>Transfer S 26-Dic-22  Maescy</t>
  </si>
  <si>
    <t>Transfer S 20-Dic-22</t>
  </si>
  <si>
    <t>Transfer s 26-Dic-22</t>
  </si>
  <si>
    <t>Transfer S 28-Dic-22</t>
  </si>
  <si>
    <t>Transfer S 29-Dic-22</t>
  </si>
  <si>
    <t>Transfer B 20-Dic-22</t>
  </si>
  <si>
    <t>Transfer Bnte 19-Dic-22</t>
  </si>
  <si>
    <t>Transfer Bnte 20-Dic-22</t>
  </si>
  <si>
    <t>Transfer Bnte 21-Dic-22</t>
  </si>
  <si>
    <t>Transfer Bnte 22-Dic-22</t>
  </si>
  <si>
    <t>Transfer Bnte 23-Dic-22</t>
  </si>
  <si>
    <t>Transfer Bnte 28-Dic-</t>
  </si>
  <si>
    <t>Transfer Bnte 28-Dic-22</t>
  </si>
  <si>
    <t>Transfer Bnte 29-Dic-22</t>
  </si>
  <si>
    <t>Transfer Bnte 30-Dic-22</t>
  </si>
  <si>
    <t>Transfer Bmte 30-Dic-22</t>
  </si>
  <si>
    <t>Transfer B 22-Nov-22</t>
  </si>
  <si>
    <t>NLSE22-237</t>
  </si>
  <si>
    <t>NLP03-22</t>
  </si>
  <si>
    <t>0472 B1</t>
  </si>
  <si>
    <t>0474 B1</t>
  </si>
  <si>
    <t>0475 B1</t>
  </si>
  <si>
    <t>0476 B1</t>
  </si>
  <si>
    <t>0477 B1</t>
  </si>
  <si>
    <t>0478 B1</t>
  </si>
  <si>
    <t>0479 B1</t>
  </si>
  <si>
    <t>0480 B1</t>
  </si>
  <si>
    <t>0481 B1</t>
  </si>
  <si>
    <t>0482 B1</t>
  </si>
  <si>
    <t>0483 B1</t>
  </si>
  <si>
    <t>0485 B1</t>
  </si>
  <si>
    <t>0486 B1</t>
  </si>
  <si>
    <t>0487 B1</t>
  </si>
  <si>
    <t>0488 B1</t>
  </si>
  <si>
    <t>0489 B1</t>
  </si>
  <si>
    <t>0491 B1</t>
  </si>
  <si>
    <t>0492 B1</t>
  </si>
  <si>
    <t>0490 B1</t>
  </si>
  <si>
    <t>0493 B1</t>
  </si>
  <si>
    <t>0494 B1</t>
  </si>
  <si>
    <t>0495 B1</t>
  </si>
  <si>
    <t>0496 B1</t>
  </si>
  <si>
    <t>0497 B1</t>
  </si>
  <si>
    <t>0498 B1</t>
  </si>
  <si>
    <t>0499 B1</t>
  </si>
  <si>
    <t>0500 B1</t>
  </si>
  <si>
    <t>0501 B1</t>
  </si>
  <si>
    <t>0502 B1</t>
  </si>
  <si>
    <t>0503 B1</t>
  </si>
  <si>
    <t>0505 B1</t>
  </si>
  <si>
    <t>0506 B1</t>
  </si>
  <si>
    <t>0507 B1</t>
  </si>
  <si>
    <t>0508 B1</t>
  </si>
  <si>
    <t>0509 B1</t>
  </si>
  <si>
    <t>0510 B1</t>
  </si>
  <si>
    <t>0514 B1</t>
  </si>
  <si>
    <t>0518 B1</t>
  </si>
  <si>
    <t>0520 B1</t>
  </si>
  <si>
    <t>0511 B1</t>
  </si>
  <si>
    <t>0512 B1</t>
  </si>
  <si>
    <t>0513 B1</t>
  </si>
  <si>
    <t>0515 B1</t>
  </si>
  <si>
    <t>0516 B1</t>
  </si>
  <si>
    <t>0519 B1</t>
  </si>
  <si>
    <t>0521 B1</t>
  </si>
  <si>
    <t>0522 B1</t>
  </si>
  <si>
    <t>0523 B1</t>
  </si>
  <si>
    <t>0524 B1</t>
  </si>
  <si>
    <t>0525 B1</t>
  </si>
  <si>
    <t>0526 B1</t>
  </si>
  <si>
    <t>0530 B1</t>
  </si>
  <si>
    <t>0527 B1</t>
  </si>
  <si>
    <t>0531 B1</t>
  </si>
  <si>
    <t>0531B1</t>
  </si>
  <si>
    <t>0532 B1</t>
  </si>
  <si>
    <t>0533 B1</t>
  </si>
  <si>
    <t>0534 B1</t>
  </si>
  <si>
    <t>0535 B1</t>
  </si>
  <si>
    <t>0536 B1</t>
  </si>
  <si>
    <t>0537 B1</t>
  </si>
  <si>
    <t>0538 B1</t>
  </si>
  <si>
    <t>0539 B1</t>
  </si>
  <si>
    <t>0540 B1</t>
  </si>
  <si>
    <t>0541 B1</t>
  </si>
  <si>
    <t>0542 B1</t>
  </si>
  <si>
    <t>0543 B1</t>
  </si>
  <si>
    <t>0544 B1</t>
  </si>
  <si>
    <t>0545 B1</t>
  </si>
  <si>
    <t>0546 B1</t>
  </si>
  <si>
    <t>0547 B1</t>
  </si>
  <si>
    <t>0548 B1</t>
  </si>
  <si>
    <t>0549 B1</t>
  </si>
  <si>
    <t>0550 B1</t>
  </si>
  <si>
    <t>0551 B1</t>
  </si>
  <si>
    <t>0553 B1</t>
  </si>
  <si>
    <t>0554 B1</t>
  </si>
  <si>
    <t>0555 B1</t>
  </si>
  <si>
    <t>0557 B1</t>
  </si>
  <si>
    <t>0558 B1</t>
  </si>
  <si>
    <t>0559 B1</t>
  </si>
  <si>
    <t>0560 B1</t>
  </si>
  <si>
    <t>0561 B1</t>
  </si>
  <si>
    <t>0562 B1</t>
  </si>
  <si>
    <t>0563 B1</t>
  </si>
  <si>
    <t>0564 B1</t>
  </si>
  <si>
    <t>0565 B1</t>
  </si>
  <si>
    <t>0566 B1</t>
  </si>
  <si>
    <t>0567 B1</t>
  </si>
  <si>
    <t>0568 B1</t>
  </si>
  <si>
    <t>0569 B1</t>
  </si>
  <si>
    <t>CAMARON COCIDO  16/20</t>
  </si>
  <si>
    <t>0570 B1</t>
  </si>
  <si>
    <t>0571 B1</t>
  </si>
  <si>
    <t>0572 B1</t>
  </si>
  <si>
    <t>0573 B1</t>
  </si>
  <si>
    <t>0574 B1</t>
  </si>
  <si>
    <t>0575 B1</t>
  </si>
  <si>
    <t>0576 B1</t>
  </si>
  <si>
    <t>0577 B1</t>
  </si>
  <si>
    <t>0579 B1</t>
  </si>
  <si>
    <t>0580 B1</t>
  </si>
  <si>
    <t>0581 B1</t>
  </si>
  <si>
    <t>0582 B1</t>
  </si>
  <si>
    <t>0583 B1</t>
  </si>
  <si>
    <t>0584 B1</t>
  </si>
  <si>
    <t>0585 B1</t>
  </si>
  <si>
    <t>0586 B1</t>
  </si>
  <si>
    <t>0587 B1</t>
  </si>
  <si>
    <t>0588 B1</t>
  </si>
  <si>
    <t>0589 B1</t>
  </si>
  <si>
    <t>0590 B1</t>
  </si>
  <si>
    <t>0591 B1</t>
  </si>
  <si>
    <t>0592 B1</t>
  </si>
  <si>
    <t>0593 B1</t>
  </si>
  <si>
    <t>0595 B1</t>
  </si>
  <si>
    <t>0597 B1</t>
  </si>
  <si>
    <t>0598 B1</t>
  </si>
  <si>
    <t>0599 B1</t>
  </si>
  <si>
    <t>0600 B1</t>
  </si>
  <si>
    <t>0601 b1</t>
  </si>
  <si>
    <t>0602 B1</t>
  </si>
  <si>
    <t>0604 B1</t>
  </si>
  <si>
    <t>0605 B1</t>
  </si>
  <si>
    <t>0606 B1</t>
  </si>
  <si>
    <t>0607 B1</t>
  </si>
  <si>
    <t>0608 B1</t>
  </si>
  <si>
    <t>0609 B1</t>
  </si>
  <si>
    <t>0601 B1</t>
  </si>
  <si>
    <t>0610 B1</t>
  </si>
  <si>
    <t>0611 B1</t>
  </si>
  <si>
    <t>0612 B1</t>
  </si>
  <si>
    <t>0613 B1</t>
  </si>
  <si>
    <t>0614 B1</t>
  </si>
  <si>
    <t>0616 B1</t>
  </si>
  <si>
    <t>0617 B1</t>
  </si>
  <si>
    <t>0618 B1</t>
  </si>
  <si>
    <t>0619 B1</t>
  </si>
  <si>
    <t>0620 B1</t>
  </si>
  <si>
    <t>0621 B1</t>
  </si>
  <si>
    <t>0622 B1</t>
  </si>
  <si>
    <t>0623 B1</t>
  </si>
  <si>
    <t>0633 B1</t>
  </si>
  <si>
    <t>0655 B1</t>
  </si>
  <si>
    <t>0666 B1</t>
  </si>
  <si>
    <t>0624 B1</t>
  </si>
  <si>
    <t>0626 B1</t>
  </si>
  <si>
    <t>0627 B1</t>
  </si>
  <si>
    <t>0628 B1</t>
  </si>
  <si>
    <t>0629 B1</t>
  </si>
  <si>
    <t>0630 B1</t>
  </si>
  <si>
    <t>0631 B1</t>
  </si>
  <si>
    <t>0632 B1</t>
  </si>
  <si>
    <t>0634 B1</t>
  </si>
  <si>
    <t>0636 B1</t>
  </si>
  <si>
    <t>0635 B1</t>
  </si>
  <si>
    <t>0637 B1</t>
  </si>
  <si>
    <t>0638 B1</t>
  </si>
  <si>
    <t>0639 B1</t>
  </si>
  <si>
    <t>0640 B1</t>
  </si>
  <si>
    <t>0641 B1</t>
  </si>
  <si>
    <t>0642 B1</t>
  </si>
  <si>
    <t>0643 B1</t>
  </si>
  <si>
    <t>0644 b1</t>
  </si>
  <si>
    <t>0645 B1</t>
  </si>
  <si>
    <t>0646 B1</t>
  </si>
  <si>
    <t>0647 B1</t>
  </si>
  <si>
    <t>0648 B1</t>
  </si>
  <si>
    <t>0649 B1</t>
  </si>
  <si>
    <t>0650 B1</t>
  </si>
  <si>
    <t>0652 B1</t>
  </si>
  <si>
    <t>0653 B1</t>
  </si>
  <si>
    <t>0656 B1</t>
  </si>
  <si>
    <t>0657 B1</t>
  </si>
  <si>
    <t>0658 B1</t>
  </si>
  <si>
    <t>0659 B1</t>
  </si>
  <si>
    <t>0660 B1</t>
  </si>
  <si>
    <t>0661 B1</t>
  </si>
  <si>
    <t>0662 B1</t>
  </si>
  <si>
    <t>0663 B1</t>
  </si>
  <si>
    <t>0664 B1</t>
  </si>
  <si>
    <t>0665 B1</t>
  </si>
  <si>
    <t>0667 B1</t>
  </si>
  <si>
    <t>0668 B1</t>
  </si>
  <si>
    <t>0669 B1</t>
  </si>
  <si>
    <t>0670 B1</t>
  </si>
  <si>
    <t>0671 B1</t>
  </si>
  <si>
    <t>0672 B1</t>
  </si>
  <si>
    <t>0673 B1</t>
  </si>
  <si>
    <t>0674 B1</t>
  </si>
  <si>
    <t>0675 B1</t>
  </si>
  <si>
    <t>0676 B1</t>
  </si>
  <si>
    <t>0677 B1</t>
  </si>
  <si>
    <t>0678 B1</t>
  </si>
  <si>
    <t>0679 B1</t>
  </si>
  <si>
    <t>0680 B1</t>
  </si>
  <si>
    <t>0681 B1</t>
  </si>
  <si>
    <t>0682 B1</t>
  </si>
  <si>
    <t>0683 B1</t>
  </si>
  <si>
    <t>0685 B1</t>
  </si>
  <si>
    <t>0686 B1</t>
  </si>
  <si>
    <t>0688 B1</t>
  </si>
  <si>
    <t>0689 B1</t>
  </si>
  <si>
    <t>0690 B1</t>
  </si>
  <si>
    <t>0691 B1</t>
  </si>
  <si>
    <t>0692 B1</t>
  </si>
  <si>
    <t>0692B1</t>
  </si>
  <si>
    <t>0693 B1</t>
  </si>
  <si>
    <t>0694 B1</t>
  </si>
  <si>
    <t>0695 B1</t>
  </si>
  <si>
    <t>0696 B1</t>
  </si>
  <si>
    <t>0697 B1</t>
  </si>
  <si>
    <t>0698 B1</t>
  </si>
  <si>
    <t>0699 B1</t>
  </si>
  <si>
    <t>0700 B1</t>
  </si>
  <si>
    <t>0701 B1</t>
  </si>
  <si>
    <t>0702 B1</t>
  </si>
  <si>
    <t>0703 B1</t>
  </si>
  <si>
    <t>0704 B1</t>
  </si>
  <si>
    <t>0705 B1</t>
  </si>
  <si>
    <t>0706 B1</t>
  </si>
  <si>
    <t>0707 B1</t>
  </si>
  <si>
    <t>0708 B1</t>
  </si>
  <si>
    <t>0709 B1</t>
  </si>
  <si>
    <t>0710 B1</t>
  </si>
  <si>
    <t>0711 B1</t>
  </si>
  <si>
    <t>0712 B1</t>
  </si>
  <si>
    <t>0713 B1</t>
  </si>
  <si>
    <t>0714 B1</t>
  </si>
  <si>
    <t>0715 B1</t>
  </si>
  <si>
    <t>0717 B1</t>
  </si>
  <si>
    <t>0718 B1</t>
  </si>
  <si>
    <t>0719 B1</t>
  </si>
  <si>
    <t>0720 B1</t>
  </si>
  <si>
    <t>0722 B1</t>
  </si>
  <si>
    <t>0723 B1</t>
  </si>
  <si>
    <t>0724 B1</t>
  </si>
  <si>
    <t>0734 B1</t>
  </si>
  <si>
    <t>0744 B1</t>
  </si>
  <si>
    <t>0754 B1</t>
  </si>
  <si>
    <t>0764 B1</t>
  </si>
  <si>
    <t>0774 B1</t>
  </si>
  <si>
    <t>0725 B1</t>
  </si>
  <si>
    <t>0726 B1</t>
  </si>
  <si>
    <t>0727 B1</t>
  </si>
  <si>
    <t>0737 B1</t>
  </si>
  <si>
    <t>0747 B1</t>
  </si>
  <si>
    <t>0757 B1</t>
  </si>
  <si>
    <t>0767 B1</t>
  </si>
  <si>
    <t>0728 B1</t>
  </si>
  <si>
    <t>0729 B1</t>
  </si>
  <si>
    <t>0730 B1</t>
  </si>
  <si>
    <t>0731 B1</t>
  </si>
  <si>
    <t>0732 B1</t>
  </si>
  <si>
    <t>0733 B1</t>
  </si>
  <si>
    <t>0735 B1</t>
  </si>
  <si>
    <t>0739 B1</t>
  </si>
  <si>
    <t>0740 B1</t>
  </si>
  <si>
    <t>0741 B1</t>
  </si>
  <si>
    <t>0742 B1</t>
  </si>
  <si>
    <t>0743 B1</t>
  </si>
  <si>
    <t>0745 B1</t>
  </si>
  <si>
    <t>0746 B1</t>
  </si>
  <si>
    <t>0748 B1</t>
  </si>
  <si>
    <t>CABEZA S/ PAPADA FRESCA</t>
  </si>
  <si>
    <t>0749 B1</t>
  </si>
  <si>
    <t>0750 B1</t>
  </si>
  <si>
    <t>0751 B1</t>
  </si>
  <si>
    <t>0752 B1</t>
  </si>
  <si>
    <t>0753 B1</t>
  </si>
  <si>
    <t>0755 B1</t>
  </si>
  <si>
    <t>0756 B1</t>
  </si>
  <si>
    <t>0758 B1</t>
  </si>
  <si>
    <t>0760 B1</t>
  </si>
  <si>
    <t>0761 B1</t>
  </si>
  <si>
    <t>0762 B1</t>
  </si>
  <si>
    <t>0763 B1</t>
  </si>
  <si>
    <t>0765 B1</t>
  </si>
  <si>
    <t>0766 B1</t>
  </si>
  <si>
    <t>0768 B1</t>
  </si>
  <si>
    <t>0769 B1</t>
  </si>
  <si>
    <t>0770 B1</t>
  </si>
  <si>
    <t>0771 B1</t>
  </si>
  <si>
    <t>0772 B1</t>
  </si>
  <si>
    <t>0773 B1</t>
  </si>
  <si>
    <t>0775 B1</t>
  </si>
  <si>
    <t>0778 B1</t>
  </si>
  <si>
    <t>0779 B1</t>
  </si>
  <si>
    <t>0780 B1</t>
  </si>
  <si>
    <t>0781 B1</t>
  </si>
  <si>
    <t>0782 B1</t>
  </si>
  <si>
    <t>0783 B1</t>
  </si>
  <si>
    <t>0784 B1</t>
  </si>
  <si>
    <t>0786 B1</t>
  </si>
  <si>
    <t>0787 B1</t>
  </si>
  <si>
    <t>0788 B1</t>
  </si>
  <si>
    <t>0789 B1</t>
  </si>
  <si>
    <t>0791 B1</t>
  </si>
  <si>
    <t>0790 B1</t>
  </si>
  <si>
    <t>0793 B1</t>
  </si>
  <si>
    <t>0794 B1</t>
  </si>
  <si>
    <t>0795 B1</t>
  </si>
  <si>
    <t>0797 B1</t>
  </si>
  <si>
    <t>0798 B1</t>
  </si>
  <si>
    <t>0799 B1</t>
  </si>
  <si>
    <t>0800 B1</t>
  </si>
  <si>
    <t>0801 B1</t>
  </si>
  <si>
    <t>0802 B1</t>
  </si>
  <si>
    <t>0803 B1</t>
  </si>
  <si>
    <t>0804 B1</t>
  </si>
  <si>
    <t>0805 B1</t>
  </si>
  <si>
    <t>0806 B1</t>
  </si>
  <si>
    <t>0807 B1</t>
  </si>
  <si>
    <t>PED. 92055233</t>
  </si>
  <si>
    <t xml:space="preserve">SEABOARD FOODS </t>
  </si>
  <si>
    <t>PED. 92055235</t>
  </si>
  <si>
    <t>PED. 92055028</t>
  </si>
  <si>
    <t>PED. 92094650</t>
  </si>
  <si>
    <t>PED. 92113256</t>
  </si>
  <si>
    <t>PED. 92195156</t>
  </si>
  <si>
    <t>0808 B1</t>
  </si>
  <si>
    <t>0810 B1</t>
  </si>
  <si>
    <t>0812 B1</t>
  </si>
  <si>
    <t>0813 B1</t>
  </si>
  <si>
    <t>0814 B1</t>
  </si>
  <si>
    <t>0815 B1</t>
  </si>
  <si>
    <t>0816 B1</t>
  </si>
  <si>
    <t>0818 B1</t>
  </si>
  <si>
    <t>0819 B1</t>
  </si>
  <si>
    <t>0820 B1</t>
  </si>
  <si>
    <t>0821 B1</t>
  </si>
  <si>
    <t>0822 B1</t>
  </si>
  <si>
    <t>0823 B1</t>
  </si>
  <si>
    <t>0824 B1</t>
  </si>
  <si>
    <t>0825 B1</t>
  </si>
  <si>
    <t>0826 B1</t>
  </si>
  <si>
    <t>0827 B1</t>
  </si>
  <si>
    <t>0828 B1</t>
  </si>
  <si>
    <t>0829 B1</t>
  </si>
  <si>
    <t>0830 B1</t>
  </si>
  <si>
    <t>0831 B1</t>
  </si>
  <si>
    <t>0833 B1</t>
  </si>
  <si>
    <t>0834 B1</t>
  </si>
  <si>
    <t>0836 B1</t>
  </si>
  <si>
    <t>0837 B1</t>
  </si>
  <si>
    <t>0838 B1</t>
  </si>
  <si>
    <t>0839 B1</t>
  </si>
  <si>
    <t>0840 B1</t>
  </si>
  <si>
    <t>0841 B1</t>
  </si>
  <si>
    <t>0842 B1</t>
  </si>
  <si>
    <t>0843 B1</t>
  </si>
  <si>
    <t>0844 B1</t>
  </si>
  <si>
    <t>NLSE23-01</t>
  </si>
  <si>
    <t>NLSE23-02</t>
  </si>
  <si>
    <t>I-2926</t>
  </si>
  <si>
    <t>I-2923</t>
  </si>
  <si>
    <t>NLSE23-03</t>
  </si>
  <si>
    <t>NLSE23-05</t>
  </si>
  <si>
    <t>HC-12178</t>
  </si>
  <si>
    <t>Transfer S 3-Ene-23</t>
  </si>
  <si>
    <t>Transfer S 2-Ene-23</t>
  </si>
  <si>
    <t>HC-12236</t>
  </si>
  <si>
    <t>Transfer S 9-Ene-23</t>
  </si>
  <si>
    <t>Transfer B 5-Ene-23</t>
  </si>
  <si>
    <t>HC-12251</t>
  </si>
  <si>
    <t xml:space="preserve">ODELPA </t>
  </si>
  <si>
    <t>Transfer B 13--Ene-23</t>
  </si>
  <si>
    <t>Transfer B 9-Ene-23</t>
  </si>
  <si>
    <t>ALBICIA</t>
  </si>
  <si>
    <t>VARIOS</t>
  </si>
  <si>
    <t>A-336521</t>
  </si>
  <si>
    <t>A-336365</t>
  </si>
  <si>
    <t>POLLO</t>
  </si>
  <si>
    <t>PIERNA AHUMADA</t>
  </si>
  <si>
    <t>A-336371</t>
  </si>
  <si>
    <t>A-336376</t>
  </si>
  <si>
    <t>Transfer S 2--Ene-23</t>
  </si>
  <si>
    <t>X</t>
  </si>
  <si>
    <t>A-336435</t>
  </si>
  <si>
    <t>FOLIO CENTRAL 11228</t>
  </si>
  <si>
    <t>Nota 4732</t>
  </si>
  <si>
    <t>FOLIO CENTRAL 11219</t>
  </si>
  <si>
    <t>Nota 3929</t>
  </si>
  <si>
    <t>FOLIO CENTRAL 11223</t>
  </si>
  <si>
    <t>Nota 4177</t>
  </si>
  <si>
    <t>FOLIO CENTRAL 11216</t>
  </si>
  <si>
    <t>Nota 3812</t>
  </si>
  <si>
    <t>FOLIO CENTRAL  11215</t>
  </si>
  <si>
    <t>NOTA 3688</t>
  </si>
  <si>
    <t>FOLIO CENTRAL 11213</t>
  </si>
  <si>
    <t>NOTA  3581</t>
  </si>
  <si>
    <t>A-336480</t>
  </si>
  <si>
    <t>A12-70900</t>
  </si>
  <si>
    <t>Transfer S 11-Ene-23</t>
  </si>
  <si>
    <t>Transfe B 6-Ene-23</t>
  </si>
  <si>
    <t>Transfer Bnte 3-Ene-23</t>
  </si>
  <si>
    <t>Transfer Bnte 4-Ene-23</t>
  </si>
  <si>
    <t>Transfer Bnte 5-Ene-23</t>
  </si>
  <si>
    <t>Tranfer Bnte 6-Ene-23</t>
  </si>
  <si>
    <t>Transfer Bnte 6-Ene-23</t>
  </si>
  <si>
    <t>Transfer Bnte 13-Ene-23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</si>
</sst>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#,##0.000"/>
  </numFmts>
  <fonts count="92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b/>
      <sz val="16"/>
      <color theme="1"/>
      <name val="Arial"/>
      <family val="2"/>
    </font>
    <font>
      <b/>
      <sz val="22"/>
      <color rgb="FF0000FF"/>
      <name val="Times New Roman"/>
      <family val="1"/>
      <scheme val="minor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4"/>
      <color theme="1"/>
      <name val="Times New Roman"/>
      <family val="2"/>
      <scheme val="minor"/>
    </font>
    <font>
      <b/>
      <sz val="11"/>
      <color rgb="FFC00000"/>
      <name val="Times New Roman"/>
      <family val="1"/>
      <scheme val="minor"/>
    </font>
    <font>
      <b/>
      <sz val="14"/>
      <color rgb="FF0000FF"/>
      <name val="Times New Roman"/>
      <family val="1"/>
      <scheme val="minor"/>
    </font>
    <font>
      <b/>
      <sz val="11"/>
      <color theme="9" tint="-0.499984740745262"/>
      <name val="Times New Roman"/>
      <family val="1"/>
      <scheme val="minor"/>
    </font>
    <font>
      <sz val="32"/>
      <color rgb="FF0000FF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sz val="10"/>
      <color rgb="FF0000FF"/>
      <name val="Times New Roman"/>
      <family val="1"/>
      <scheme val="minor"/>
    </font>
    <font>
      <b/>
      <sz val="18"/>
      <color rgb="FF0000FF"/>
      <name val="Times New Roman"/>
      <family val="1"/>
      <scheme val="minor"/>
    </font>
    <font>
      <b/>
      <sz val="12"/>
      <color rgb="FF00B050"/>
      <name val="Times New Roman"/>
      <family val="1"/>
      <scheme val="minor"/>
    </font>
    <font>
      <b/>
      <sz val="14"/>
      <color theme="5" tint="-0.249977111117893"/>
      <name val="Times New Roman"/>
      <family val="1"/>
      <scheme val="minor"/>
    </font>
    <font>
      <sz val="11"/>
      <color rgb="FF00B050"/>
      <name val="Times New Roman"/>
      <family val="1"/>
      <scheme val="minor"/>
    </font>
    <font>
      <b/>
      <sz val="12"/>
      <name val="Times New Roman"/>
      <family val="1"/>
      <scheme val="minor"/>
    </font>
    <font>
      <b/>
      <i/>
      <sz val="13"/>
      <color theme="1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rgb="FF00B050"/>
      <name val="Times New Roman"/>
      <family val="2"/>
      <scheme val="minor"/>
    </font>
    <font>
      <b/>
      <sz val="12"/>
      <color theme="5" tint="-0.249977111117893"/>
      <name val="Times New Roman"/>
      <family val="1"/>
      <scheme val="minor"/>
    </font>
    <font>
      <b/>
      <sz val="13"/>
      <color rgb="FF0000FF"/>
      <name val="Times New Roman"/>
      <family val="2"/>
      <scheme val="minor"/>
    </font>
    <font>
      <b/>
      <sz val="12"/>
      <color rgb="FFFF0000"/>
      <name val="Times New Roman"/>
      <family val="1"/>
      <scheme val="minor"/>
    </font>
    <font>
      <b/>
      <sz val="10"/>
      <color theme="5" tint="-0.249977111117893"/>
      <name val="Times New Roman"/>
      <family val="1"/>
      <scheme val="minor"/>
    </font>
    <font>
      <b/>
      <sz val="9"/>
      <color theme="5" tint="-0.249977111117893"/>
      <name val="Times New Roman"/>
      <family val="1"/>
      <scheme val="minor"/>
    </font>
    <font>
      <b/>
      <sz val="11"/>
      <color rgb="FFFF3399"/>
      <name val="Times New Roman"/>
      <family val="2"/>
      <scheme val="minor"/>
    </font>
    <font>
      <sz val="11"/>
      <color rgb="FFFF3399"/>
      <name val="Times New Roman"/>
      <family val="2"/>
      <scheme val="minor"/>
    </font>
    <font>
      <b/>
      <sz val="13"/>
      <color theme="1"/>
      <name val="Times New Roman"/>
      <family val="2"/>
      <scheme val="minor"/>
    </font>
    <font>
      <b/>
      <sz val="11"/>
      <color theme="5" tint="-0.249977111117893"/>
      <name val="Times New Roman"/>
      <family val="2"/>
      <scheme val="minor"/>
    </font>
    <font>
      <b/>
      <sz val="16"/>
      <color theme="5" tint="-0.249977111117893"/>
      <name val="Times New Roman"/>
      <family val="1"/>
      <scheme val="minor"/>
    </font>
    <font>
      <b/>
      <sz val="14"/>
      <color theme="5" tint="-0.249977111117893"/>
      <name val="Times New Roman"/>
      <family val="2"/>
      <scheme val="minor"/>
    </font>
    <font>
      <b/>
      <sz val="14"/>
      <color rgb="FF0000FF"/>
      <name val="Times New Roman"/>
      <family val="2"/>
      <scheme val="minor"/>
    </font>
    <font>
      <b/>
      <sz val="10"/>
      <color theme="1"/>
      <name val="Calibri"/>
      <family val="2"/>
    </font>
  </fonts>
  <fills count="2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9FFCC"/>
        <bgColor indexed="64"/>
      </patternFill>
    </fill>
  </fills>
  <borders count="1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thin">
        <color indexed="64"/>
      </top>
      <bottom style="mediumDashed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indexed="64"/>
      </left>
      <right style="mediumDashed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mediumDashDot">
        <color indexed="64"/>
      </left>
      <right style="mediumDashDot">
        <color indexed="64"/>
      </right>
      <top style="mediumDashDot">
        <color indexed="64"/>
      </top>
      <bottom/>
      <diagonal/>
    </border>
    <border>
      <left style="mediumDashDot">
        <color indexed="64"/>
      </left>
      <right style="mediumDashDot">
        <color indexed="64"/>
      </right>
      <top/>
      <bottom style="mediumDashDot">
        <color indexed="64"/>
      </bottom>
      <diagonal/>
    </border>
    <border>
      <left style="thick">
        <color indexed="64"/>
      </left>
      <right style="thick">
        <color indexed="64"/>
      </right>
      <top/>
      <bottom style="mediumDashDot">
        <color indexed="64"/>
      </bottom>
      <diagonal/>
    </border>
    <border>
      <left style="thick">
        <color indexed="64"/>
      </left>
      <right style="thick">
        <color indexed="64"/>
      </right>
      <top style="mediumDashDot">
        <color indexed="64"/>
      </top>
      <bottom/>
      <diagonal/>
    </border>
    <border>
      <left style="mediumDashed">
        <color indexed="64"/>
      </left>
      <right style="mediumDashed">
        <color indexed="64"/>
      </right>
      <top style="medium">
        <color indexed="64"/>
      </top>
      <bottom/>
      <diagonal/>
    </border>
    <border>
      <left style="mediumDashed">
        <color auto="1"/>
      </left>
      <right style="thin">
        <color indexed="64"/>
      </right>
      <top style="thin">
        <color indexed="64"/>
      </top>
      <bottom/>
      <diagonal/>
    </border>
    <border>
      <left style="mediumDashed">
        <color auto="1"/>
      </left>
      <right style="thin">
        <color indexed="64"/>
      </right>
      <top/>
      <bottom style="thin">
        <color indexed="64"/>
      </bottom>
      <diagonal/>
    </border>
    <border>
      <left style="mediumDashDot">
        <color indexed="64"/>
      </left>
      <right style="mediumDashDot">
        <color indexed="64"/>
      </right>
      <top style="medium">
        <color indexed="64"/>
      </top>
      <bottom/>
      <diagonal/>
    </border>
    <border>
      <left style="mediumDashDot">
        <color indexed="64"/>
      </left>
      <right style="mediumDashDot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">
    <xf numFmtId="0" fontId="0" fillId="0" borderId="0"/>
    <xf numFmtId="44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54" fillId="0" borderId="0"/>
  </cellStyleXfs>
  <cellXfs count="1479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2" fontId="0" fillId="0" borderId="33" xfId="0" applyNumberFormat="1" applyBorder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10" fillId="2" borderId="0" xfId="0" applyFont="1" applyFill="1" applyAlignment="1">
      <alignment horizontal="center" vertical="center" wrapText="1"/>
    </xf>
    <xf numFmtId="0" fontId="23" fillId="2" borderId="44" xfId="0" applyFont="1" applyFill="1" applyBorder="1" applyAlignment="1">
      <alignment horizontal="center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166" fontId="7" fillId="0" borderId="0" xfId="0" applyNumberFormat="1" applyFont="1" applyAlignment="1">
      <alignment horizontal="right"/>
    </xf>
    <xf numFmtId="0" fontId="7" fillId="0" borderId="18" xfId="0" applyFont="1" applyBorder="1" applyAlignment="1">
      <alignment horizontal="right"/>
    </xf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0" fontId="31" fillId="0" borderId="0" xfId="0" applyFont="1"/>
    <xf numFmtId="2" fontId="12" fillId="0" borderId="0" xfId="0" applyNumberFormat="1" applyFont="1"/>
    <xf numFmtId="1" fontId="12" fillId="0" borderId="0" xfId="0" applyNumberFormat="1" applyFont="1" applyAlignment="1">
      <alignment horizontal="center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0" fontId="26" fillId="0" borderId="0" xfId="0" applyFont="1"/>
    <xf numFmtId="4" fontId="17" fillId="0" borderId="0" xfId="0" applyNumberFormat="1" applyFont="1" applyAlignment="1">
      <alignment horizontal="center"/>
    </xf>
    <xf numFmtId="164" fontId="17" fillId="0" borderId="14" xfId="0" applyNumberFormat="1" applyFont="1" applyBorder="1"/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8" fillId="0" borderId="0" xfId="0" applyFont="1" applyAlignment="1">
      <alignment horizontal="center"/>
    </xf>
    <xf numFmtId="0" fontId="3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38" fillId="0" borderId="0" xfId="0" applyFont="1" applyAlignment="1">
      <alignment horizontal="right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3" fillId="0" borderId="0" xfId="0" applyFont="1" applyAlignment="1">
      <alignment horizontal="left"/>
    </xf>
    <xf numFmtId="166" fontId="42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64" fontId="29" fillId="0" borderId="0" xfId="0" applyNumberFormat="1" applyFont="1"/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2" fontId="29" fillId="0" borderId="12" xfId="0" applyNumberFormat="1" applyFont="1" applyBorder="1" applyAlignment="1">
      <alignment horizontal="right"/>
    </xf>
    <xf numFmtId="0" fontId="29" fillId="0" borderId="13" xfId="0" applyFont="1" applyBorder="1" applyAlignment="1">
      <alignment horizontal="right"/>
    </xf>
    <xf numFmtId="168" fontId="7" fillId="0" borderId="15" xfId="0" applyNumberFormat="1" applyFont="1" applyBorder="1"/>
    <xf numFmtId="16" fontId="7" fillId="0" borderId="12" xfId="0" applyNumberFormat="1" applyFont="1" applyBorder="1"/>
    <xf numFmtId="2" fontId="7" fillId="0" borderId="12" xfId="0" applyNumberFormat="1" applyFont="1" applyBorder="1"/>
    <xf numFmtId="164" fontId="45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9" fillId="0" borderId="0" xfId="0" applyNumberFormat="1" applyFont="1" applyAlignment="1">
      <alignment horizontal="right"/>
    </xf>
    <xf numFmtId="164" fontId="42" fillId="0" borderId="0" xfId="0" applyNumberFormat="1" applyFont="1"/>
    <xf numFmtId="164" fontId="42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6" fontId="40" fillId="0" borderId="0" xfId="0" applyNumberFormat="1" applyFont="1" applyAlignment="1">
      <alignment horizontal="right"/>
    </xf>
    <xf numFmtId="164" fontId="40" fillId="0" borderId="0" xfId="0" applyNumberFormat="1" applyFont="1"/>
    <xf numFmtId="164" fontId="40" fillId="0" borderId="4" xfId="0" applyNumberFormat="1" applyFont="1" applyBorder="1"/>
    <xf numFmtId="164" fontId="17" fillId="0" borderId="0" xfId="0" applyNumberFormat="1" applyFont="1" applyAlignment="1">
      <alignment horizontal="center"/>
    </xf>
    <xf numFmtId="0" fontId="7" fillId="0" borderId="0" xfId="0" applyFont="1" applyAlignment="1">
      <alignment wrapText="1"/>
    </xf>
    <xf numFmtId="0" fontId="38" fillId="0" borderId="7" xfId="0" applyFont="1" applyBorder="1" applyAlignment="1">
      <alignment horizontal="center"/>
    </xf>
    <xf numFmtId="0" fontId="7" fillId="0" borderId="7" xfId="0" applyFont="1" applyBorder="1"/>
    <xf numFmtId="168" fontId="10" fillId="0" borderId="0" xfId="1" applyNumberFormat="1" applyFont="1" applyFill="1"/>
    <xf numFmtId="44" fontId="0" fillId="0" borderId="0" xfId="1" applyFont="1" applyFill="1"/>
    <xf numFmtId="166" fontId="0" fillId="0" borderId="0" xfId="0" applyNumberFormat="1" applyAlignment="1">
      <alignment horizontal="center"/>
    </xf>
    <xf numFmtId="168" fontId="7" fillId="0" borderId="0" xfId="0" applyNumberFormat="1" applyFont="1" applyAlignment="1">
      <alignment horizontal="right"/>
    </xf>
    <xf numFmtId="0" fontId="12" fillId="0" borderId="4" xfId="0" applyFont="1" applyBorder="1" applyAlignment="1">
      <alignment horizontal="center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166" fontId="7" fillId="0" borderId="0" xfId="0" applyNumberFormat="1" applyFont="1"/>
    <xf numFmtId="0" fontId="44" fillId="0" borderId="12" xfId="0" applyFont="1" applyBorder="1"/>
    <xf numFmtId="0" fontId="8" fillId="0" borderId="0" xfId="0" applyFont="1" applyAlignment="1">
      <alignment horizontal="center"/>
    </xf>
    <xf numFmtId="165" fontId="10" fillId="0" borderId="0" xfId="0" applyNumberFormat="1" applyFont="1"/>
    <xf numFmtId="1" fontId="10" fillId="0" borderId="0" xfId="0" applyNumberFormat="1" applyFont="1" applyAlignment="1">
      <alignment horizontal="center"/>
    </xf>
    <xf numFmtId="1" fontId="15" fillId="0" borderId="0" xfId="0" applyNumberFormat="1" applyFont="1" applyAlignment="1">
      <alignment horizontal="center"/>
    </xf>
    <xf numFmtId="0" fontId="4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44" fontId="7" fillId="0" borderId="0" xfId="1" applyFont="1" applyFill="1"/>
    <xf numFmtId="15" fontId="7" fillId="0" borderId="0" xfId="0" applyNumberFormat="1" applyFont="1"/>
    <xf numFmtId="15" fontId="7" fillId="0" borderId="15" xfId="0" applyNumberFormat="1" applyFont="1" applyBorder="1"/>
    <xf numFmtId="168" fontId="7" fillId="0" borderId="12" xfId="0" applyNumberFormat="1" applyFont="1" applyBorder="1"/>
    <xf numFmtId="16" fontId="44" fillId="0" borderId="12" xfId="0" applyNumberFormat="1" applyFont="1" applyBorder="1"/>
    <xf numFmtId="0" fontId="44" fillId="0" borderId="13" xfId="0" applyFont="1" applyBorder="1" applyAlignment="1">
      <alignment horizontal="right"/>
    </xf>
    <xf numFmtId="164" fontId="44" fillId="0" borderId="12" xfId="0" applyNumberFormat="1" applyFont="1" applyBorder="1"/>
    <xf numFmtId="15" fontId="29" fillId="0" borderId="16" xfId="0" applyNumberFormat="1" applyFont="1" applyBorder="1"/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Alignment="1">
      <alignment horizontal="center"/>
    </xf>
    <xf numFmtId="2" fontId="15" fillId="0" borderId="0" xfId="0" applyNumberFormat="1" applyFont="1" applyAlignment="1">
      <alignment horizontal="center"/>
    </xf>
    <xf numFmtId="0" fontId="0" fillId="0" borderId="48" xfId="0" applyBorder="1"/>
    <xf numFmtId="0" fontId="7" fillId="0" borderId="49" xfId="0" applyFont="1" applyBorder="1" applyAlignment="1">
      <alignment horizontal="center"/>
    </xf>
    <xf numFmtId="170" fontId="7" fillId="2" borderId="0" xfId="1" applyNumberFormat="1" applyFont="1" applyFill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0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2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12" xfId="0" applyFont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50" xfId="0" applyFont="1" applyBorder="1" applyAlignment="1">
      <alignment horizontal="right"/>
    </xf>
    <xf numFmtId="0" fontId="7" fillId="0" borderId="63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67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Border="1" applyAlignment="1">
      <alignment horizontal="right"/>
    </xf>
    <xf numFmtId="164" fontId="27" fillId="0" borderId="0" xfId="0" applyNumberFormat="1" applyFont="1"/>
    <xf numFmtId="0" fontId="45" fillId="0" borderId="4" xfId="0" applyFont="1" applyBorder="1" applyAlignment="1">
      <alignment horizontal="right"/>
    </xf>
    <xf numFmtId="0" fontId="49" fillId="0" borderId="0" xfId="0" applyFont="1" applyAlignment="1">
      <alignment wrapText="1"/>
    </xf>
    <xf numFmtId="165" fontId="0" fillId="0" borderId="0" xfId="0" applyNumberFormat="1"/>
    <xf numFmtId="1" fontId="0" fillId="0" borderId="0" xfId="0" applyNumberFormat="1" applyAlignment="1">
      <alignment horizontal="center"/>
    </xf>
    <xf numFmtId="168" fontId="10" fillId="0" borderId="0" xfId="0" applyNumberFormat="1" applyFont="1"/>
    <xf numFmtId="0" fontId="3" fillId="0" borderId="51" xfId="0" applyFont="1" applyBorder="1" applyAlignment="1">
      <alignment horizontal="center"/>
    </xf>
    <xf numFmtId="2" fontId="7" fillId="0" borderId="51" xfId="0" applyNumberFormat="1" applyFont="1" applyBorder="1" applyAlignment="1">
      <alignment horizontal="right"/>
    </xf>
    <xf numFmtId="0" fontId="0" fillId="0" borderId="55" xfId="0" applyBorder="1" applyAlignment="1">
      <alignment horizontal="center"/>
    </xf>
    <xf numFmtId="2" fontId="28" fillId="0" borderId="0" xfId="0" applyNumberFormat="1" applyFont="1"/>
    <xf numFmtId="44" fontId="7" fillId="0" borderId="4" xfId="1" applyFont="1" applyFill="1" applyBorder="1" applyAlignment="1"/>
    <xf numFmtId="168" fontId="28" fillId="0" borderId="0" xfId="0" applyNumberFormat="1" applyFont="1"/>
    <xf numFmtId="44" fontId="7" fillId="0" borderId="67" xfId="1" applyFont="1" applyFill="1" applyBorder="1" applyAlignment="1"/>
    <xf numFmtId="0" fontId="28" fillId="0" borderId="0" xfId="0" applyFont="1" applyAlignment="1">
      <alignment horizontal="center" wrapText="1"/>
    </xf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1" fontId="10" fillId="0" borderId="4" xfId="0" applyNumberFormat="1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0" fontId="28" fillId="4" borderId="0" xfId="0" applyFont="1" applyFill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Border="1"/>
    <xf numFmtId="44" fontId="0" fillId="0" borderId="0" xfId="1" applyFont="1" applyBorder="1" applyAlignment="1">
      <alignment horizontal="center"/>
    </xf>
    <xf numFmtId="43" fontId="12" fillId="0" borderId="0" xfId="2" applyFont="1" applyFill="1" applyAlignment="1"/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0" fontId="41" fillId="15" borderId="0" xfId="0" applyFont="1" applyFill="1" applyAlignment="1">
      <alignment horizontal="center"/>
    </xf>
    <xf numFmtId="16" fontId="7" fillId="0" borderId="0" xfId="0" applyNumberFormat="1" applyFont="1" applyAlignment="1">
      <alignment horizontal="right"/>
    </xf>
    <xf numFmtId="0" fontId="0" fillId="0" borderId="64" xfId="0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2" fontId="6" fillId="0" borderId="33" xfId="0" applyNumberFormat="1" applyFont="1" applyBorder="1" applyAlignment="1">
      <alignment horizontal="center"/>
    </xf>
    <xf numFmtId="2" fontId="8" fillId="0" borderId="0" xfId="0" applyNumberFormat="1" applyFont="1"/>
    <xf numFmtId="2" fontId="37" fillId="0" borderId="18" xfId="0" applyNumberFormat="1" applyFont="1" applyBorder="1"/>
    <xf numFmtId="167" fontId="7" fillId="0" borderId="15" xfId="0" applyNumberFormat="1" applyFont="1" applyBorder="1"/>
    <xf numFmtId="0" fontId="41" fillId="0" borderId="0" xfId="0" applyFont="1" applyAlignment="1">
      <alignment wrapText="1"/>
    </xf>
    <xf numFmtId="0" fontId="7" fillId="0" borderId="33" xfId="0" applyFont="1" applyBorder="1" applyAlignment="1">
      <alignment vertical="center"/>
    </xf>
    <xf numFmtId="44" fontId="7" fillId="0" borderId="0" xfId="1" applyFont="1" applyFill="1" applyBorder="1" applyAlignment="1"/>
    <xf numFmtId="44" fontId="7" fillId="0" borderId="73" xfId="1" applyFont="1" applyFill="1" applyBorder="1" applyAlignment="1"/>
    <xf numFmtId="0" fontId="7" fillId="0" borderId="62" xfId="0" applyFont="1" applyBorder="1"/>
    <xf numFmtId="0" fontId="12" fillId="0" borderId="33" xfId="0" applyFont="1" applyBorder="1" applyAlignment="1">
      <alignment horizontal="center"/>
    </xf>
    <xf numFmtId="0" fontId="7" fillId="0" borderId="33" xfId="0" applyFont="1" applyBorder="1" applyAlignment="1">
      <alignment horizontal="left"/>
    </xf>
    <xf numFmtId="43" fontId="7" fillId="0" borderId="0" xfId="2" applyFont="1" applyFill="1"/>
    <xf numFmtId="164" fontId="55" fillId="0" borderId="0" xfId="0" applyNumberFormat="1" applyFont="1"/>
    <xf numFmtId="164" fontId="7" fillId="0" borderId="33" xfId="0" applyNumberFormat="1" applyFont="1" applyBorder="1" applyAlignment="1">
      <alignment vertical="center" wrapText="1"/>
    </xf>
    <xf numFmtId="164" fontId="7" fillId="0" borderId="33" xfId="0" applyNumberFormat="1" applyFont="1" applyBorder="1"/>
    <xf numFmtId="164" fontId="10" fillId="0" borderId="33" xfId="0" applyNumberFormat="1" applyFont="1" applyBorder="1"/>
    <xf numFmtId="166" fontId="7" fillId="0" borderId="33" xfId="0" applyNumberFormat="1" applyFont="1" applyBorder="1" applyAlignment="1">
      <alignment horizontal="right"/>
    </xf>
    <xf numFmtId="1" fontId="7" fillId="0" borderId="33" xfId="0" applyNumberFormat="1" applyFont="1" applyBorder="1" applyAlignment="1">
      <alignment horizontal="center"/>
    </xf>
    <xf numFmtId="44" fontId="7" fillId="0" borderId="33" xfId="1" applyFont="1" applyFill="1" applyBorder="1"/>
    <xf numFmtId="1" fontId="0" fillId="0" borderId="38" xfId="0" applyNumberFormat="1" applyBorder="1" applyAlignment="1">
      <alignment horizontal="center"/>
    </xf>
    <xf numFmtId="1" fontId="7" fillId="0" borderId="33" xfId="0" applyNumberFormat="1" applyFont="1" applyBorder="1" applyAlignment="1">
      <alignment horizontal="center" wrapText="1"/>
    </xf>
    <xf numFmtId="1" fontId="28" fillId="0" borderId="33" xfId="0" applyNumberFormat="1" applyFont="1" applyBorder="1" applyAlignment="1">
      <alignment horizontal="center"/>
    </xf>
    <xf numFmtId="1" fontId="40" fillId="0" borderId="0" xfId="0" applyNumberFormat="1" applyFont="1" applyAlignment="1">
      <alignment horizontal="center"/>
    </xf>
    <xf numFmtId="1" fontId="12" fillId="0" borderId="18" xfId="0" applyNumberFormat="1" applyFont="1" applyBorder="1" applyAlignment="1">
      <alignment horizontal="center"/>
    </xf>
    <xf numFmtId="44" fontId="7" fillId="0" borderId="0" xfId="1" applyFont="1" applyFill="1" applyAlignment="1">
      <alignment horizontal="center"/>
    </xf>
    <xf numFmtId="0" fontId="7" fillId="0" borderId="0" xfId="0" applyFont="1" applyAlignment="1">
      <alignment vertical="center" wrapText="1"/>
    </xf>
    <xf numFmtId="44" fontId="7" fillId="0" borderId="0" xfId="1" applyFont="1"/>
    <xf numFmtId="44" fontId="52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44" fontId="22" fillId="0" borderId="0" xfId="1" applyFont="1"/>
    <xf numFmtId="44" fontId="7" fillId="0" borderId="0" xfId="1" applyFont="1" applyAlignment="1">
      <alignment horizontal="right"/>
    </xf>
    <xf numFmtId="0" fontId="7" fillId="0" borderId="0" xfId="0" applyFont="1" applyAlignment="1">
      <alignment horizontal="right" wrapText="1"/>
    </xf>
    <xf numFmtId="167" fontId="7" fillId="0" borderId="4" xfId="0" applyNumberFormat="1" applyFont="1" applyBorder="1"/>
    <xf numFmtId="15" fontId="7" fillId="0" borderId="10" xfId="0" applyNumberFormat="1" applyFont="1" applyBorder="1" applyAlignment="1">
      <alignment horizontal="right"/>
    </xf>
    <xf numFmtId="0" fontId="7" fillId="0" borderId="68" xfId="0" applyFont="1" applyBorder="1"/>
    <xf numFmtId="2" fontId="7" fillId="0" borderId="33" xfId="0" applyNumberFormat="1" applyFont="1" applyBorder="1"/>
    <xf numFmtId="2" fontId="8" fillId="0" borderId="33" xfId="0" applyNumberFormat="1" applyFont="1" applyBorder="1"/>
    <xf numFmtId="44" fontId="52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7" fillId="0" borderId="7" xfId="0" applyFont="1" applyBorder="1" applyAlignment="1">
      <alignment vertical="center" wrapText="1"/>
    </xf>
    <xf numFmtId="14" fontId="7" fillId="0" borderId="0" xfId="0" applyNumberFormat="1" applyFont="1" applyAlignment="1">
      <alignment wrapText="1"/>
    </xf>
    <xf numFmtId="172" fontId="7" fillId="0" borderId="0" xfId="2" applyNumberFormat="1" applyFont="1" applyFill="1" applyAlignment="1">
      <alignment horizontal="center"/>
    </xf>
    <xf numFmtId="44" fontId="12" fillId="0" borderId="0" xfId="1" applyFont="1" applyFill="1"/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61" fillId="0" borderId="14" xfId="0" applyFont="1" applyBorder="1" applyAlignment="1">
      <alignment horizontal="center"/>
    </xf>
    <xf numFmtId="0" fontId="63" fillId="0" borderId="40" xfId="0" applyFont="1" applyBorder="1"/>
    <xf numFmtId="0" fontId="63" fillId="3" borderId="26" xfId="0" applyFont="1" applyFill="1" applyBorder="1" applyAlignment="1">
      <alignment horizontal="center"/>
    </xf>
    <xf numFmtId="16" fontId="63" fillId="0" borderId="25" xfId="0" applyNumberFormat="1" applyFont="1" applyBorder="1" applyAlignment="1">
      <alignment horizontal="center"/>
    </xf>
    <xf numFmtId="0" fontId="63" fillId="0" borderId="23" xfId="0" applyFont="1" applyBorder="1" applyAlignment="1">
      <alignment horizontal="center"/>
    </xf>
    <xf numFmtId="0" fontId="61" fillId="0" borderId="18" xfId="0" applyFont="1" applyBorder="1" applyAlignment="1">
      <alignment horizontal="center"/>
    </xf>
    <xf numFmtId="0" fontId="3" fillId="0" borderId="75" xfId="0" applyFont="1" applyBorder="1" applyAlignment="1">
      <alignment horizontal="center"/>
    </xf>
    <xf numFmtId="2" fontId="7" fillId="0" borderId="75" xfId="0" applyNumberFormat="1" applyFont="1" applyBorder="1" applyAlignment="1">
      <alignment horizontal="right"/>
    </xf>
    <xf numFmtId="15" fontId="7" fillId="0" borderId="75" xfId="0" applyNumberFormat="1" applyFont="1" applyBorder="1"/>
    <xf numFmtId="2" fontId="7" fillId="0" borderId="75" xfId="0" applyNumberFormat="1" applyFont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0" fontId="7" fillId="13" borderId="0" xfId="0" applyFont="1" applyFill="1" applyAlignment="1">
      <alignment horizontal="center"/>
    </xf>
    <xf numFmtId="15" fontId="0" fillId="0" borderId="12" xfId="0" applyNumberFormat="1" applyBorder="1"/>
    <xf numFmtId="0" fontId="7" fillId="0" borderId="29" xfId="0" applyFont="1" applyBorder="1" applyAlignment="1">
      <alignment horizontal="center"/>
    </xf>
    <xf numFmtId="164" fontId="7" fillId="0" borderId="76" xfId="0" applyNumberFormat="1" applyFont="1" applyBorder="1"/>
    <xf numFmtId="4" fontId="10" fillId="0" borderId="77" xfId="0" applyNumberFormat="1" applyFont="1" applyBorder="1"/>
    <xf numFmtId="0" fontId="7" fillId="0" borderId="77" xfId="0" applyFont="1" applyBorder="1" applyAlignment="1">
      <alignment horizontal="center"/>
    </xf>
    <xf numFmtId="164" fontId="7" fillId="0" borderId="77" xfId="0" applyNumberFormat="1" applyFont="1" applyBorder="1"/>
    <xf numFmtId="164" fontId="7" fillId="0" borderId="78" xfId="0" applyNumberFormat="1" applyFont="1" applyBorder="1"/>
    <xf numFmtId="0" fontId="28" fillId="0" borderId="0" xfId="0" applyFont="1"/>
    <xf numFmtId="0" fontId="22" fillId="0" borderId="33" xfId="0" applyFont="1" applyBorder="1" applyAlignment="1">
      <alignment horizontal="center"/>
    </xf>
    <xf numFmtId="0" fontId="41" fillId="0" borderId="33" xfId="0" applyFont="1" applyBorder="1" applyAlignment="1">
      <alignment horizontal="left"/>
    </xf>
    <xf numFmtId="0" fontId="23" fillId="0" borderId="33" xfId="0" applyFont="1" applyBorder="1"/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0" fontId="7" fillId="0" borderId="33" xfId="0" applyFont="1" applyBorder="1" applyAlignment="1">
      <alignment wrapText="1"/>
    </xf>
    <xf numFmtId="0" fontId="10" fillId="0" borderId="0" xfId="0" applyFont="1" applyAlignment="1">
      <alignment vertical="center" wrapText="1"/>
    </xf>
    <xf numFmtId="2" fontId="46" fillId="0" borderId="0" xfId="0" applyNumberFormat="1" applyFont="1" applyAlignment="1">
      <alignment horizontal="right"/>
    </xf>
    <xf numFmtId="2" fontId="19" fillId="0" borderId="17" xfId="0" applyNumberFormat="1" applyFont="1" applyBorder="1" applyAlignment="1">
      <alignment horizontal="right"/>
    </xf>
    <xf numFmtId="168" fontId="7" fillId="0" borderId="33" xfId="0" applyNumberFormat="1" applyFont="1" applyBorder="1" applyAlignment="1">
      <alignment horizontal="center"/>
    </xf>
    <xf numFmtId="168" fontId="47" fillId="0" borderId="0" xfId="0" applyNumberFormat="1" applyFont="1"/>
    <xf numFmtId="168" fontId="26" fillId="0" borderId="0" xfId="0" applyNumberFormat="1" applyFont="1"/>
    <xf numFmtId="4" fontId="0" fillId="0" borderId="5" xfId="0" applyNumberFormat="1" applyBorder="1"/>
    <xf numFmtId="164" fontId="10" fillId="0" borderId="80" xfId="0" applyNumberFormat="1" applyFont="1" applyBorder="1"/>
    <xf numFmtId="4" fontId="12" fillId="0" borderId="5" xfId="0" applyNumberFormat="1" applyFont="1" applyBorder="1"/>
    <xf numFmtId="0" fontId="12" fillId="0" borderId="32" xfId="0" applyFont="1" applyBorder="1"/>
    <xf numFmtId="164" fontId="10" fillId="0" borderId="81" xfId="0" applyNumberFormat="1" applyFont="1" applyBorder="1"/>
    <xf numFmtId="0" fontId="44" fillId="0" borderId="82" xfId="0" applyFont="1" applyBorder="1"/>
    <xf numFmtId="164" fontId="7" fillId="0" borderId="83" xfId="0" applyNumberFormat="1" applyFont="1" applyBorder="1"/>
    <xf numFmtId="164" fontId="7" fillId="0" borderId="84" xfId="0" applyNumberFormat="1" applyFont="1" applyBorder="1"/>
    <xf numFmtId="164" fontId="7" fillId="0" borderId="37" xfId="0" applyNumberFormat="1" applyFont="1" applyBorder="1"/>
    <xf numFmtId="1" fontId="7" fillId="0" borderId="33" xfId="0" applyNumberFormat="1" applyFont="1" applyBorder="1" applyAlignment="1">
      <alignment vertical="center"/>
    </xf>
    <xf numFmtId="167" fontId="26" fillId="0" borderId="0" xfId="0" applyNumberFormat="1" applyFont="1"/>
    <xf numFmtId="2" fontId="26" fillId="0" borderId="0" xfId="0" applyNumberFormat="1" applyFont="1"/>
    <xf numFmtId="0" fontId="26" fillId="0" borderId="10" xfId="0" applyFont="1" applyBorder="1" applyAlignment="1">
      <alignment horizontal="right"/>
    </xf>
    <xf numFmtId="2" fontId="7" fillId="0" borderId="79" xfId="0" applyNumberFormat="1" applyFont="1" applyBorder="1"/>
    <xf numFmtId="2" fontId="7" fillId="0" borderId="18" xfId="0" applyNumberFormat="1" applyFont="1" applyBorder="1"/>
    <xf numFmtId="166" fontId="28" fillId="0" borderId="0" xfId="0" applyNumberFormat="1" applyFont="1" applyAlignment="1">
      <alignment horizontal="right"/>
    </xf>
    <xf numFmtId="0" fontId="7" fillId="18" borderId="0" xfId="0" applyFont="1" applyFill="1" applyAlignment="1">
      <alignment horizontal="center"/>
    </xf>
    <xf numFmtId="0" fontId="28" fillId="0" borderId="12" xfId="0" applyFont="1" applyBorder="1"/>
    <xf numFmtId="4" fontId="28" fillId="0" borderId="5" xfId="0" applyNumberFormat="1" applyFont="1" applyBorder="1"/>
    <xf numFmtId="0" fontId="28" fillId="0" borderId="32" xfId="0" applyFont="1" applyBorder="1"/>
    <xf numFmtId="4" fontId="28" fillId="0" borderId="76" xfId="0" applyNumberFormat="1" applyFont="1" applyBorder="1"/>
    <xf numFmtId="4" fontId="28" fillId="0" borderId="0" xfId="0" applyNumberFormat="1" applyFont="1"/>
    <xf numFmtId="2" fontId="8" fillId="0" borderId="0" xfId="0" applyNumberFormat="1" applyFont="1" applyAlignment="1">
      <alignment horizontal="center"/>
    </xf>
    <xf numFmtId="173" fontId="7" fillId="0" borderId="0" xfId="0" applyNumberFormat="1" applyFont="1"/>
    <xf numFmtId="173" fontId="7" fillId="0" borderId="0" xfId="0" applyNumberFormat="1" applyFont="1" applyAlignment="1">
      <alignment horizontal="right"/>
    </xf>
    <xf numFmtId="0" fontId="52" fillId="5" borderId="0" xfId="0" applyFont="1" applyFill="1" applyAlignment="1">
      <alignment horizontal="center" vertical="center"/>
    </xf>
    <xf numFmtId="0" fontId="7" fillId="0" borderId="0" xfId="0" applyFont="1" applyAlignment="1">
      <alignment horizontal="left" wrapText="1"/>
    </xf>
    <xf numFmtId="0" fontId="49" fillId="0" borderId="0" xfId="0" applyFont="1" applyAlignment="1">
      <alignment horizontal="center"/>
    </xf>
    <xf numFmtId="44" fontId="7" fillId="0" borderId="0" xfId="1" applyFont="1" applyFill="1" applyAlignment="1">
      <alignment horizontal="right"/>
    </xf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7" fillId="0" borderId="64" xfId="0" applyFont="1" applyBorder="1" applyAlignment="1">
      <alignment wrapText="1"/>
    </xf>
    <xf numFmtId="0" fontId="7" fillId="0" borderId="49" xfId="0" applyFont="1" applyBorder="1"/>
    <xf numFmtId="0" fontId="10" fillId="0" borderId="48" xfId="0" applyFont="1" applyBorder="1"/>
    <xf numFmtId="0" fontId="7" fillId="0" borderId="55" xfId="0" applyFont="1" applyBorder="1"/>
    <xf numFmtId="0" fontId="7" fillId="0" borderId="51" xfId="0" applyFont="1" applyBorder="1"/>
    <xf numFmtId="0" fontId="10" fillId="0" borderId="0" xfId="0" applyFont="1" applyAlignment="1">
      <alignment horizontal="right"/>
    </xf>
    <xf numFmtId="44" fontId="28" fillId="0" borderId="0" xfId="1" applyFont="1" applyFill="1"/>
    <xf numFmtId="0" fontId="10" fillId="0" borderId="4" xfId="0" applyFont="1" applyBorder="1"/>
    <xf numFmtId="4" fontId="10" fillId="0" borderId="0" xfId="0" applyNumberFormat="1" applyFont="1" applyAlignment="1">
      <alignment horizontal="center"/>
    </xf>
    <xf numFmtId="4" fontId="15" fillId="0" borderId="0" xfId="0" applyNumberFormat="1" applyFont="1" applyAlignment="1">
      <alignment horizontal="center"/>
    </xf>
    <xf numFmtId="1" fontId="0" fillId="0" borderId="11" xfId="0" applyNumberFormat="1" applyBorder="1" applyAlignment="1">
      <alignment horizontal="center"/>
    </xf>
    <xf numFmtId="0" fontId="28" fillId="4" borderId="0" xfId="0" applyFont="1" applyFill="1" applyAlignment="1">
      <alignment horizontal="center"/>
    </xf>
    <xf numFmtId="166" fontId="7" fillId="0" borderId="0" xfId="0" applyNumberFormat="1" applyFont="1" applyAlignment="1">
      <alignment horizontal="center" vertical="center"/>
    </xf>
    <xf numFmtId="4" fontId="7" fillId="0" borderId="0" xfId="0" applyNumberFormat="1" applyFont="1" applyAlignment="1">
      <alignment vertical="center"/>
    </xf>
    <xf numFmtId="0" fontId="7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/>
    </xf>
    <xf numFmtId="2" fontId="28" fillId="0" borderId="0" xfId="0" applyNumberFormat="1" applyFont="1" applyAlignment="1">
      <alignment horizontal="right"/>
    </xf>
    <xf numFmtId="0" fontId="15" fillId="0" borderId="0" xfId="0" applyFont="1" applyAlignment="1">
      <alignment horizontal="left"/>
    </xf>
    <xf numFmtId="0" fontId="41" fillId="0" borderId="33" xfId="0" applyFont="1" applyBorder="1" applyAlignment="1">
      <alignment horizontal="center"/>
    </xf>
    <xf numFmtId="0" fontId="7" fillId="0" borderId="64" xfId="0" applyFont="1" applyBorder="1" applyAlignment="1">
      <alignment horizontal="center"/>
    </xf>
    <xf numFmtId="43" fontId="28" fillId="4" borderId="0" xfId="0" applyNumberFormat="1" applyFont="1" applyFill="1"/>
    <xf numFmtId="0" fontId="57" fillId="23" borderId="0" xfId="0" applyFont="1" applyFill="1"/>
    <xf numFmtId="0" fontId="20" fillId="23" borderId="12" xfId="0" applyFont="1" applyFill="1" applyBorder="1"/>
    <xf numFmtId="0" fontId="4" fillId="23" borderId="12" xfId="0" applyFont="1" applyFill="1" applyBorder="1" applyAlignment="1">
      <alignment horizontal="center"/>
    </xf>
    <xf numFmtId="168" fontId="20" fillId="23" borderId="0" xfId="0" applyNumberFormat="1" applyFont="1" applyFill="1"/>
    <xf numFmtId="2" fontId="4" fillId="23" borderId="0" xfId="0" applyNumberFormat="1" applyFont="1" applyFill="1"/>
    <xf numFmtId="0" fontId="4" fillId="23" borderId="0" xfId="0" applyFont="1" applyFill="1" applyAlignment="1">
      <alignment horizontal="center"/>
    </xf>
    <xf numFmtId="0" fontId="20" fillId="23" borderId="0" xfId="0" applyFont="1" applyFill="1"/>
    <xf numFmtId="0" fontId="9" fillId="23" borderId="0" xfId="0" applyFont="1" applyFill="1" applyAlignment="1">
      <alignment horizontal="center"/>
    </xf>
    <xf numFmtId="14" fontId="7" fillId="0" borderId="0" xfId="0" applyNumberFormat="1" applyFont="1" applyAlignment="1">
      <alignment horizontal="right"/>
    </xf>
    <xf numFmtId="2" fontId="40" fillId="0" borderId="5" xfId="0" applyNumberFormat="1" applyFont="1" applyBorder="1" applyAlignment="1">
      <alignment horizontal="right"/>
    </xf>
    <xf numFmtId="0" fontId="40" fillId="0" borderId="0" xfId="0" applyFont="1" applyAlignment="1">
      <alignment horizontal="right"/>
    </xf>
    <xf numFmtId="166" fontId="65" fillId="0" borderId="0" xfId="0" applyNumberFormat="1" applyFont="1" applyAlignment="1">
      <alignment horizontal="left"/>
    </xf>
    <xf numFmtId="167" fontId="65" fillId="0" borderId="0" xfId="0" applyNumberFormat="1" applyFont="1" applyAlignment="1">
      <alignment horizontal="right"/>
    </xf>
    <xf numFmtId="2" fontId="49" fillId="0" borderId="0" xfId="0" applyNumberFormat="1" applyFont="1"/>
    <xf numFmtId="0" fontId="7" fillId="8" borderId="0" xfId="0" applyFont="1" applyFill="1" applyAlignment="1">
      <alignment horizontal="center"/>
    </xf>
    <xf numFmtId="44" fontId="7" fillId="0" borderId="33" xfId="1" applyFont="1" applyFill="1" applyBorder="1" applyAlignment="1">
      <alignment vertical="center"/>
    </xf>
    <xf numFmtId="44" fontId="7" fillId="0" borderId="33" xfId="1" applyFont="1" applyFill="1" applyBorder="1" applyAlignment="1">
      <alignment horizontal="right"/>
    </xf>
    <xf numFmtId="44" fontId="28" fillId="0" borderId="33" xfId="1" applyFont="1" applyFill="1" applyBorder="1"/>
    <xf numFmtId="44" fontId="7" fillId="0" borderId="33" xfId="1" applyFont="1" applyFill="1" applyBorder="1" applyAlignment="1"/>
    <xf numFmtId="44" fontId="40" fillId="0" borderId="0" xfId="1" applyFont="1" applyFill="1" applyBorder="1"/>
    <xf numFmtId="44" fontId="40" fillId="0" borderId="0" xfId="1" applyFont="1" applyFill="1"/>
    <xf numFmtId="44" fontId="10" fillId="0" borderId="0" xfId="1" applyFont="1" applyFill="1"/>
    <xf numFmtId="44" fontId="35" fillId="0" borderId="0" xfId="1" applyFont="1"/>
    <xf numFmtId="44" fontId="10" fillId="0" borderId="0" xfId="1" applyFont="1"/>
    <xf numFmtId="44" fontId="7" fillId="0" borderId="17" xfId="1" applyFont="1" applyBorder="1"/>
    <xf numFmtId="0" fontId="0" fillId="0" borderId="40" xfId="0" applyBorder="1" applyAlignment="1">
      <alignment horizontal="center"/>
    </xf>
    <xf numFmtId="2" fontId="0" fillId="0" borderId="0" xfId="0" applyNumberFormat="1" applyAlignment="1">
      <alignment horizontal="center"/>
    </xf>
    <xf numFmtId="37" fontId="7" fillId="0" borderId="4" xfId="2" applyNumberFormat="1" applyFont="1" applyFill="1" applyBorder="1" applyAlignment="1">
      <alignment horizontal="center"/>
    </xf>
    <xf numFmtId="37" fontId="7" fillId="0" borderId="4" xfId="2" applyNumberFormat="1" applyFont="1" applyBorder="1" applyAlignment="1">
      <alignment horizontal="center"/>
    </xf>
    <xf numFmtId="2" fontId="27" fillId="0" borderId="0" xfId="0" applyNumberFormat="1" applyFont="1" applyAlignment="1">
      <alignment horizontal="right"/>
    </xf>
    <xf numFmtId="0" fontId="7" fillId="9" borderId="0" xfId="0" applyFont="1" applyFill="1" applyAlignment="1">
      <alignment horizontal="center"/>
    </xf>
    <xf numFmtId="2" fontId="40" fillId="0" borderId="51" xfId="0" applyNumberFormat="1" applyFont="1" applyBorder="1" applyAlignment="1">
      <alignment horizontal="right"/>
    </xf>
    <xf numFmtId="0" fontId="0" fillId="0" borderId="51" xfId="0" applyBorder="1"/>
    <xf numFmtId="4" fontId="8" fillId="7" borderId="0" xfId="0" applyNumberFormat="1" applyFont="1" applyFill="1"/>
    <xf numFmtId="1" fontId="3" fillId="0" borderId="5" xfId="0" applyNumberFormat="1" applyFont="1" applyBorder="1" applyAlignment="1">
      <alignment horizontal="center"/>
    </xf>
    <xf numFmtId="168" fontId="40" fillId="0" borderId="5" xfId="0" applyNumberFormat="1" applyFont="1" applyBorder="1" applyAlignment="1">
      <alignment horizontal="right"/>
    </xf>
    <xf numFmtId="164" fontId="40" fillId="0" borderId="0" xfId="0" applyNumberFormat="1" applyFont="1" applyAlignment="1">
      <alignment horizontal="right"/>
    </xf>
    <xf numFmtId="164" fontId="0" fillId="0" borderId="0" xfId="0" applyNumberFormat="1" applyAlignment="1">
      <alignment horizontal="right"/>
    </xf>
    <xf numFmtId="4" fontId="7" fillId="0" borderId="21" xfId="0" applyNumberFormat="1" applyFont="1" applyBorder="1" applyAlignment="1">
      <alignment horizontal="center"/>
    </xf>
    <xf numFmtId="4" fontId="7" fillId="0" borderId="55" xfId="0" applyNumberFormat="1" applyFont="1" applyBorder="1" applyAlignment="1">
      <alignment horizontal="right"/>
    </xf>
    <xf numFmtId="16" fontId="17" fillId="0" borderId="31" xfId="0" applyNumberFormat="1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164" fontId="28" fillId="0" borderId="0" xfId="0" applyNumberFormat="1" applyFont="1" applyAlignment="1">
      <alignment horizontal="center"/>
    </xf>
    <xf numFmtId="2" fontId="7" fillId="0" borderId="32" xfId="0" applyNumberFormat="1" applyFont="1" applyBorder="1" applyAlignment="1">
      <alignment horizontal="right"/>
    </xf>
    <xf numFmtId="0" fontId="60" fillId="0" borderId="0" xfId="0" applyFont="1" applyAlignment="1">
      <alignment horizontal="center" wrapText="1"/>
    </xf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168" fontId="46" fillId="0" borderId="0" xfId="0" applyNumberFormat="1" applyFont="1"/>
    <xf numFmtId="2" fontId="7" fillId="0" borderId="33" xfId="0" applyNumberFormat="1" applyFont="1" applyBorder="1" applyAlignment="1">
      <alignment vertical="center"/>
    </xf>
    <xf numFmtId="0" fontId="0" fillId="11" borderId="0" xfId="0" applyFill="1"/>
    <xf numFmtId="167" fontId="7" fillId="0" borderId="33" xfId="0" applyNumberFormat="1" applyFont="1" applyBorder="1" applyAlignment="1">
      <alignment vertical="center"/>
    </xf>
    <xf numFmtId="2" fontId="15" fillId="0" borderId="0" xfId="0" applyNumberFormat="1" applyFont="1"/>
    <xf numFmtId="168" fontId="7" fillId="0" borderId="33" xfId="0" applyNumberFormat="1" applyFont="1" applyBorder="1" applyAlignment="1">
      <alignment vertical="center"/>
    </xf>
    <xf numFmtId="1" fontId="41" fillId="0" borderId="33" xfId="0" applyNumberFormat="1" applyFont="1" applyBorder="1" applyAlignment="1">
      <alignment vertical="center"/>
    </xf>
    <xf numFmtId="164" fontId="10" fillId="0" borderId="33" xfId="0" applyNumberFormat="1" applyFont="1" applyBorder="1" applyAlignment="1">
      <alignment horizontal="center"/>
    </xf>
    <xf numFmtId="1" fontId="3" fillId="0" borderId="4" xfId="0" applyNumberFormat="1" applyFont="1" applyBorder="1" applyAlignment="1">
      <alignment horizontal="center"/>
    </xf>
    <xf numFmtId="0" fontId="67" fillId="0" borderId="10" xfId="0" applyFont="1" applyBorder="1" applyAlignment="1">
      <alignment horizontal="right"/>
    </xf>
    <xf numFmtId="164" fontId="67" fillId="0" borderId="0" xfId="0" applyNumberFormat="1" applyFont="1"/>
    <xf numFmtId="168" fontId="67" fillId="0" borderId="0" xfId="0" applyNumberFormat="1" applyFont="1"/>
    <xf numFmtId="0" fontId="68" fillId="0" borderId="0" xfId="0" applyFont="1" applyAlignment="1">
      <alignment horizontal="center"/>
    </xf>
    <xf numFmtId="0" fontId="69" fillId="0" borderId="0" xfId="0" applyFont="1"/>
    <xf numFmtId="0" fontId="70" fillId="0" borderId="0" xfId="0" applyFont="1" applyAlignment="1">
      <alignment horizontal="center"/>
    </xf>
    <xf numFmtId="2" fontId="69" fillId="0" borderId="0" xfId="0" applyNumberFormat="1" applyFont="1"/>
    <xf numFmtId="44" fontId="46" fillId="0" borderId="0" xfId="1" applyFont="1" applyFill="1"/>
    <xf numFmtId="0" fontId="28" fillId="4" borderId="0" xfId="0" applyFont="1" applyFill="1" applyAlignment="1">
      <alignment horizontal="center" wrapText="1"/>
    </xf>
    <xf numFmtId="15" fontId="27" fillId="0" borderId="15" xfId="0" applyNumberFormat="1" applyFont="1" applyBorder="1"/>
    <xf numFmtId="0" fontId="7" fillId="18" borderId="0" xfId="0" applyFont="1" applyFill="1" applyAlignment="1">
      <alignment vertical="center" wrapText="1"/>
    </xf>
    <xf numFmtId="0" fontId="7" fillId="0" borderId="33" xfId="0" applyFont="1" applyBorder="1" applyAlignment="1">
      <alignment horizontal="center" vertical="center"/>
    </xf>
    <xf numFmtId="0" fontId="71" fillId="0" borderId="33" xfId="0" applyFont="1" applyBorder="1" applyAlignment="1">
      <alignment horizontal="center"/>
    </xf>
    <xf numFmtId="0" fontId="66" fillId="0" borderId="33" xfId="0" applyFont="1" applyBorder="1" applyAlignment="1">
      <alignment horizontal="center" vertical="center"/>
    </xf>
    <xf numFmtId="168" fontId="7" fillId="0" borderId="0" xfId="0" applyNumberFormat="1" applyFont="1" applyAlignment="1">
      <alignment horizontal="center" vertical="center"/>
    </xf>
    <xf numFmtId="0" fontId="28" fillId="0" borderId="0" xfId="0" applyFont="1" applyAlignment="1">
      <alignment vertical="center" wrapText="1"/>
    </xf>
    <xf numFmtId="16" fontId="26" fillId="0" borderId="0" xfId="0" applyNumberFormat="1" applyFont="1" applyAlignment="1">
      <alignment horizontal="right"/>
    </xf>
    <xf numFmtId="166" fontId="7" fillId="0" borderId="33" xfId="0" applyNumberFormat="1" applyFont="1" applyBorder="1" applyAlignment="1">
      <alignment wrapText="1"/>
    </xf>
    <xf numFmtId="166" fontId="7" fillId="0" borderId="33" xfId="0" applyNumberFormat="1" applyFont="1" applyBorder="1"/>
    <xf numFmtId="166" fontId="18" fillId="0" borderId="33" xfId="0" applyNumberFormat="1" applyFont="1" applyBorder="1" applyAlignment="1">
      <alignment horizontal="right"/>
    </xf>
    <xf numFmtId="0" fontId="12" fillId="0" borderId="33" xfId="0" applyFont="1" applyBorder="1"/>
    <xf numFmtId="164" fontId="28" fillId="0" borderId="33" xfId="0" applyNumberFormat="1" applyFont="1" applyBorder="1"/>
    <xf numFmtId="1" fontId="28" fillId="0" borderId="33" xfId="0" applyNumberFormat="1" applyFont="1" applyBorder="1" applyAlignment="1">
      <alignment vertical="center"/>
    </xf>
    <xf numFmtId="1" fontId="17" fillId="0" borderId="33" xfId="0" applyNumberFormat="1" applyFont="1" applyBorder="1" applyAlignment="1">
      <alignment vertical="center" wrapText="1"/>
    </xf>
    <xf numFmtId="1" fontId="28" fillId="0" borderId="33" xfId="0" applyNumberFormat="1" applyFont="1" applyBorder="1" applyAlignment="1">
      <alignment horizontal="center" vertical="center"/>
    </xf>
    <xf numFmtId="0" fontId="28" fillId="0" borderId="33" xfId="0" applyFont="1" applyBorder="1" applyAlignment="1">
      <alignment vertical="center"/>
    </xf>
    <xf numFmtId="167" fontId="27" fillId="0" borderId="0" xfId="0" applyNumberFormat="1" applyFont="1"/>
    <xf numFmtId="44" fontId="28" fillId="0" borderId="0" xfId="1" applyFont="1" applyFill="1" applyAlignment="1">
      <alignment horizontal="center"/>
    </xf>
    <xf numFmtId="168" fontId="10" fillId="4" borderId="0" xfId="0" applyNumberFormat="1" applyFont="1" applyFill="1"/>
    <xf numFmtId="2" fontId="15" fillId="4" borderId="0" xfId="0" applyNumberFormat="1" applyFont="1" applyFill="1" applyAlignment="1">
      <alignment horizontal="center"/>
    </xf>
    <xf numFmtId="167" fontId="18" fillId="0" borderId="33" xfId="0" applyNumberFormat="1" applyFont="1" applyBorder="1" applyAlignment="1">
      <alignment wrapText="1"/>
    </xf>
    <xf numFmtId="167" fontId="22" fillId="0" borderId="33" xfId="0" applyNumberFormat="1" applyFont="1" applyBorder="1" applyAlignment="1">
      <alignment horizontal="left" wrapText="1"/>
    </xf>
    <xf numFmtId="0" fontId="28" fillId="0" borderId="33" xfId="0" applyFont="1" applyBorder="1" applyAlignment="1">
      <alignment horizontal="left" wrapText="1"/>
    </xf>
    <xf numFmtId="164" fontId="22" fillId="0" borderId="33" xfId="0" applyNumberFormat="1" applyFont="1" applyBorder="1" applyAlignment="1">
      <alignment horizontal="center"/>
    </xf>
    <xf numFmtId="168" fontId="7" fillId="0" borderId="33" xfId="0" applyNumberFormat="1" applyFont="1" applyBorder="1"/>
    <xf numFmtId="2" fontId="12" fillId="0" borderId="33" xfId="0" applyNumberFormat="1" applyFont="1" applyBorder="1" applyAlignment="1">
      <alignment horizontal="right"/>
    </xf>
    <xf numFmtId="0" fontId="28" fillId="0" borderId="33" xfId="0" applyFont="1" applyBorder="1" applyAlignment="1">
      <alignment horizontal="left"/>
    </xf>
    <xf numFmtId="0" fontId="53" fillId="0" borderId="33" xfId="0" applyFont="1" applyBorder="1"/>
    <xf numFmtId="0" fontId="28" fillId="0" borderId="33" xfId="0" applyFont="1" applyBorder="1"/>
    <xf numFmtId="4" fontId="22" fillId="0" borderId="33" xfId="0" applyNumberFormat="1" applyFont="1" applyBorder="1" applyAlignment="1">
      <alignment horizontal="center"/>
    </xf>
    <xf numFmtId="1" fontId="12" fillId="0" borderId="33" xfId="0" applyNumberFormat="1" applyFont="1" applyBorder="1" applyAlignment="1">
      <alignment horizontal="center"/>
    </xf>
    <xf numFmtId="168" fontId="28" fillId="0" borderId="33" xfId="0" applyNumberFormat="1" applyFont="1" applyBorder="1"/>
    <xf numFmtId="2" fontId="28" fillId="0" borderId="33" xfId="0" applyNumberFormat="1" applyFont="1" applyBorder="1" applyAlignment="1">
      <alignment horizontal="right"/>
    </xf>
    <xf numFmtId="2" fontId="59" fillId="0" borderId="33" xfId="0" applyNumberFormat="1" applyFont="1" applyBorder="1"/>
    <xf numFmtId="0" fontId="8" fillId="0" borderId="33" xfId="0" applyFont="1" applyBorder="1"/>
    <xf numFmtId="2" fontId="46" fillId="0" borderId="33" xfId="0" applyNumberFormat="1" applyFont="1" applyBorder="1" applyAlignment="1">
      <alignment horizontal="right"/>
    </xf>
    <xf numFmtId="1" fontId="46" fillId="0" borderId="33" xfId="0" applyNumberFormat="1" applyFont="1" applyBorder="1" applyAlignment="1">
      <alignment horizontal="center"/>
    </xf>
    <xf numFmtId="0" fontId="46" fillId="0" borderId="33" xfId="0" applyFont="1" applyBorder="1" applyAlignment="1">
      <alignment horizontal="center"/>
    </xf>
    <xf numFmtId="2" fontId="12" fillId="0" borderId="33" xfId="0" applyNumberFormat="1" applyFont="1" applyBorder="1"/>
    <xf numFmtId="0" fontId="73" fillId="0" borderId="33" xfId="0" applyFont="1" applyBorder="1" applyAlignment="1">
      <alignment horizontal="center" vertical="center"/>
    </xf>
    <xf numFmtId="164" fontId="17" fillId="0" borderId="33" xfId="0" applyNumberFormat="1" applyFont="1" applyBorder="1" applyAlignment="1">
      <alignment vertical="center" wrapText="1"/>
    </xf>
    <xf numFmtId="15" fontId="10" fillId="0" borderId="0" xfId="0" applyNumberFormat="1" applyFont="1"/>
    <xf numFmtId="2" fontId="10" fillId="0" borderId="5" xfId="0" applyNumberFormat="1" applyFont="1" applyBorder="1" applyAlignment="1">
      <alignment horizontal="right"/>
    </xf>
    <xf numFmtId="4" fontId="0" fillId="0" borderId="55" xfId="0" applyNumberFormat="1" applyBorder="1"/>
    <xf numFmtId="164" fontId="7" fillId="4" borderId="0" xfId="0" applyNumberFormat="1" applyFont="1" applyFill="1"/>
    <xf numFmtId="1" fontId="3" fillId="0" borderId="75" xfId="0" applyNumberFormat="1" applyFont="1" applyBorder="1" applyAlignment="1">
      <alignment horizontal="center"/>
    </xf>
    <xf numFmtId="1" fontId="3" fillId="0" borderId="51" xfId="0" applyNumberFormat="1" applyFont="1" applyBorder="1" applyAlignment="1">
      <alignment horizontal="center"/>
    </xf>
    <xf numFmtId="1" fontId="3" fillId="0" borderId="55" xfId="0" applyNumberFormat="1" applyFont="1" applyBorder="1" applyAlignment="1">
      <alignment horizontal="center"/>
    </xf>
    <xf numFmtId="2" fontId="7" fillId="4" borderId="0" xfId="0" applyNumberFormat="1" applyFont="1" applyFill="1" applyAlignment="1">
      <alignment horizontal="right"/>
    </xf>
    <xf numFmtId="168" fontId="7" fillId="4" borderId="15" xfId="0" applyNumberFormat="1" applyFont="1" applyFill="1" applyBorder="1"/>
    <xf numFmtId="0" fontId="7" fillId="4" borderId="10" xfId="0" applyFont="1" applyFill="1" applyBorder="1" applyAlignment="1">
      <alignment horizontal="right"/>
    </xf>
    <xf numFmtId="2" fontId="40" fillId="0" borderId="75" xfId="0" applyNumberFormat="1" applyFont="1" applyBorder="1" applyAlignment="1">
      <alignment horizontal="right"/>
    </xf>
    <xf numFmtId="0" fontId="72" fillId="0" borderId="33" xfId="0" applyFont="1" applyBorder="1" applyAlignment="1">
      <alignment horizontal="center" vertical="center"/>
    </xf>
    <xf numFmtId="164" fontId="7" fillId="0" borderId="33" xfId="0" applyNumberFormat="1" applyFont="1" applyBorder="1" applyAlignment="1">
      <alignment horizontal="center" vertical="center" wrapText="1"/>
    </xf>
    <xf numFmtId="1" fontId="28" fillId="0" borderId="33" xfId="0" applyNumberFormat="1" applyFont="1" applyBorder="1" applyAlignment="1">
      <alignment horizontal="center" vertical="center" wrapText="1"/>
    </xf>
    <xf numFmtId="2" fontId="55" fillId="0" borderId="0" xfId="0" applyNumberFormat="1" applyFont="1" applyAlignment="1">
      <alignment horizontal="right"/>
    </xf>
    <xf numFmtId="0" fontId="55" fillId="0" borderId="10" xfId="0" applyFont="1" applyBorder="1" applyAlignment="1">
      <alignment horizontal="right"/>
    </xf>
    <xf numFmtId="15" fontId="55" fillId="0" borderId="0" xfId="0" applyNumberFormat="1" applyFont="1"/>
    <xf numFmtId="2" fontId="55" fillId="0" borderId="0" xfId="0" applyNumberFormat="1" applyFont="1"/>
    <xf numFmtId="167" fontId="55" fillId="0" borderId="0" xfId="0" applyNumberFormat="1" applyFont="1"/>
    <xf numFmtId="15" fontId="55" fillId="0" borderId="15" xfId="0" applyNumberFormat="1" applyFont="1" applyBorder="1"/>
    <xf numFmtId="2" fontId="55" fillId="0" borderId="5" xfId="0" applyNumberFormat="1" applyFont="1" applyBorder="1" applyAlignment="1">
      <alignment horizontal="right"/>
    </xf>
    <xf numFmtId="4" fontId="55" fillId="0" borderId="5" xfId="0" applyNumberFormat="1" applyFont="1" applyBorder="1" applyAlignment="1">
      <alignment horizontal="right"/>
    </xf>
    <xf numFmtId="0" fontId="28" fillId="0" borderId="40" xfId="0" applyFont="1" applyBorder="1"/>
    <xf numFmtId="0" fontId="28" fillId="3" borderId="26" xfId="0" applyFont="1" applyFill="1" applyBorder="1" applyAlignment="1">
      <alignment horizontal="center"/>
    </xf>
    <xf numFmtId="16" fontId="28" fillId="0" borderId="25" xfId="0" applyNumberFormat="1" applyFont="1" applyBorder="1" applyAlignment="1">
      <alignment horizontal="center"/>
    </xf>
    <xf numFmtId="0" fontId="28" fillId="0" borderId="23" xfId="0" applyFont="1" applyBorder="1" applyAlignment="1">
      <alignment horizontal="center"/>
    </xf>
    <xf numFmtId="0" fontId="28" fillId="0" borderId="18" xfId="0" applyFont="1" applyBorder="1" applyAlignment="1">
      <alignment horizontal="center"/>
    </xf>
    <xf numFmtId="0" fontId="28" fillId="0" borderId="14" xfId="0" applyFont="1" applyBorder="1" applyAlignment="1">
      <alignment horizontal="center"/>
    </xf>
    <xf numFmtId="0" fontId="55" fillId="0" borderId="0" xfId="0" applyFont="1" applyAlignment="1">
      <alignment horizontal="right"/>
    </xf>
    <xf numFmtId="2" fontId="74" fillId="0" borderId="5" xfId="0" applyNumberFormat="1" applyFont="1" applyBorder="1" applyAlignment="1">
      <alignment horizontal="right"/>
    </xf>
    <xf numFmtId="15" fontId="74" fillId="0" borderId="0" xfId="0" applyNumberFormat="1" applyFont="1"/>
    <xf numFmtId="0" fontId="62" fillId="0" borderId="65" xfId="0" applyFont="1" applyBorder="1" applyAlignment="1">
      <alignment wrapText="1"/>
    </xf>
    <xf numFmtId="0" fontId="62" fillId="0" borderId="66" xfId="0" applyFont="1" applyBorder="1" applyAlignment="1">
      <alignment horizontal="center" wrapText="1"/>
    </xf>
    <xf numFmtId="0" fontId="18" fillId="0" borderId="0" xfId="0" applyFont="1" applyAlignment="1">
      <alignment wrapText="1"/>
    </xf>
    <xf numFmtId="164" fontId="18" fillId="0" borderId="33" xfId="0" applyNumberFormat="1" applyFont="1" applyBorder="1" applyAlignment="1">
      <alignment wrapText="1"/>
    </xf>
    <xf numFmtId="167" fontId="18" fillId="0" borderId="5" xfId="0" applyNumberFormat="1" applyFont="1" applyBorder="1" applyAlignment="1">
      <alignment wrapText="1"/>
    </xf>
    <xf numFmtId="0" fontId="62" fillId="0" borderId="5" xfId="0" applyFont="1" applyBorder="1" applyAlignment="1">
      <alignment wrapText="1"/>
    </xf>
    <xf numFmtId="0" fontId="62" fillId="0" borderId="42" xfId="0" applyFont="1" applyBorder="1" applyAlignment="1">
      <alignment wrapText="1"/>
    </xf>
    <xf numFmtId="0" fontId="62" fillId="0" borderId="0" xfId="0" applyFont="1" applyAlignment="1">
      <alignment wrapText="1"/>
    </xf>
    <xf numFmtId="0" fontId="7" fillId="0" borderId="3" xfId="0" applyFont="1" applyBorder="1" applyAlignment="1">
      <alignment horizontal="left" wrapText="1"/>
    </xf>
    <xf numFmtId="0" fontId="7" fillId="0" borderId="69" xfId="0" applyFont="1" applyBorder="1" applyAlignment="1">
      <alignment horizontal="left" wrapText="1"/>
    </xf>
    <xf numFmtId="0" fontId="32" fillId="0" borderId="33" xfId="0" applyFont="1" applyBorder="1" applyAlignment="1">
      <alignment horizontal="left" wrapText="1"/>
    </xf>
    <xf numFmtId="1" fontId="7" fillId="0" borderId="33" xfId="0" applyNumberFormat="1" applyFont="1" applyBorder="1" applyAlignment="1">
      <alignment vertical="center" wrapText="1"/>
    </xf>
    <xf numFmtId="0" fontId="43" fillId="0" borderId="0" xfId="0" applyFont="1" applyAlignment="1">
      <alignment horizontal="left" wrapText="1"/>
    </xf>
    <xf numFmtId="0" fontId="43" fillId="0" borderId="37" xfId="0" applyFont="1" applyBorder="1" applyAlignment="1">
      <alignment horizontal="left" wrapText="1"/>
    </xf>
    <xf numFmtId="0" fontId="33" fillId="0" borderId="37" xfId="0" applyFont="1" applyBorder="1" applyAlignment="1">
      <alignment horizontal="left" wrapText="1"/>
    </xf>
    <xf numFmtId="0" fontId="34" fillId="0" borderId="0" xfId="0" applyFont="1" applyAlignment="1">
      <alignment horizontal="left" wrapText="1"/>
    </xf>
    <xf numFmtId="0" fontId="34" fillId="0" borderId="37" xfId="0" applyFont="1" applyBorder="1" applyAlignment="1">
      <alignment horizontal="left" wrapText="1"/>
    </xf>
    <xf numFmtId="0" fontId="32" fillId="0" borderId="37" xfId="0" applyFont="1" applyBorder="1" applyAlignment="1">
      <alignment horizontal="left" wrapText="1"/>
    </xf>
    <xf numFmtId="0" fontId="10" fillId="0" borderId="37" xfId="0" applyFont="1" applyBorder="1" applyAlignment="1">
      <alignment horizontal="left" wrapText="1"/>
    </xf>
    <xf numFmtId="0" fontId="7" fillId="0" borderId="37" xfId="0" applyFont="1" applyBorder="1" applyAlignment="1">
      <alignment horizontal="left" wrapText="1"/>
    </xf>
    <xf numFmtId="0" fontId="7" fillId="0" borderId="43" xfId="0" applyFont="1" applyBorder="1" applyAlignment="1">
      <alignment horizontal="left" wrapText="1"/>
    </xf>
    <xf numFmtId="0" fontId="10" fillId="0" borderId="8" xfId="0" applyFont="1" applyBorder="1" applyAlignment="1">
      <alignment horizontal="center" wrapText="1"/>
    </xf>
    <xf numFmtId="0" fontId="17" fillId="8" borderId="0" xfId="0" applyFont="1" applyFill="1" applyAlignment="1">
      <alignment horizontal="center"/>
    </xf>
    <xf numFmtId="4" fontId="10" fillId="7" borderId="0" xfId="0" applyNumberFormat="1" applyFont="1" applyFill="1"/>
    <xf numFmtId="44" fontId="7" fillId="0" borderId="4" xfId="1" applyFont="1" applyBorder="1"/>
    <xf numFmtId="44" fontId="7" fillId="0" borderId="4" xfId="0" applyNumberFormat="1" applyFont="1" applyBorder="1"/>
    <xf numFmtId="0" fontId="10" fillId="7" borderId="0" xfId="0" applyFont="1" applyFill="1" applyAlignment="1">
      <alignment horizontal="center"/>
    </xf>
    <xf numFmtId="2" fontId="0" fillId="7" borderId="0" xfId="0" applyNumberFormat="1" applyFill="1"/>
    <xf numFmtId="0" fontId="0" fillId="7" borderId="0" xfId="0" applyFill="1"/>
    <xf numFmtId="0" fontId="10" fillId="7" borderId="0" xfId="0" applyFont="1" applyFill="1"/>
    <xf numFmtId="0" fontId="7" fillId="0" borderId="51" xfId="0" applyFont="1" applyBorder="1" applyAlignment="1">
      <alignment horizontal="right"/>
    </xf>
    <xf numFmtId="168" fontId="40" fillId="0" borderId="33" xfId="0" applyNumberFormat="1" applyFont="1" applyBorder="1" applyAlignment="1">
      <alignment vertical="center"/>
    </xf>
    <xf numFmtId="0" fontId="40" fillId="0" borderId="33" xfId="0" applyFont="1" applyBorder="1" applyAlignment="1">
      <alignment horizontal="center" vertical="center"/>
    </xf>
    <xf numFmtId="2" fontId="45" fillId="0" borderId="0" xfId="0" applyNumberFormat="1" applyFont="1" applyAlignment="1">
      <alignment horizontal="right"/>
    </xf>
    <xf numFmtId="15" fontId="45" fillId="0" borderId="15" xfId="0" applyNumberFormat="1" applyFont="1" applyBorder="1"/>
    <xf numFmtId="0" fontId="45" fillId="0" borderId="10" xfId="0" applyFont="1" applyBorder="1" applyAlignment="1">
      <alignment horizontal="right"/>
    </xf>
    <xf numFmtId="4" fontId="45" fillId="0" borderId="5" xfId="0" applyNumberFormat="1" applyFont="1" applyBorder="1" applyAlignment="1">
      <alignment horizontal="right"/>
    </xf>
    <xf numFmtId="168" fontId="40" fillId="0" borderId="0" xfId="0" applyNumberFormat="1" applyFont="1"/>
    <xf numFmtId="44" fontId="40" fillId="0" borderId="0" xfId="1" applyFont="1"/>
    <xf numFmtId="2" fontId="0" fillId="0" borderId="51" xfId="0" applyNumberFormat="1" applyBorder="1"/>
    <xf numFmtId="16" fontId="0" fillId="0" borderId="51" xfId="0" applyNumberFormat="1" applyBorder="1"/>
    <xf numFmtId="164" fontId="7" fillId="0" borderId="51" xfId="0" applyNumberFormat="1" applyFont="1" applyBorder="1"/>
    <xf numFmtId="168" fontId="7" fillId="0" borderId="51" xfId="0" applyNumberFormat="1" applyFont="1" applyBorder="1"/>
    <xf numFmtId="0" fontId="12" fillId="0" borderId="51" xfId="0" applyFont="1" applyBorder="1"/>
    <xf numFmtId="0" fontId="53" fillId="0" borderId="33" xfId="0" applyFont="1" applyBorder="1" applyAlignment="1">
      <alignment horizontal="left"/>
    </xf>
    <xf numFmtId="0" fontId="78" fillId="0" borderId="33" xfId="0" applyFont="1" applyBorder="1" applyAlignment="1">
      <alignment horizontal="center" vertical="center" wrapText="1"/>
    </xf>
    <xf numFmtId="2" fontId="7" fillId="0" borderId="90" xfId="0" applyNumberFormat="1" applyFont="1" applyBorder="1"/>
    <xf numFmtId="2" fontId="28" fillId="0" borderId="90" xfId="0" applyNumberFormat="1" applyFont="1" applyBorder="1"/>
    <xf numFmtId="44" fontId="7" fillId="0" borderId="91" xfId="1" applyFont="1" applyFill="1" applyBorder="1"/>
    <xf numFmtId="4" fontId="7" fillId="0" borderId="0" xfId="0" applyNumberFormat="1" applyFont="1" applyFill="1"/>
    <xf numFmtId="164" fontId="7" fillId="0" borderId="24" xfId="0" applyNumberFormat="1" applyFont="1" applyBorder="1"/>
    <xf numFmtId="2" fontId="7" fillId="0" borderId="5" xfId="0" applyNumberFormat="1" applyFont="1" applyFill="1" applyBorder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2" fontId="7" fillId="0" borderId="0" xfId="0" applyNumberFormat="1" applyFont="1" applyFill="1" applyAlignment="1">
      <alignment horizontal="right"/>
    </xf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2" fontId="7" fillId="0" borderId="0" xfId="0" applyNumberFormat="1" applyFont="1" applyBorder="1"/>
    <xf numFmtId="0" fontId="7" fillId="0" borderId="95" xfId="0" applyFont="1" applyBorder="1" applyAlignment="1">
      <alignment horizontal="left"/>
    </xf>
    <xf numFmtId="0" fontId="7" fillId="0" borderId="96" xfId="0" applyFont="1" applyBorder="1" applyAlignment="1">
      <alignment horizontal="center"/>
    </xf>
    <xf numFmtId="2" fontId="7" fillId="0" borderId="97" xfId="0" applyNumberFormat="1" applyFont="1" applyBorder="1"/>
    <xf numFmtId="0" fontId="7" fillId="0" borderId="98" xfId="0" applyFont="1" applyBorder="1" applyAlignment="1">
      <alignment horizontal="center"/>
    </xf>
    <xf numFmtId="0" fontId="7" fillId="0" borderId="99" xfId="0" applyFont="1" applyBorder="1" applyAlignment="1">
      <alignment horizontal="center"/>
    </xf>
    <xf numFmtId="0" fontId="7" fillId="0" borderId="100" xfId="0" applyFont="1" applyBorder="1" applyAlignment="1">
      <alignment horizontal="center"/>
    </xf>
    <xf numFmtId="2" fontId="7" fillId="0" borderId="0" xfId="0" applyNumberFormat="1" applyFont="1" applyBorder="1" applyAlignment="1">
      <alignment horizontal="right"/>
    </xf>
    <xf numFmtId="0" fontId="7" fillId="0" borderId="0" xfId="0" applyFont="1" applyFill="1" applyAlignment="1">
      <alignment wrapText="1"/>
    </xf>
    <xf numFmtId="0" fontId="7" fillId="0" borderId="0" xfId="0" applyFont="1" applyFill="1" applyAlignment="1">
      <alignment horizontal="center"/>
    </xf>
    <xf numFmtId="164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167" fontId="7" fillId="0" borderId="0" xfId="0" applyNumberFormat="1" applyFont="1" applyFill="1"/>
    <xf numFmtId="0" fontId="7" fillId="0" borderId="0" xfId="0" applyFont="1" applyFill="1"/>
    <xf numFmtId="164" fontId="17" fillId="0" borderId="0" xfId="0" applyNumberFormat="1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0" fontId="26" fillId="0" borderId="7" xfId="0" applyFont="1" applyFill="1" applyBorder="1" applyAlignment="1">
      <alignment horizontal="center"/>
    </xf>
    <xf numFmtId="0" fontId="7" fillId="0" borderId="7" xfId="0" applyFont="1" applyFill="1" applyBorder="1"/>
    <xf numFmtId="0" fontId="15" fillId="0" borderId="7" xfId="0" applyFont="1" applyFill="1" applyBorder="1" applyAlignment="1">
      <alignment horizontal="center"/>
    </xf>
    <xf numFmtId="15" fontId="26" fillId="0" borderId="0" xfId="0" applyNumberFormat="1" applyFont="1" applyFill="1"/>
    <xf numFmtId="0" fontId="26" fillId="0" borderId="0" xfId="0" applyFont="1" applyFill="1" applyAlignment="1">
      <alignment horizontal="right"/>
    </xf>
    <xf numFmtId="164" fontId="26" fillId="0" borderId="0" xfId="0" applyNumberFormat="1" applyFont="1" applyFill="1"/>
    <xf numFmtId="0" fontId="28" fillId="0" borderId="0" xfId="0" applyFont="1" applyFill="1" applyAlignment="1">
      <alignment wrapText="1"/>
    </xf>
    <xf numFmtId="0" fontId="38" fillId="0" borderId="7" xfId="0" applyFont="1" applyFill="1" applyBorder="1" applyAlignment="1">
      <alignment horizontal="center"/>
    </xf>
    <xf numFmtId="0" fontId="7" fillId="0" borderId="33" xfId="0" applyFont="1" applyFill="1" applyBorder="1" applyAlignment="1">
      <alignment horizontal="center"/>
    </xf>
    <xf numFmtId="168" fontId="27" fillId="0" borderId="15" xfId="0" applyNumberFormat="1" applyFont="1" applyBorder="1"/>
    <xf numFmtId="168" fontId="7" fillId="0" borderId="15" xfId="0" applyNumberFormat="1" applyFont="1" applyFill="1" applyBorder="1"/>
    <xf numFmtId="164" fontId="45" fillId="0" borderId="0" xfId="0" applyNumberFormat="1" applyFont="1" applyFill="1"/>
    <xf numFmtId="0" fontId="0" fillId="0" borderId="0" xfId="0" applyFill="1"/>
    <xf numFmtId="164" fontId="10" fillId="0" borderId="0" xfId="0" applyNumberFormat="1" applyFont="1" applyFill="1"/>
    <xf numFmtId="2" fontId="7" fillId="0" borderId="0" xfId="0" applyNumberFormat="1" applyFont="1" applyFill="1"/>
    <xf numFmtId="4" fontId="28" fillId="0" borderId="0" xfId="0" applyNumberFormat="1" applyFont="1" applyFill="1"/>
    <xf numFmtId="164" fontId="7" fillId="0" borderId="37" xfId="0" applyNumberFormat="1" applyFont="1" applyFill="1" applyBorder="1"/>
    <xf numFmtId="2" fontId="7" fillId="0" borderId="51" xfId="0" applyNumberFormat="1" applyFont="1" applyFill="1" applyBorder="1" applyAlignment="1">
      <alignment horizontal="right"/>
    </xf>
    <xf numFmtId="15" fontId="27" fillId="0" borderId="0" xfId="0" applyNumberFormat="1" applyFont="1"/>
    <xf numFmtId="2" fontId="27" fillId="0" borderId="0" xfId="0" applyNumberFormat="1" applyFont="1"/>
    <xf numFmtId="2" fontId="27" fillId="0" borderId="37" xfId="0" applyNumberFormat="1" applyFont="1" applyBorder="1" applyAlignment="1">
      <alignment horizontal="right"/>
    </xf>
    <xf numFmtId="168" fontId="27" fillId="0" borderId="4" xfId="0" applyNumberFormat="1" applyFont="1" applyBorder="1"/>
    <xf numFmtId="2" fontId="27" fillId="0" borderId="5" xfId="0" applyNumberFormat="1" applyFont="1" applyBorder="1" applyAlignment="1">
      <alignment horizontal="right"/>
    </xf>
    <xf numFmtId="44" fontId="7" fillId="0" borderId="0" xfId="1" applyFont="1" applyFill="1" applyAlignment="1">
      <alignment horizontal="center" vertical="center"/>
    </xf>
    <xf numFmtId="168" fontId="7" fillId="0" borderId="0" xfId="0" applyNumberFormat="1" applyFont="1" applyAlignment="1">
      <alignment vertical="center"/>
    </xf>
    <xf numFmtId="4" fontId="10" fillId="0" borderId="0" xfId="0" applyNumberFormat="1" applyFont="1" applyAlignment="1">
      <alignment vertical="center"/>
    </xf>
    <xf numFmtId="0" fontId="10" fillId="0" borderId="0" xfId="0" applyFont="1" applyAlignment="1">
      <alignment horizontal="center" vertical="center"/>
    </xf>
    <xf numFmtId="4" fontId="27" fillId="0" borderId="5" xfId="0" applyNumberFormat="1" applyFont="1" applyBorder="1" applyAlignment="1">
      <alignment horizontal="right"/>
    </xf>
    <xf numFmtId="0" fontId="0" fillId="0" borderId="0" xfId="0" applyFont="1"/>
    <xf numFmtId="0" fontId="27" fillId="0" borderId="0" xfId="0" applyFont="1" applyAlignment="1">
      <alignment horizontal="right"/>
    </xf>
    <xf numFmtId="0" fontId="27" fillId="0" borderId="0" xfId="0" applyFont="1" applyAlignment="1">
      <alignment horizontal="center"/>
    </xf>
    <xf numFmtId="164" fontId="27" fillId="0" borderId="0" xfId="0" applyNumberFormat="1" applyFont="1" applyAlignment="1">
      <alignment horizontal="right"/>
    </xf>
    <xf numFmtId="168" fontId="40" fillId="0" borderId="33" xfId="0" applyNumberFormat="1" applyFont="1" applyBorder="1" applyAlignment="1">
      <alignment vertical="center" wrapText="1"/>
    </xf>
    <xf numFmtId="168" fontId="7" fillId="0" borderId="33" xfId="0" applyNumberFormat="1" applyFont="1" applyBorder="1" applyAlignment="1">
      <alignment vertical="center" wrapText="1"/>
    </xf>
    <xf numFmtId="164" fontId="7" fillId="0" borderId="91" xfId="0" applyNumberFormat="1" applyFont="1" applyFill="1" applyBorder="1"/>
    <xf numFmtId="164" fontId="7" fillId="0" borderId="33" xfId="0" applyNumberFormat="1" applyFont="1" applyFill="1" applyBorder="1"/>
    <xf numFmtId="164" fontId="7" fillId="0" borderId="33" xfId="0" applyNumberFormat="1" applyFont="1" applyFill="1" applyBorder="1" applyAlignment="1">
      <alignment vertical="center" wrapText="1"/>
    </xf>
    <xf numFmtId="164" fontId="7" fillId="0" borderId="33" xfId="0" applyNumberFormat="1" applyFont="1" applyFill="1" applyBorder="1" applyAlignment="1">
      <alignment horizontal="center"/>
    </xf>
    <xf numFmtId="1" fontId="7" fillId="0" borderId="33" xfId="0" applyNumberFormat="1" applyFont="1" applyFill="1" applyBorder="1" applyAlignment="1">
      <alignment horizontal="center" vertical="center"/>
    </xf>
    <xf numFmtId="1" fontId="7" fillId="0" borderId="33" xfId="0" applyNumberFormat="1" applyFont="1" applyFill="1" applyBorder="1" applyAlignment="1">
      <alignment vertical="center"/>
    </xf>
    <xf numFmtId="1" fontId="41" fillId="0" borderId="33" xfId="0" applyNumberFormat="1" applyFont="1" applyFill="1" applyBorder="1" applyAlignment="1">
      <alignment horizontal="center" vertical="center" wrapText="1"/>
    </xf>
    <xf numFmtId="1" fontId="7" fillId="0" borderId="33" xfId="0" applyNumberFormat="1" applyFont="1" applyFill="1" applyBorder="1" applyAlignment="1">
      <alignment vertical="center" wrapText="1"/>
    </xf>
    <xf numFmtId="1" fontId="28" fillId="0" borderId="33" xfId="0" applyNumberFormat="1" applyFont="1" applyFill="1" applyBorder="1" applyAlignment="1">
      <alignment vertical="center"/>
    </xf>
    <xf numFmtId="1" fontId="17" fillId="0" borderId="33" xfId="0" applyNumberFormat="1" applyFont="1" applyFill="1" applyBorder="1" applyAlignment="1">
      <alignment vertical="center" wrapText="1"/>
    </xf>
    <xf numFmtId="44" fontId="7" fillId="0" borderId="33" xfId="1" applyFont="1" applyFill="1" applyBorder="1" applyAlignment="1">
      <alignment vertical="center" wrapText="1"/>
    </xf>
    <xf numFmtId="1" fontId="41" fillId="0" borderId="33" xfId="0" applyNumberFormat="1" applyFont="1" applyFill="1" applyBorder="1" applyAlignment="1">
      <alignment vertical="center" wrapText="1"/>
    </xf>
    <xf numFmtId="1" fontId="28" fillId="0" borderId="33" xfId="0" applyNumberFormat="1" applyFont="1" applyFill="1" applyBorder="1" applyAlignment="1">
      <alignment horizontal="center" vertical="center" wrapText="1"/>
    </xf>
    <xf numFmtId="0" fontId="7" fillId="0" borderId="93" xfId="0" applyFont="1" applyFill="1" applyBorder="1" applyAlignment="1">
      <alignment horizontal="center"/>
    </xf>
    <xf numFmtId="167" fontId="18" fillId="0" borderId="33" xfId="0" applyNumberFormat="1" applyFont="1" applyFill="1" applyBorder="1" applyAlignment="1">
      <alignment wrapText="1"/>
    </xf>
    <xf numFmtId="0" fontId="22" fillId="0" borderId="33" xfId="0" applyFont="1" applyFill="1" applyBorder="1" applyAlignment="1">
      <alignment horizontal="left" wrapText="1"/>
    </xf>
    <xf numFmtId="1" fontId="28" fillId="0" borderId="33" xfId="0" applyNumberFormat="1" applyFont="1" applyFill="1" applyBorder="1" applyAlignment="1">
      <alignment horizontal="center"/>
    </xf>
    <xf numFmtId="166" fontId="7" fillId="0" borderId="33" xfId="0" applyNumberFormat="1" applyFont="1" applyFill="1" applyBorder="1" applyAlignment="1">
      <alignment horizontal="right"/>
    </xf>
    <xf numFmtId="0" fontId="17" fillId="0" borderId="33" xfId="0" applyFont="1" applyFill="1" applyBorder="1" applyAlignment="1">
      <alignment horizontal="left" wrapText="1"/>
    </xf>
    <xf numFmtId="1" fontId="53" fillId="0" borderId="33" xfId="0" applyNumberFormat="1" applyFont="1" applyFill="1" applyBorder="1" applyAlignment="1">
      <alignment horizontal="center"/>
    </xf>
    <xf numFmtId="0" fontId="17" fillId="0" borderId="33" xfId="0" applyFont="1" applyFill="1" applyBorder="1" applyAlignment="1">
      <alignment wrapText="1"/>
    </xf>
    <xf numFmtId="167" fontId="22" fillId="0" borderId="33" xfId="0" applyNumberFormat="1" applyFont="1" applyFill="1" applyBorder="1" applyAlignment="1">
      <alignment horizontal="left" wrapText="1"/>
    </xf>
    <xf numFmtId="167" fontId="17" fillId="0" borderId="33" xfId="0" applyNumberFormat="1" applyFont="1" applyFill="1" applyBorder="1" applyAlignment="1">
      <alignment wrapText="1"/>
    </xf>
    <xf numFmtId="1" fontId="7" fillId="0" borderId="33" xfId="0" applyNumberFormat="1" applyFont="1" applyFill="1" applyBorder="1" applyAlignment="1">
      <alignment horizontal="center"/>
    </xf>
    <xf numFmtId="0" fontId="22" fillId="0" borderId="33" xfId="0" applyFont="1" applyFill="1" applyBorder="1" applyAlignment="1">
      <alignment wrapText="1"/>
    </xf>
    <xf numFmtId="0" fontId="28" fillId="0" borderId="93" xfId="0" applyFont="1" applyFill="1" applyBorder="1" applyAlignment="1">
      <alignment horizontal="center"/>
    </xf>
    <xf numFmtId="1" fontId="7" fillId="0" borderId="33" xfId="0" applyNumberFormat="1" applyFont="1" applyFill="1" applyBorder="1" applyAlignment="1">
      <alignment horizontal="center" wrapText="1"/>
    </xf>
    <xf numFmtId="166" fontId="17" fillId="0" borderId="33" xfId="0" applyNumberFormat="1" applyFont="1" applyFill="1" applyBorder="1" applyAlignment="1">
      <alignment horizontal="left" wrapText="1"/>
    </xf>
    <xf numFmtId="167" fontId="22" fillId="0" borderId="33" xfId="0" applyNumberFormat="1" applyFont="1" applyFill="1" applyBorder="1" applyAlignment="1">
      <alignment wrapText="1"/>
    </xf>
    <xf numFmtId="1" fontId="28" fillId="0" borderId="33" xfId="0" applyNumberFormat="1" applyFont="1" applyFill="1" applyBorder="1" applyAlignment="1">
      <alignment horizontal="center" wrapText="1"/>
    </xf>
    <xf numFmtId="166" fontId="22" fillId="0" borderId="33" xfId="0" applyNumberFormat="1" applyFont="1" applyFill="1" applyBorder="1" applyAlignment="1">
      <alignment horizontal="left" wrapText="1"/>
    </xf>
    <xf numFmtId="0" fontId="76" fillId="0" borderId="93" xfId="0" applyFont="1" applyFill="1" applyBorder="1" applyAlignment="1">
      <alignment horizontal="center" vertical="center"/>
    </xf>
    <xf numFmtId="0" fontId="53" fillId="0" borderId="93" xfId="0" applyFont="1" applyFill="1" applyBorder="1" applyAlignment="1">
      <alignment horizontal="center"/>
    </xf>
    <xf numFmtId="166" fontId="7" fillId="0" borderId="33" xfId="0" applyNumberFormat="1" applyFont="1" applyFill="1" applyBorder="1" applyAlignment="1">
      <alignment horizontal="center"/>
    </xf>
    <xf numFmtId="0" fontId="7" fillId="0" borderId="33" xfId="0" applyFont="1" applyFill="1" applyBorder="1" applyAlignment="1">
      <alignment horizontal="right"/>
    </xf>
    <xf numFmtId="0" fontId="7" fillId="0" borderId="94" xfId="0" applyFont="1" applyFill="1" applyBorder="1" applyAlignment="1">
      <alignment horizontal="center"/>
    </xf>
    <xf numFmtId="167" fontId="7" fillId="0" borderId="33" xfId="0" applyNumberFormat="1" applyFont="1" applyFill="1" applyBorder="1" applyAlignment="1">
      <alignment wrapText="1"/>
    </xf>
    <xf numFmtId="0" fontId="7" fillId="0" borderId="68" xfId="0" applyFont="1" applyFill="1" applyBorder="1" applyAlignment="1">
      <alignment horizontal="center"/>
    </xf>
    <xf numFmtId="0" fontId="7" fillId="0" borderId="33" xfId="0" applyFont="1" applyFill="1" applyBorder="1"/>
    <xf numFmtId="164" fontId="22" fillId="0" borderId="33" xfId="0" applyNumberFormat="1" applyFont="1" applyFill="1" applyBorder="1" applyAlignment="1">
      <alignment horizontal="center"/>
    </xf>
    <xf numFmtId="168" fontId="7" fillId="0" borderId="33" xfId="0" applyNumberFormat="1" applyFont="1" applyFill="1" applyBorder="1"/>
    <xf numFmtId="0" fontId="77" fillId="0" borderId="33" xfId="0" applyFont="1" applyFill="1" applyBorder="1" applyAlignment="1">
      <alignment vertical="center"/>
    </xf>
    <xf numFmtId="0" fontId="40" fillId="0" borderId="33" xfId="0" applyFont="1" applyFill="1" applyBorder="1" applyAlignment="1">
      <alignment vertical="center"/>
    </xf>
    <xf numFmtId="0" fontId="40" fillId="0" borderId="33" xfId="0" applyFont="1" applyFill="1" applyBorder="1" applyAlignment="1">
      <alignment horizontal="center" vertical="center"/>
    </xf>
    <xf numFmtId="1" fontId="7" fillId="0" borderId="74" xfId="0" applyNumberFormat="1" applyFont="1" applyBorder="1" applyAlignment="1">
      <alignment vertical="center"/>
    </xf>
    <xf numFmtId="0" fontId="41" fillId="0" borderId="93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" fontId="7" fillId="0" borderId="74" xfId="0" applyNumberFormat="1" applyFont="1" applyBorder="1" applyAlignment="1">
      <alignment vertical="center" wrapText="1"/>
    </xf>
    <xf numFmtId="168" fontId="40" fillId="0" borderId="68" xfId="0" applyNumberFormat="1" applyFont="1" applyBorder="1" applyAlignment="1">
      <alignment vertical="center"/>
    </xf>
    <xf numFmtId="0" fontId="7" fillId="0" borderId="48" xfId="0" applyFont="1" applyFill="1" applyBorder="1" applyAlignment="1">
      <alignment vertical="center" wrapText="1"/>
    </xf>
    <xf numFmtId="0" fontId="7" fillId="0" borderId="0" xfId="0" applyFont="1" applyFill="1" applyBorder="1" applyAlignment="1">
      <alignment vertical="center" wrapText="1"/>
    </xf>
    <xf numFmtId="0" fontId="7" fillId="0" borderId="6" xfId="0" applyFont="1" applyFill="1" applyBorder="1"/>
    <xf numFmtId="167" fontId="0" fillId="0" borderId="0" xfId="0" applyNumberFormat="1"/>
    <xf numFmtId="167" fontId="0" fillId="0" borderId="12" xfId="0" applyNumberFormat="1" applyBorder="1"/>
    <xf numFmtId="0" fontId="81" fillId="0" borderId="0" xfId="0" applyFont="1"/>
    <xf numFmtId="0" fontId="3" fillId="4" borderId="51" xfId="0" applyFont="1" applyFill="1" applyBorder="1" applyAlignment="1">
      <alignment horizontal="center"/>
    </xf>
    <xf numFmtId="0" fontId="3" fillId="0" borderId="0" xfId="0" applyFont="1" applyFill="1" applyAlignment="1">
      <alignment horizontal="center"/>
    </xf>
    <xf numFmtId="1" fontId="7" fillId="2" borderId="4" xfId="0" applyNumberFormat="1" applyFont="1" applyFill="1" applyBorder="1" applyAlignment="1">
      <alignment horizontal="center"/>
    </xf>
    <xf numFmtId="1" fontId="3" fillId="11" borderId="4" xfId="0" applyNumberFormat="1" applyFont="1" applyFill="1" applyBorder="1" applyAlignment="1">
      <alignment horizontal="center"/>
    </xf>
    <xf numFmtId="2" fontId="7" fillId="11" borderId="0" xfId="0" applyNumberFormat="1" applyFont="1" applyFill="1"/>
    <xf numFmtId="0" fontId="0" fillId="11" borderId="4" xfId="0" applyFill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11" borderId="4" xfId="0" applyFont="1" applyFill="1" applyBorder="1" applyAlignment="1">
      <alignment horizontal="center"/>
    </xf>
    <xf numFmtId="0" fontId="10" fillId="0" borderId="52" xfId="0" applyFont="1" applyBorder="1" applyAlignment="1">
      <alignment horizontal="center"/>
    </xf>
    <xf numFmtId="4" fontId="7" fillId="11" borderId="0" xfId="0" applyNumberFormat="1" applyFont="1" applyFill="1"/>
    <xf numFmtId="2" fontId="10" fillId="11" borderId="0" xfId="0" applyNumberFormat="1" applyFont="1" applyFill="1"/>
    <xf numFmtId="0" fontId="0" fillId="3" borderId="12" xfId="0" applyFill="1" applyBorder="1" applyAlignment="1">
      <alignment horizontal="center"/>
    </xf>
    <xf numFmtId="16" fontId="0" fillId="0" borderId="12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7" fillId="11" borderId="0" xfId="0" applyFont="1" applyFill="1" applyAlignment="1">
      <alignment horizontal="center"/>
    </xf>
    <xf numFmtId="1" fontId="10" fillId="11" borderId="4" xfId="0" applyNumberFormat="1" applyFont="1" applyFill="1" applyBorder="1" applyAlignment="1">
      <alignment horizontal="center"/>
    </xf>
    <xf numFmtId="0" fontId="7" fillId="0" borderId="52" xfId="0" applyFont="1" applyFill="1" applyBorder="1" applyAlignment="1">
      <alignment horizontal="center"/>
    </xf>
    <xf numFmtId="4" fontId="10" fillId="11" borderId="0" xfId="0" applyNumberFormat="1" applyFont="1" applyFill="1"/>
    <xf numFmtId="1" fontId="7" fillId="11" borderId="0" xfId="0" applyNumberFormat="1" applyFont="1" applyFill="1" applyAlignment="1">
      <alignment horizontal="center"/>
    </xf>
    <xf numFmtId="2" fontId="35" fillId="0" borderId="0" xfId="0" applyNumberFormat="1" applyFont="1" applyAlignment="1">
      <alignment horizontal="right"/>
    </xf>
    <xf numFmtId="168" fontId="35" fillId="0" borderId="15" xfId="0" applyNumberFormat="1" applyFont="1" applyBorder="1"/>
    <xf numFmtId="0" fontId="35" fillId="0" borderId="10" xfId="0" applyFont="1" applyBorder="1" applyAlignment="1">
      <alignment horizontal="right"/>
    </xf>
    <xf numFmtId="164" fontId="35" fillId="0" borderId="0" xfId="0" applyNumberFormat="1" applyFont="1"/>
    <xf numFmtId="2" fontId="35" fillId="0" borderId="0" xfId="0" applyNumberFormat="1" applyFont="1" applyFill="1" applyAlignment="1">
      <alignment horizontal="right"/>
    </xf>
    <xf numFmtId="164" fontId="10" fillId="11" borderId="0" xfId="0" applyNumberFormat="1" applyFont="1" applyFill="1"/>
    <xf numFmtId="0" fontId="10" fillId="11" borderId="4" xfId="0" applyFont="1" applyFill="1" applyBorder="1" applyAlignment="1">
      <alignment horizontal="center"/>
    </xf>
    <xf numFmtId="15" fontId="7" fillId="0" borderId="0" xfId="0" applyNumberFormat="1" applyFont="1" applyFill="1"/>
    <xf numFmtId="4" fontId="15" fillId="0" borderId="0" xfId="0" applyNumberFormat="1" applyFont="1" applyFill="1"/>
    <xf numFmtId="15" fontId="35" fillId="0" borderId="0" xfId="0" applyNumberFormat="1" applyFont="1"/>
    <xf numFmtId="2" fontId="35" fillId="0" borderId="0" xfId="0" applyNumberFormat="1" applyFont="1"/>
    <xf numFmtId="1" fontId="7" fillId="11" borderId="4" xfId="0" applyNumberFormat="1" applyFont="1" applyFill="1" applyBorder="1" applyAlignment="1">
      <alignment horizontal="center"/>
    </xf>
    <xf numFmtId="15" fontId="35" fillId="0" borderId="15" xfId="0" applyNumberFormat="1" applyFont="1" applyBorder="1"/>
    <xf numFmtId="15" fontId="7" fillId="0" borderId="15" xfId="0" applyNumberFormat="1" applyFont="1" applyFill="1" applyBorder="1"/>
    <xf numFmtId="2" fontId="10" fillId="0" borderId="0" xfId="0" applyNumberFormat="1" applyFont="1" applyFill="1"/>
    <xf numFmtId="0" fontId="12" fillId="11" borderId="4" xfId="0" applyFont="1" applyFill="1" applyBorder="1" applyAlignment="1">
      <alignment horizontal="center"/>
    </xf>
    <xf numFmtId="0" fontId="10" fillId="11" borderId="0" xfId="0" applyFont="1" applyFill="1" applyAlignment="1">
      <alignment horizontal="center"/>
    </xf>
    <xf numFmtId="2" fontId="15" fillId="11" borderId="0" xfId="0" applyNumberFormat="1" applyFont="1" applyFill="1" applyAlignment="1">
      <alignment horizontal="center"/>
    </xf>
    <xf numFmtId="1" fontId="15" fillId="11" borderId="0" xfId="0" applyNumberFormat="1" applyFont="1" applyFill="1" applyAlignment="1">
      <alignment horizontal="center"/>
    </xf>
    <xf numFmtId="168" fontId="7" fillId="0" borderId="4" xfId="0" applyNumberFormat="1" applyFont="1" applyFill="1" applyBorder="1"/>
    <xf numFmtId="15" fontId="7" fillId="0" borderId="4" xfId="0" applyNumberFormat="1" applyFont="1" applyFill="1" applyBorder="1"/>
    <xf numFmtId="0" fontId="7" fillId="11" borderId="4" xfId="0" applyFont="1" applyFill="1" applyBorder="1"/>
    <xf numFmtId="0" fontId="7" fillId="0" borderId="2" xfId="0" applyFont="1" applyBorder="1" applyAlignment="1">
      <alignment horizontal="center"/>
    </xf>
    <xf numFmtId="0" fontId="28" fillId="4" borderId="0" xfId="0" applyFont="1" applyFill="1" applyAlignment="1">
      <alignment horizontal="center" wrapText="1"/>
    </xf>
    <xf numFmtId="0" fontId="7" fillId="19" borderId="0" xfId="0" applyFont="1" applyFill="1" applyAlignment="1">
      <alignment horizontal="center"/>
    </xf>
    <xf numFmtId="0" fontId="7" fillId="22" borderId="0" xfId="0" applyFont="1" applyFill="1" applyAlignment="1">
      <alignment horizontal="center"/>
    </xf>
    <xf numFmtId="0" fontId="49" fillId="0" borderId="0" xfId="0" applyFont="1" applyFill="1" applyAlignment="1">
      <alignment horizontal="center"/>
    </xf>
    <xf numFmtId="1" fontId="3" fillId="0" borderId="4" xfId="0" applyNumberFormat="1" applyFont="1" applyFill="1" applyBorder="1" applyAlignment="1">
      <alignment horizontal="center"/>
    </xf>
    <xf numFmtId="164" fontId="10" fillId="0" borderId="60" xfId="0" applyNumberFormat="1" applyFont="1" applyFill="1" applyBorder="1"/>
    <xf numFmtId="164" fontId="10" fillId="0" borderId="61" xfId="0" applyNumberFormat="1" applyFont="1" applyFill="1" applyBorder="1"/>
    <xf numFmtId="0" fontId="3" fillId="0" borderId="12" xfId="0" applyFont="1" applyFill="1" applyBorder="1" applyAlignment="1">
      <alignment horizontal="center"/>
    </xf>
    <xf numFmtId="164" fontId="0" fillId="0" borderId="0" xfId="0" applyNumberFormat="1" applyFill="1"/>
    <xf numFmtId="2" fontId="28" fillId="0" borderId="0" xfId="0" applyNumberFormat="1" applyFont="1" applyFill="1" applyAlignment="1">
      <alignment horizontal="right"/>
    </xf>
    <xf numFmtId="16" fontId="0" fillId="0" borderId="0" xfId="0" applyNumberFormat="1" applyFill="1"/>
    <xf numFmtId="0" fontId="0" fillId="0" borderId="0" xfId="0" applyFill="1" applyAlignment="1">
      <alignment horizontal="right"/>
    </xf>
    <xf numFmtId="164" fontId="15" fillId="0" borderId="0" xfId="0" applyNumberFormat="1" applyFont="1" applyFill="1"/>
    <xf numFmtId="2" fontId="0" fillId="0" borderId="0" xfId="0" applyNumberFormat="1" applyFill="1" applyAlignment="1">
      <alignment horizontal="right"/>
    </xf>
    <xf numFmtId="0" fontId="8" fillId="0" borderId="1" xfId="0" applyFont="1" applyFill="1" applyBorder="1" applyAlignment="1">
      <alignment horizontal="center"/>
    </xf>
    <xf numFmtId="1" fontId="8" fillId="0" borderId="2" xfId="0" applyNumberFormat="1" applyFont="1" applyFill="1" applyBorder="1" applyAlignment="1">
      <alignment horizontal="right"/>
    </xf>
    <xf numFmtId="16" fontId="8" fillId="0" borderId="3" xfId="0" applyNumberFormat="1" applyFont="1" applyFill="1" applyBorder="1"/>
    <xf numFmtId="2" fontId="8" fillId="0" borderId="5" xfId="0" applyNumberFormat="1" applyFont="1" applyFill="1" applyBorder="1"/>
    <xf numFmtId="166" fontId="28" fillId="0" borderId="0" xfId="0" applyNumberFormat="1" applyFont="1" applyFill="1" applyAlignment="1">
      <alignment horizontal="center"/>
    </xf>
    <xf numFmtId="166" fontId="7" fillId="0" borderId="0" xfId="0" applyNumberFormat="1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166" fontId="7" fillId="0" borderId="0" xfId="0" applyNumberFormat="1" applyFont="1" applyFill="1"/>
    <xf numFmtId="168" fontId="10" fillId="0" borderId="0" xfId="0" applyNumberFormat="1" applyFont="1" applyFill="1"/>
    <xf numFmtId="2" fontId="15" fillId="0" borderId="0" xfId="0" applyNumberFormat="1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0" fillId="0" borderId="63" xfId="0" applyFill="1" applyBorder="1"/>
    <xf numFmtId="0" fontId="7" fillId="0" borderId="4" xfId="0" applyFont="1" applyFill="1" applyBorder="1" applyAlignment="1">
      <alignment horizontal="center"/>
    </xf>
    <xf numFmtId="0" fontId="26" fillId="19" borderId="0" xfId="0" applyFont="1" applyFill="1" applyAlignment="1">
      <alignment horizontal="center"/>
    </xf>
    <xf numFmtId="44" fontId="38" fillId="0" borderId="0" xfId="1" applyFont="1" applyFill="1"/>
    <xf numFmtId="168" fontId="38" fillId="0" borderId="0" xfId="0" applyNumberFormat="1" applyFont="1" applyFill="1"/>
    <xf numFmtId="0" fontId="38" fillId="0" borderId="0" xfId="0" applyFont="1" applyFill="1" applyAlignment="1">
      <alignment horizontal="center"/>
    </xf>
    <xf numFmtId="168" fontId="7" fillId="0" borderId="0" xfId="0" applyNumberFormat="1" applyFont="1" applyFill="1" applyBorder="1" applyAlignment="1">
      <alignment vertical="center"/>
    </xf>
    <xf numFmtId="168" fontId="7" fillId="0" borderId="7" xfId="0" applyNumberFormat="1" applyFont="1" applyFill="1" applyBorder="1" applyAlignment="1">
      <alignment vertical="center"/>
    </xf>
    <xf numFmtId="0" fontId="26" fillId="22" borderId="0" xfId="0" applyFont="1" applyFill="1" applyAlignment="1">
      <alignment horizontal="center"/>
    </xf>
    <xf numFmtId="0" fontId="0" fillId="0" borderId="4" xfId="0" applyFill="1" applyBorder="1" applyAlignment="1">
      <alignment horizontal="center"/>
    </xf>
    <xf numFmtId="0" fontId="75" fillId="19" borderId="0" xfId="0" applyFont="1" applyFill="1" applyAlignment="1">
      <alignment horizontal="center"/>
    </xf>
    <xf numFmtId="164" fontId="7" fillId="0" borderId="33" xfId="0" applyNumberFormat="1" applyFont="1" applyFill="1" applyBorder="1" applyAlignment="1">
      <alignment horizontal="center" vertical="center"/>
    </xf>
    <xf numFmtId="44" fontId="7" fillId="0" borderId="74" xfId="1" applyFont="1" applyFill="1" applyBorder="1" applyAlignment="1">
      <alignment vertical="center"/>
    </xf>
    <xf numFmtId="0" fontId="7" fillId="0" borderId="33" xfId="0" applyFont="1" applyBorder="1" applyAlignment="1"/>
    <xf numFmtId="0" fontId="80" fillId="0" borderId="33" xfId="0" applyFont="1" applyFill="1" applyBorder="1" applyAlignment="1">
      <alignment vertical="center"/>
    </xf>
    <xf numFmtId="168" fontId="7" fillId="0" borderId="33" xfId="0" applyNumberFormat="1" applyFont="1" applyBorder="1" applyAlignment="1"/>
    <xf numFmtId="4" fontId="40" fillId="0" borderId="33" xfId="0" applyNumberFormat="1" applyFont="1" applyBorder="1" applyAlignment="1">
      <alignment vertical="center"/>
    </xf>
    <xf numFmtId="4" fontId="7" fillId="0" borderId="33" xfId="0" applyNumberFormat="1" applyFont="1" applyBorder="1" applyAlignment="1"/>
    <xf numFmtId="4" fontId="7" fillId="0" borderId="33" xfId="0" applyNumberFormat="1" applyFont="1" applyBorder="1" applyAlignment="1">
      <alignment vertical="center"/>
    </xf>
    <xf numFmtId="4" fontId="40" fillId="0" borderId="33" xfId="0" applyNumberFormat="1" applyFont="1" applyBorder="1" applyAlignment="1">
      <alignment horizontal="center" vertical="center"/>
    </xf>
    <xf numFmtId="0" fontId="7" fillId="0" borderId="91" xfId="0" applyFont="1" applyBorder="1" applyAlignment="1"/>
    <xf numFmtId="0" fontId="41" fillId="0" borderId="93" xfId="0" applyFont="1" applyFill="1" applyBorder="1" applyAlignment="1">
      <alignment horizontal="center" wrapText="1"/>
    </xf>
    <xf numFmtId="2" fontId="7" fillId="0" borderId="4" xfId="0" applyNumberFormat="1" applyFont="1" applyFill="1" applyBorder="1"/>
    <xf numFmtId="2" fontId="7" fillId="0" borderId="101" xfId="0" applyNumberFormat="1" applyFont="1" applyBorder="1"/>
    <xf numFmtId="44" fontId="45" fillId="0" borderId="33" xfId="1" applyFont="1" applyFill="1" applyBorder="1" applyAlignment="1">
      <alignment horizontal="right"/>
    </xf>
    <xf numFmtId="0" fontId="82" fillId="0" borderId="33" xfId="0" applyFont="1" applyFill="1" applyBorder="1" applyAlignment="1">
      <alignment horizontal="left" wrapText="1"/>
    </xf>
    <xf numFmtId="44" fontId="45" fillId="0" borderId="33" xfId="1" applyFont="1" applyFill="1" applyBorder="1"/>
    <xf numFmtId="0" fontId="83" fillId="0" borderId="33" xfId="0" applyFont="1" applyFill="1" applyBorder="1" applyAlignment="1">
      <alignment wrapText="1"/>
    </xf>
    <xf numFmtId="0" fontId="83" fillId="0" borderId="33" xfId="0" applyFont="1" applyFill="1" applyBorder="1" applyAlignment="1">
      <alignment horizontal="left" wrapText="1"/>
    </xf>
    <xf numFmtId="44" fontId="45" fillId="0" borderId="91" xfId="1" applyFont="1" applyFill="1" applyBorder="1"/>
    <xf numFmtId="167" fontId="45" fillId="0" borderId="33" xfId="0" applyNumberFormat="1" applyFont="1" applyFill="1" applyBorder="1" applyAlignment="1">
      <alignment wrapText="1"/>
    </xf>
    <xf numFmtId="0" fontId="40" fillId="23" borderId="33" xfId="0" applyFont="1" applyFill="1" applyBorder="1" applyAlignment="1">
      <alignment horizontal="center" vertical="center"/>
    </xf>
    <xf numFmtId="0" fontId="59" fillId="0" borderId="93" xfId="0" applyFont="1" applyFill="1" applyBorder="1" applyAlignment="1">
      <alignment horizontal="center" vertical="center"/>
    </xf>
    <xf numFmtId="0" fontId="55" fillId="0" borderId="33" xfId="0" applyFont="1" applyBorder="1" applyAlignment="1">
      <alignment horizontal="center" wrapText="1"/>
    </xf>
    <xf numFmtId="0" fontId="36" fillId="0" borderId="9" xfId="0" applyFont="1" applyBorder="1" applyAlignment="1">
      <alignment wrapText="1"/>
    </xf>
    <xf numFmtId="0" fontId="36" fillId="0" borderId="13" xfId="0" applyFont="1" applyBorder="1" applyAlignment="1">
      <alignment wrapText="1"/>
    </xf>
    <xf numFmtId="164" fontId="22" fillId="0" borderId="90" xfId="0" applyNumberFormat="1" applyFont="1" applyBorder="1" applyAlignment="1">
      <alignment wrapText="1"/>
    </xf>
    <xf numFmtId="167" fontId="22" fillId="0" borderId="0" xfId="0" applyNumberFormat="1" applyFont="1" applyAlignment="1">
      <alignment wrapText="1"/>
    </xf>
    <xf numFmtId="167" fontId="22" fillId="0" borderId="10" xfId="0" applyNumberFormat="1" applyFont="1" applyBorder="1" applyAlignment="1">
      <alignment wrapText="1"/>
    </xf>
    <xf numFmtId="0" fontId="22" fillId="0" borderId="10" xfId="0" applyFont="1" applyBorder="1" applyAlignment="1">
      <alignment wrapText="1"/>
    </xf>
    <xf numFmtId="0" fontId="36" fillId="0" borderId="14" xfId="0" applyFont="1" applyBorder="1" applyAlignment="1">
      <alignment wrapText="1"/>
    </xf>
    <xf numFmtId="0" fontId="36" fillId="0" borderId="0" xfId="0" applyFont="1" applyAlignment="1">
      <alignment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15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3" fillId="0" borderId="51" xfId="0" applyFont="1" applyFill="1" applyBorder="1" applyAlignment="1">
      <alignment horizontal="center"/>
    </xf>
    <xf numFmtId="168" fontId="7" fillId="0" borderId="51" xfId="0" applyNumberFormat="1" applyFont="1" applyFill="1" applyBorder="1"/>
    <xf numFmtId="0" fontId="7" fillId="0" borderId="51" xfId="0" applyFont="1" applyFill="1" applyBorder="1" applyAlignment="1">
      <alignment horizontal="right"/>
    </xf>
    <xf numFmtId="164" fontId="7" fillId="0" borderId="51" xfId="0" applyNumberFormat="1" applyFont="1" applyFill="1" applyBorder="1"/>
    <xf numFmtId="1" fontId="10" fillId="0" borderId="4" xfId="0" applyNumberFormat="1" applyFont="1" applyFill="1" applyBorder="1" applyAlignment="1">
      <alignment horizontal="center"/>
    </xf>
    <xf numFmtId="15" fontId="7" fillId="0" borderId="51" xfId="0" applyNumberFormat="1" applyFont="1" applyFill="1" applyBorder="1"/>
    <xf numFmtId="4" fontId="22" fillId="23" borderId="33" xfId="0" applyNumberFormat="1" applyFont="1" applyFill="1" applyBorder="1" applyAlignment="1">
      <alignment horizontal="center"/>
    </xf>
    <xf numFmtId="168" fontId="28" fillId="23" borderId="33" xfId="0" applyNumberFormat="1" applyFont="1" applyFill="1" applyBorder="1"/>
    <xf numFmtId="4" fontId="35" fillId="0" borderId="5" xfId="0" applyNumberFormat="1" applyFont="1" applyBorder="1" applyAlignment="1">
      <alignment horizontal="right"/>
    </xf>
    <xf numFmtId="2" fontId="35" fillId="0" borderId="51" xfId="0" applyNumberFormat="1" applyFont="1" applyBorder="1" applyAlignment="1">
      <alignment horizontal="right"/>
    </xf>
    <xf numFmtId="15" fontId="35" fillId="0" borderId="51" xfId="0" applyNumberFormat="1" applyFont="1" applyBorder="1"/>
    <xf numFmtId="0" fontId="35" fillId="0" borderId="51" xfId="0" applyFont="1" applyBorder="1" applyAlignment="1">
      <alignment horizontal="right"/>
    </xf>
    <xf numFmtId="164" fontId="35" fillId="0" borderId="51" xfId="0" applyNumberFormat="1" applyFont="1" applyBorder="1"/>
    <xf numFmtId="168" fontId="35" fillId="0" borderId="51" xfId="0" applyNumberFormat="1" applyFont="1" applyBorder="1"/>
    <xf numFmtId="2" fontId="35" fillId="0" borderId="12" xfId="0" applyNumberFormat="1" applyFont="1" applyBorder="1" applyAlignment="1">
      <alignment horizontal="right"/>
    </xf>
    <xf numFmtId="0" fontId="35" fillId="0" borderId="13" xfId="0" applyFont="1" applyBorder="1" applyAlignment="1">
      <alignment horizontal="right"/>
    </xf>
    <xf numFmtId="4" fontId="10" fillId="0" borderId="0" xfId="0" applyNumberFormat="1" applyFont="1" applyAlignment="1">
      <alignment horizontal="right"/>
    </xf>
    <xf numFmtId="2" fontId="10" fillId="0" borderId="0" xfId="0" applyNumberFormat="1" applyFont="1" applyFill="1" applyAlignment="1">
      <alignment horizontal="right"/>
    </xf>
    <xf numFmtId="0" fontId="7" fillId="0" borderId="0" xfId="0" applyFont="1" applyFill="1" applyAlignment="1">
      <alignment horizontal="right"/>
    </xf>
    <xf numFmtId="4" fontId="35" fillId="0" borderId="32" xfId="0" applyNumberFormat="1" applyFont="1" applyBorder="1" applyAlignment="1">
      <alignment horizontal="right"/>
    </xf>
    <xf numFmtId="16" fontId="35" fillId="0" borderId="16" xfId="0" applyNumberFormat="1" applyFont="1" applyBorder="1"/>
    <xf numFmtId="164" fontId="35" fillId="0" borderId="24" xfId="0" applyNumberFormat="1" applyFont="1" applyBorder="1"/>
    <xf numFmtId="4" fontId="10" fillId="0" borderId="12" xfId="0" applyNumberFormat="1" applyFont="1" applyBorder="1"/>
    <xf numFmtId="1" fontId="7" fillId="0" borderId="12" xfId="0" applyNumberFormat="1" applyFont="1" applyBorder="1" applyAlignment="1">
      <alignment horizontal="center"/>
    </xf>
    <xf numFmtId="164" fontId="7" fillId="26" borderId="0" xfId="0" applyNumberFormat="1" applyFont="1" applyFill="1"/>
    <xf numFmtId="164" fontId="7" fillId="4" borderId="0" xfId="0" applyNumberFormat="1" applyFont="1" applyFill="1" applyAlignment="1">
      <alignment horizontal="center"/>
    </xf>
    <xf numFmtId="168" fontId="7" fillId="4" borderId="0" xfId="0" applyNumberFormat="1" applyFont="1" applyFill="1" applyAlignment="1">
      <alignment horizontal="right"/>
    </xf>
    <xf numFmtId="0" fontId="79" fillId="0" borderId="0" xfId="0" applyFont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2" fillId="0" borderId="33" xfId="0" applyFont="1" applyFill="1" applyBorder="1" applyAlignment="1">
      <alignment horizontal="center"/>
    </xf>
    <xf numFmtId="167" fontId="22" fillId="0" borderId="90" xfId="0" applyNumberFormat="1" applyFont="1" applyFill="1" applyBorder="1" applyAlignment="1">
      <alignment horizontal="left" wrapText="1"/>
    </xf>
    <xf numFmtId="0" fontId="15" fillId="0" borderId="33" xfId="0" applyFont="1" applyFill="1" applyBorder="1" applyAlignment="1">
      <alignment horizontal="center"/>
    </xf>
    <xf numFmtId="0" fontId="28" fillId="0" borderId="33" xfId="0" applyFont="1" applyFill="1" applyBorder="1" applyAlignment="1">
      <alignment horizontal="center"/>
    </xf>
    <xf numFmtId="164" fontId="18" fillId="0" borderId="33" xfId="0" applyNumberFormat="1" applyFont="1" applyFill="1" applyBorder="1" applyAlignment="1">
      <alignment wrapText="1"/>
    </xf>
    <xf numFmtId="164" fontId="45" fillId="0" borderId="33" xfId="0" applyNumberFormat="1" applyFont="1" applyFill="1" applyBorder="1"/>
    <xf numFmtId="164" fontId="45" fillId="0" borderId="33" xfId="0" applyNumberFormat="1" applyFont="1" applyFill="1" applyBorder="1" applyAlignment="1">
      <alignment wrapText="1"/>
    </xf>
    <xf numFmtId="164" fontId="22" fillId="0" borderId="33" xfId="0" applyNumberFormat="1" applyFont="1" applyFill="1" applyBorder="1" applyAlignment="1">
      <alignment vertical="center" wrapText="1"/>
    </xf>
    <xf numFmtId="164" fontId="7" fillId="0" borderId="33" xfId="0" applyNumberFormat="1" applyFont="1" applyFill="1" applyBorder="1" applyAlignment="1">
      <alignment wrapText="1"/>
    </xf>
    <xf numFmtId="164" fontId="22" fillId="0" borderId="33" xfId="0" applyNumberFormat="1" applyFont="1" applyFill="1" applyBorder="1" applyAlignment="1">
      <alignment wrapText="1"/>
    </xf>
    <xf numFmtId="164" fontId="7" fillId="0" borderId="33" xfId="0" applyNumberFormat="1" applyFont="1" applyFill="1" applyBorder="1" applyAlignment="1">
      <alignment vertical="center"/>
    </xf>
    <xf numFmtId="164" fontId="7" fillId="0" borderId="33" xfId="0" applyNumberFormat="1" applyFont="1" applyBorder="1" applyAlignment="1">
      <alignment wrapText="1"/>
    </xf>
    <xf numFmtId="164" fontId="22" fillId="0" borderId="33" xfId="0" applyNumberFormat="1" applyFont="1" applyBorder="1" applyAlignment="1">
      <alignment wrapText="1"/>
    </xf>
    <xf numFmtId="164" fontId="18" fillId="0" borderId="33" xfId="0" applyNumberFormat="1" applyFont="1" applyBorder="1" applyAlignment="1">
      <alignment horizontal="left" wrapText="1"/>
    </xf>
    <xf numFmtId="164" fontId="17" fillId="0" borderId="33" xfId="0" applyNumberFormat="1" applyFont="1" applyBorder="1" applyAlignment="1">
      <alignment wrapText="1"/>
    </xf>
    <xf numFmtId="164" fontId="22" fillId="0" borderId="33" xfId="0" applyNumberFormat="1" applyFont="1" applyBorder="1" applyAlignment="1">
      <alignment horizontal="left" wrapText="1"/>
    </xf>
    <xf numFmtId="164" fontId="45" fillId="0" borderId="91" xfId="0" applyNumberFormat="1" applyFont="1" applyFill="1" applyBorder="1"/>
    <xf numFmtId="4" fontId="15" fillId="11" borderId="0" xfId="0" applyNumberFormat="1" applyFont="1" applyFill="1"/>
    <xf numFmtId="37" fontId="7" fillId="11" borderId="4" xfId="2" applyNumberFormat="1" applyFont="1" applyFill="1" applyBorder="1" applyAlignment="1">
      <alignment horizontal="center"/>
    </xf>
    <xf numFmtId="1" fontId="3" fillId="0" borderId="0" xfId="0" applyNumberFormat="1" applyFont="1" applyFill="1" applyAlignment="1">
      <alignment horizontal="center"/>
    </xf>
    <xf numFmtId="4" fontId="10" fillId="11" borderId="76" xfId="0" applyNumberFormat="1" applyFont="1" applyFill="1" applyBorder="1"/>
    <xf numFmtId="0" fontId="7" fillId="11" borderId="76" xfId="0" applyFont="1" applyFill="1" applyBorder="1" applyAlignment="1">
      <alignment horizontal="center"/>
    </xf>
    <xf numFmtId="2" fontId="55" fillId="0" borderId="5" xfId="0" applyNumberFormat="1" applyFont="1" applyFill="1" applyBorder="1" applyAlignment="1">
      <alignment horizontal="right"/>
    </xf>
    <xf numFmtId="2" fontId="45" fillId="0" borderId="5" xfId="0" applyNumberFormat="1" applyFont="1" applyFill="1" applyBorder="1" applyAlignment="1">
      <alignment horizontal="right"/>
    </xf>
    <xf numFmtId="2" fontId="27" fillId="0" borderId="5" xfId="0" applyNumberFormat="1" applyFont="1" applyFill="1" applyBorder="1" applyAlignment="1">
      <alignment horizontal="right"/>
    </xf>
    <xf numFmtId="168" fontId="27" fillId="0" borderId="4" xfId="0" applyNumberFormat="1" applyFont="1" applyFill="1" applyBorder="1"/>
    <xf numFmtId="2" fontId="27" fillId="0" borderId="0" xfId="0" applyNumberFormat="1" applyFont="1" applyFill="1" applyAlignment="1">
      <alignment horizontal="right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2" fontId="35" fillId="0" borderId="5" xfId="0" applyNumberFormat="1" applyFont="1" applyFill="1" applyBorder="1" applyAlignment="1">
      <alignment horizontal="right"/>
    </xf>
    <xf numFmtId="168" fontId="27" fillId="0" borderId="15" xfId="0" applyNumberFormat="1" applyFont="1" applyFill="1" applyBorder="1"/>
    <xf numFmtId="15" fontId="27" fillId="0" borderId="0" xfId="0" applyNumberFormat="1" applyFont="1" applyFill="1"/>
    <xf numFmtId="2" fontId="27" fillId="0" borderId="0" xfId="0" applyNumberFormat="1" applyFont="1" applyFill="1"/>
    <xf numFmtId="0" fontId="27" fillId="0" borderId="13" xfId="0" applyFont="1" applyBorder="1" applyAlignment="1">
      <alignment horizontal="right"/>
    </xf>
    <xf numFmtId="164" fontId="27" fillId="0" borderId="12" xfId="0" applyNumberFormat="1" applyFont="1" applyBorder="1"/>
    <xf numFmtId="2" fontId="27" fillId="0" borderId="0" xfId="0" applyNumberFormat="1" applyFont="1" applyBorder="1" applyAlignment="1">
      <alignment horizontal="right"/>
    </xf>
    <xf numFmtId="4" fontId="27" fillId="0" borderId="51" xfId="0" applyNumberFormat="1" applyFont="1" applyBorder="1"/>
    <xf numFmtId="4" fontId="27" fillId="0" borderId="51" xfId="0" applyNumberFormat="1" applyFont="1" applyFill="1" applyBorder="1"/>
    <xf numFmtId="0" fontId="27" fillId="0" borderId="0" xfId="0" applyFont="1" applyFill="1" applyAlignment="1">
      <alignment horizontal="center"/>
    </xf>
    <xf numFmtId="2" fontId="27" fillId="0" borderId="12" xfId="0" applyNumberFormat="1" applyFont="1" applyFill="1" applyBorder="1" applyAlignment="1">
      <alignment horizontal="right"/>
    </xf>
    <xf numFmtId="168" fontId="27" fillId="0" borderId="11" xfId="0" applyNumberFormat="1" applyFont="1" applyFill="1" applyBorder="1"/>
    <xf numFmtId="0" fontId="27" fillId="0" borderId="13" xfId="0" applyFont="1" applyFill="1" applyBorder="1" applyAlignment="1">
      <alignment horizontal="right"/>
    </xf>
    <xf numFmtId="164" fontId="27" fillId="0" borderId="12" xfId="0" applyNumberFormat="1" applyFont="1" applyFill="1" applyBorder="1"/>
    <xf numFmtId="4" fontId="27" fillId="0" borderId="46" xfId="0" applyNumberFormat="1" applyFont="1" applyBorder="1" applyAlignment="1">
      <alignment horizontal="right"/>
    </xf>
    <xf numFmtId="16" fontId="27" fillId="0" borderId="16" xfId="0" applyNumberFormat="1" applyFont="1" applyBorder="1"/>
    <xf numFmtId="2" fontId="27" fillId="0" borderId="51" xfId="0" applyNumberFormat="1" applyFont="1" applyBorder="1" applyAlignment="1">
      <alignment horizontal="right"/>
    </xf>
    <xf numFmtId="15" fontId="27" fillId="0" borderId="51" xfId="0" applyNumberFormat="1" applyFont="1" applyBorder="1"/>
    <xf numFmtId="0" fontId="27" fillId="0" borderId="51" xfId="0" applyFont="1" applyBorder="1" applyAlignment="1">
      <alignment horizontal="right"/>
    </xf>
    <xf numFmtId="164" fontId="27" fillId="0" borderId="51" xfId="0" applyNumberFormat="1" applyFont="1" applyBorder="1"/>
    <xf numFmtId="168" fontId="27" fillId="0" borderId="51" xfId="0" applyNumberFormat="1" applyFont="1" applyBorder="1"/>
    <xf numFmtId="2" fontId="84" fillId="0" borderId="51" xfId="0" applyNumberFormat="1" applyFont="1" applyBorder="1" applyAlignment="1">
      <alignment horizontal="right"/>
    </xf>
    <xf numFmtId="168" fontId="84" fillId="0" borderId="0" xfId="0" applyNumberFormat="1" applyFont="1"/>
    <xf numFmtId="2" fontId="84" fillId="0" borderId="5" xfId="0" applyNumberFormat="1" applyFont="1" applyBorder="1" applyAlignment="1">
      <alignment horizontal="right"/>
    </xf>
    <xf numFmtId="164" fontId="84" fillId="0" borderId="0" xfId="0" applyNumberFormat="1" applyFont="1" applyAlignment="1">
      <alignment horizontal="right"/>
    </xf>
    <xf numFmtId="44" fontId="84" fillId="0" borderId="0" xfId="1" applyFont="1" applyFill="1"/>
    <xf numFmtId="44" fontId="84" fillId="0" borderId="0" xfId="1" applyFont="1"/>
    <xf numFmtId="0" fontId="85" fillId="0" borderId="0" xfId="0" applyFont="1"/>
    <xf numFmtId="164" fontId="85" fillId="0" borderId="0" xfId="0" applyNumberFormat="1" applyFont="1" applyAlignment="1">
      <alignment horizontal="right"/>
    </xf>
    <xf numFmtId="0" fontId="55" fillId="0" borderId="0" xfId="0" applyFont="1" applyAlignment="1">
      <alignment horizontal="center"/>
    </xf>
    <xf numFmtId="164" fontId="74" fillId="0" borderId="0" xfId="0" applyNumberFormat="1" applyFont="1"/>
    <xf numFmtId="168" fontId="7" fillId="0" borderId="0" xfId="0" applyNumberFormat="1" applyFont="1" applyFill="1" applyAlignment="1">
      <alignment horizontal="right"/>
    </xf>
    <xf numFmtId="4" fontId="10" fillId="0" borderId="0" xfId="0" applyNumberFormat="1" applyFont="1" applyFill="1"/>
    <xf numFmtId="0" fontId="10" fillId="0" borderId="0" xfId="0" applyFont="1" applyFill="1" applyAlignment="1">
      <alignment horizontal="right"/>
    </xf>
    <xf numFmtId="0" fontId="28" fillId="22" borderId="0" xfId="0" applyFont="1" applyFill="1" applyAlignment="1">
      <alignment horizontal="center"/>
    </xf>
    <xf numFmtId="4" fontId="10" fillId="0" borderId="76" xfId="0" applyNumberFormat="1" applyFont="1" applyFill="1" applyBorder="1"/>
    <xf numFmtId="0" fontId="7" fillId="0" borderId="76" xfId="0" applyFont="1" applyFill="1" applyBorder="1" applyAlignment="1">
      <alignment horizontal="center"/>
    </xf>
    <xf numFmtId="0" fontId="26" fillId="19" borderId="0" xfId="0" applyFont="1" applyFill="1" applyAlignment="1">
      <alignment horizontal="left"/>
    </xf>
    <xf numFmtId="164" fontId="17" fillId="19" borderId="0" xfId="0" applyNumberFormat="1" applyFont="1" applyFill="1" applyAlignment="1">
      <alignment horizontal="center"/>
    </xf>
    <xf numFmtId="0" fontId="28" fillId="0" borderId="92" xfId="0" applyFont="1" applyFill="1" applyBorder="1" applyAlignment="1">
      <alignment horizontal="center"/>
    </xf>
    <xf numFmtId="168" fontId="40" fillId="0" borderId="68" xfId="0" applyNumberFormat="1" applyFont="1" applyFill="1" applyBorder="1" applyAlignment="1">
      <alignment vertical="center"/>
    </xf>
    <xf numFmtId="4" fontId="40" fillId="0" borderId="33" xfId="0" applyNumberFormat="1" applyFont="1" applyFill="1" applyBorder="1" applyAlignment="1">
      <alignment vertical="center"/>
    </xf>
    <xf numFmtId="4" fontId="40" fillId="0" borderId="33" xfId="0" applyNumberFormat="1" applyFont="1" applyFill="1" applyBorder="1" applyAlignment="1">
      <alignment horizontal="center" vertical="center"/>
    </xf>
    <xf numFmtId="44" fontId="79" fillId="0" borderId="33" xfId="1" applyFont="1" applyFill="1" applyBorder="1" applyAlignment="1">
      <alignment vertical="center"/>
    </xf>
    <xf numFmtId="164" fontId="45" fillId="0" borderId="33" xfId="0" applyNumberFormat="1" applyFont="1" applyFill="1" applyBorder="1" applyAlignment="1">
      <alignment horizontal="center" vertical="center" wrapText="1"/>
    </xf>
    <xf numFmtId="0" fontId="7" fillId="0" borderId="68" xfId="0" applyFont="1" applyBorder="1" applyAlignment="1">
      <alignment horizontal="left"/>
    </xf>
    <xf numFmtId="4" fontId="55" fillId="0" borderId="68" xfId="0" applyNumberFormat="1" applyFont="1" applyBorder="1" applyAlignment="1">
      <alignment horizontal="center" wrapText="1"/>
    </xf>
    <xf numFmtId="168" fontId="40" fillId="0" borderId="33" xfId="0" applyNumberFormat="1" applyFont="1" applyFill="1" applyBorder="1" applyAlignment="1">
      <alignment vertical="center"/>
    </xf>
    <xf numFmtId="168" fontId="7" fillId="0" borderId="68" xfId="0" applyNumberFormat="1" applyFont="1" applyBorder="1"/>
    <xf numFmtId="2" fontId="8" fillId="0" borderId="68" xfId="0" applyNumberFormat="1" applyFont="1" applyBorder="1"/>
    <xf numFmtId="0" fontId="40" fillId="0" borderId="91" xfId="0" applyFont="1" applyFill="1" applyBorder="1" applyAlignment="1">
      <alignment horizontal="center" vertical="center"/>
    </xf>
    <xf numFmtId="0" fontId="7" fillId="0" borderId="68" xfId="0" applyFont="1" applyBorder="1" applyAlignment="1">
      <alignment wrapText="1"/>
    </xf>
    <xf numFmtId="44" fontId="79" fillId="0" borderId="33" xfId="1" applyFont="1" applyFill="1" applyBorder="1"/>
    <xf numFmtId="0" fontId="82" fillId="0" borderId="33" xfId="0" applyFont="1" applyFill="1" applyBorder="1" applyAlignment="1">
      <alignment wrapText="1"/>
    </xf>
    <xf numFmtId="167" fontId="83" fillId="0" borderId="33" xfId="0" applyNumberFormat="1" applyFont="1" applyFill="1" applyBorder="1" applyAlignment="1">
      <alignment wrapText="1"/>
    </xf>
    <xf numFmtId="169" fontId="7" fillId="0" borderId="0" xfId="1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7" fillId="0" borderId="91" xfId="0" applyFont="1" applyBorder="1" applyAlignment="1">
      <alignment vertical="center"/>
    </xf>
    <xf numFmtId="0" fontId="7" fillId="0" borderId="74" xfId="0" applyFont="1" applyBorder="1" applyAlignment="1"/>
    <xf numFmtId="0" fontId="80" fillId="0" borderId="87" xfId="0" applyFont="1" applyFill="1" applyBorder="1" applyAlignment="1">
      <alignment vertical="center"/>
    </xf>
    <xf numFmtId="0" fontId="15" fillId="2" borderId="93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19" borderId="0" xfId="0" applyFont="1" applyFill="1" applyAlignment="1">
      <alignment horizontal="center" wrapText="1"/>
    </xf>
    <xf numFmtId="0" fontId="7" fillId="0" borderId="0" xfId="0" applyFont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2" fontId="7" fillId="0" borderId="68" xfId="0" applyNumberFormat="1" applyFont="1" applyBorder="1" applyAlignment="1">
      <alignment horizontal="right"/>
    </xf>
    <xf numFmtId="1" fontId="7" fillId="0" borderId="68" xfId="0" applyNumberFormat="1" applyFont="1" applyBorder="1" applyAlignment="1">
      <alignment horizontal="center"/>
    </xf>
    <xf numFmtId="0" fontId="28" fillId="0" borderId="93" xfId="0" applyFont="1" applyFill="1" applyBorder="1" applyAlignment="1">
      <alignment horizontal="center" wrapText="1"/>
    </xf>
    <xf numFmtId="0" fontId="87" fillId="0" borderId="51" xfId="0" applyFont="1" applyBorder="1" applyAlignment="1">
      <alignment horizontal="center" wrapText="1"/>
    </xf>
    <xf numFmtId="1" fontId="28" fillId="0" borderId="74" xfId="0" applyNumberFormat="1" applyFont="1" applyFill="1" applyBorder="1" applyAlignment="1">
      <alignment horizontal="center" vertical="center" wrapText="1"/>
    </xf>
    <xf numFmtId="0" fontId="7" fillId="19" borderId="33" xfId="0" applyFont="1" applyFill="1" applyBorder="1" applyAlignment="1">
      <alignment horizontal="center"/>
    </xf>
    <xf numFmtId="164" fontId="7" fillId="0" borderId="90" xfId="0" applyNumberFormat="1" applyFont="1" applyFill="1" applyBorder="1" applyAlignment="1">
      <alignment wrapText="1"/>
    </xf>
    <xf numFmtId="164" fontId="22" fillId="0" borderId="90" xfId="0" applyNumberFormat="1" applyFont="1" applyFill="1" applyBorder="1" applyAlignment="1">
      <alignment wrapText="1"/>
    </xf>
    <xf numFmtId="1" fontId="53" fillId="0" borderId="68" xfId="0" applyNumberFormat="1" applyFont="1" applyFill="1" applyBorder="1" applyAlignment="1">
      <alignment horizontal="center" vertical="center" wrapText="1"/>
    </xf>
    <xf numFmtId="0" fontId="7" fillId="0" borderId="102" xfId="0" applyFont="1" applyBorder="1" applyAlignment="1">
      <alignment horizontal="center" vertical="center" wrapText="1"/>
    </xf>
    <xf numFmtId="168" fontId="7" fillId="0" borderId="33" xfId="0" applyNumberFormat="1" applyFont="1" applyBorder="1" applyAlignment="1">
      <alignment horizontal="center" vertical="center"/>
    </xf>
    <xf numFmtId="0" fontId="7" fillId="0" borderId="91" xfId="0" applyFont="1" applyBorder="1" applyAlignment="1">
      <alignment wrapText="1"/>
    </xf>
    <xf numFmtId="0" fontId="7" fillId="0" borderId="74" xfId="0" applyFont="1" applyBorder="1" applyAlignment="1">
      <alignment wrapText="1"/>
    </xf>
    <xf numFmtId="0" fontId="55" fillId="0" borderId="90" xfId="0" applyFont="1" applyBorder="1" applyAlignment="1">
      <alignment horizontal="center" wrapText="1"/>
    </xf>
    <xf numFmtId="4" fontId="7" fillId="0" borderId="91" xfId="0" applyNumberFormat="1" applyFont="1" applyBorder="1" applyAlignment="1"/>
    <xf numFmtId="168" fontId="7" fillId="0" borderId="74" xfId="0" applyNumberFormat="1" applyFont="1" applyBorder="1" applyAlignment="1"/>
    <xf numFmtId="164" fontId="7" fillId="4" borderId="33" xfId="0" applyNumberFormat="1" applyFont="1" applyFill="1" applyBorder="1" applyAlignment="1">
      <alignment horizontal="center" vertical="center"/>
    </xf>
    <xf numFmtId="44" fontId="7" fillId="0" borderId="91" xfId="1" applyFont="1" applyFill="1" applyBorder="1" applyAlignment="1"/>
    <xf numFmtId="164" fontId="7" fillId="0" borderId="74" xfId="0" applyNumberFormat="1" applyFont="1" applyFill="1" applyBorder="1" applyAlignment="1">
      <alignment vertical="center"/>
    </xf>
    <xf numFmtId="44" fontId="7" fillId="0" borderId="68" xfId="1" applyFont="1" applyFill="1" applyBorder="1" applyAlignment="1">
      <alignment horizontal="center" vertical="center" wrapText="1"/>
    </xf>
    <xf numFmtId="1" fontId="28" fillId="0" borderId="74" xfId="0" applyNumberFormat="1" applyFont="1" applyFill="1" applyBorder="1" applyAlignment="1">
      <alignment horizontal="center" vertical="center" wrapText="1"/>
    </xf>
    <xf numFmtId="1" fontId="28" fillId="0" borderId="87" xfId="0" applyNumberFormat="1" applyFont="1" applyFill="1" applyBorder="1" applyAlignment="1">
      <alignment horizontal="center" vertical="center" wrapText="1"/>
    </xf>
    <xf numFmtId="164" fontId="7" fillId="0" borderId="68" xfId="0" applyNumberFormat="1" applyFont="1" applyFill="1" applyBorder="1" applyAlignment="1">
      <alignment horizontal="center" vertical="center" wrapText="1"/>
    </xf>
    <xf numFmtId="164" fontId="7" fillId="4" borderId="68" xfId="0" applyNumberFormat="1" applyFont="1" applyFill="1" applyBorder="1" applyAlignment="1">
      <alignment horizontal="center" vertical="center"/>
    </xf>
    <xf numFmtId="44" fontId="7" fillId="0" borderId="90" xfId="1" applyFont="1" applyFill="1" applyBorder="1" applyAlignment="1"/>
    <xf numFmtId="1" fontId="7" fillId="0" borderId="74" xfId="0" applyNumberFormat="1" applyFont="1" applyFill="1" applyBorder="1" applyAlignment="1">
      <alignment vertical="center" wrapText="1"/>
    </xf>
    <xf numFmtId="44" fontId="7" fillId="0" borderId="68" xfId="1" applyFont="1" applyFill="1" applyBorder="1" applyAlignment="1">
      <alignment vertical="center" wrapText="1"/>
    </xf>
    <xf numFmtId="164" fontId="7" fillId="0" borderId="91" xfId="0" applyNumberFormat="1" applyFont="1" applyFill="1" applyBorder="1" applyAlignment="1">
      <alignment horizontal="center"/>
    </xf>
    <xf numFmtId="1" fontId="41" fillId="0" borderId="68" xfId="0" applyNumberFormat="1" applyFont="1" applyFill="1" applyBorder="1" applyAlignment="1">
      <alignment horizontal="center" vertical="center"/>
    </xf>
    <xf numFmtId="164" fontId="7" fillId="0" borderId="91" xfId="0" applyNumberFormat="1" applyFont="1" applyFill="1" applyBorder="1" applyAlignment="1">
      <alignment horizontal="center" vertical="center"/>
    </xf>
    <xf numFmtId="1" fontId="7" fillId="0" borderId="91" xfId="0" applyNumberFormat="1" applyFont="1" applyFill="1" applyBorder="1" applyAlignment="1">
      <alignment horizontal="center" vertical="center"/>
    </xf>
    <xf numFmtId="1" fontId="7" fillId="0" borderId="91" xfId="0" applyNumberFormat="1" applyFont="1" applyFill="1" applyBorder="1" applyAlignment="1">
      <alignment vertical="center"/>
    </xf>
    <xf numFmtId="1" fontId="41" fillId="0" borderId="74" xfId="0" applyNumberFormat="1" applyFont="1" applyFill="1" applyBorder="1" applyAlignment="1">
      <alignment vertical="center" wrapText="1"/>
    </xf>
    <xf numFmtId="1" fontId="41" fillId="0" borderId="68" xfId="0" applyNumberFormat="1" applyFont="1" applyFill="1" applyBorder="1" applyAlignment="1">
      <alignment vertical="center"/>
    </xf>
    <xf numFmtId="44" fontId="7" fillId="0" borderId="90" xfId="1" applyFont="1" applyFill="1" applyBorder="1" applyAlignment="1">
      <alignment vertical="center"/>
    </xf>
    <xf numFmtId="164" fontId="7" fillId="0" borderId="74" xfId="0" applyNumberFormat="1" applyFont="1" applyFill="1" applyBorder="1" applyAlignment="1">
      <alignment vertical="center" wrapText="1"/>
    </xf>
    <xf numFmtId="0" fontId="28" fillId="0" borderId="0" xfId="0" applyFont="1" applyFill="1" applyBorder="1" applyAlignment="1">
      <alignment horizontal="center" vertical="center"/>
    </xf>
    <xf numFmtId="44" fontId="7" fillId="0" borderId="0" xfId="1" applyFont="1" applyFill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1" fontId="53" fillId="0" borderId="0" xfId="0" applyNumberFormat="1" applyFont="1" applyFill="1" applyBorder="1" applyAlignment="1">
      <alignment horizontal="center" vertical="center"/>
    </xf>
    <xf numFmtId="164" fontId="7" fillId="0" borderId="0" xfId="0" applyNumberFormat="1" applyFont="1" applyFill="1" applyBorder="1" applyAlignment="1">
      <alignment horizontal="center" vertical="center"/>
    </xf>
    <xf numFmtId="0" fontId="40" fillId="0" borderId="91" xfId="0" applyFont="1" applyFill="1" applyBorder="1" applyAlignment="1">
      <alignment horizontal="center" vertical="center" wrapText="1"/>
    </xf>
    <xf numFmtId="1" fontId="28" fillId="0" borderId="0" xfId="0" applyNumberFormat="1" applyFont="1" applyFill="1" applyBorder="1" applyAlignment="1">
      <alignment horizontal="center" vertical="center" wrapText="1"/>
    </xf>
    <xf numFmtId="164" fontId="7" fillId="0" borderId="0" xfId="0" applyNumberFormat="1" applyFont="1" applyFill="1" applyBorder="1" applyAlignment="1">
      <alignment vertical="center"/>
    </xf>
    <xf numFmtId="44" fontId="7" fillId="0" borderId="74" xfId="1" applyFont="1" applyFill="1" applyBorder="1" applyAlignment="1">
      <alignment vertical="center" wrapText="1"/>
    </xf>
    <xf numFmtId="0" fontId="12" fillId="0" borderId="0" xfId="0" applyFont="1" applyFill="1"/>
    <xf numFmtId="0" fontId="86" fillId="0" borderId="0" xfId="0" applyFont="1" applyFill="1" applyBorder="1" applyAlignment="1">
      <alignment vertical="center" wrapText="1"/>
    </xf>
    <xf numFmtId="168" fontId="7" fillId="0" borderId="68" xfId="0" applyNumberFormat="1" applyFont="1" applyBorder="1" applyAlignment="1"/>
    <xf numFmtId="164" fontId="7" fillId="0" borderId="74" xfId="0" applyNumberFormat="1" applyFont="1" applyFill="1" applyBorder="1"/>
    <xf numFmtId="0" fontId="86" fillId="0" borderId="52" xfId="0" applyFont="1" applyFill="1" applyBorder="1" applyAlignment="1">
      <alignment horizontal="center" vertical="center" wrapText="1"/>
    </xf>
    <xf numFmtId="0" fontId="7" fillId="0" borderId="103" xfId="0" applyFont="1" applyBorder="1" applyAlignment="1">
      <alignment horizontal="left"/>
    </xf>
    <xf numFmtId="1" fontId="7" fillId="0" borderId="0" xfId="0" applyNumberFormat="1" applyFont="1" applyFill="1" applyBorder="1" applyAlignment="1">
      <alignment vertical="center" wrapText="1"/>
    </xf>
    <xf numFmtId="0" fontId="7" fillId="0" borderId="0" xfId="0" applyFont="1" applyBorder="1" applyAlignment="1">
      <alignment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4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1" fontId="7" fillId="0" borderId="0" xfId="0" applyNumberFormat="1" applyFont="1" applyFill="1" applyAlignment="1">
      <alignment horizontal="center"/>
    </xf>
    <xf numFmtId="1" fontId="7" fillId="0" borderId="4" xfId="0" applyNumberFormat="1" applyFont="1" applyFill="1" applyBorder="1" applyAlignment="1">
      <alignment horizontal="center"/>
    </xf>
    <xf numFmtId="164" fontId="55" fillId="0" borderId="0" xfId="0" applyNumberFormat="1" applyFont="1" applyFill="1"/>
    <xf numFmtId="164" fontId="35" fillId="0" borderId="0" xfId="0" applyNumberFormat="1" applyFont="1" applyFill="1"/>
    <xf numFmtId="2" fontId="7" fillId="0" borderId="12" xfId="0" applyNumberFormat="1" applyFont="1" applyFill="1" applyBorder="1" applyAlignment="1">
      <alignment horizontal="right"/>
    </xf>
    <xf numFmtId="168" fontId="7" fillId="0" borderId="11" xfId="0" applyNumberFormat="1" applyFont="1" applyFill="1" applyBorder="1"/>
    <xf numFmtId="0" fontId="7" fillId="0" borderId="13" xfId="0" applyFont="1" applyFill="1" applyBorder="1" applyAlignment="1">
      <alignment horizontal="right"/>
    </xf>
    <xf numFmtId="0" fontId="40" fillId="0" borderId="91" xfId="0" applyFont="1" applyFill="1" applyBorder="1" applyAlignment="1">
      <alignment vertical="center"/>
    </xf>
    <xf numFmtId="4" fontId="40" fillId="0" borderId="91" xfId="0" applyNumberFormat="1" applyFont="1" applyBorder="1" applyAlignment="1">
      <alignment vertical="center"/>
    </xf>
    <xf numFmtId="0" fontId="77" fillId="0" borderId="68" xfId="0" applyFont="1" applyFill="1" applyBorder="1" applyAlignment="1">
      <alignment vertical="center" wrapText="1"/>
    </xf>
    <xf numFmtId="0" fontId="78" fillId="0" borderId="90" xfId="0" applyFont="1" applyBorder="1" applyAlignment="1">
      <alignment horizontal="center" vertical="center" wrapText="1"/>
    </xf>
    <xf numFmtId="0" fontId="40" fillId="0" borderId="91" xfId="0" applyFont="1" applyFill="1" applyBorder="1" applyAlignment="1"/>
    <xf numFmtId="0" fontId="77" fillId="0" borderId="74" xfId="0" applyFont="1" applyFill="1" applyBorder="1" applyAlignment="1">
      <alignment vertical="center" wrapText="1"/>
    </xf>
    <xf numFmtId="0" fontId="64" fillId="0" borderId="68" xfId="0" applyFont="1" applyFill="1" applyBorder="1" applyAlignment="1">
      <alignment vertical="center"/>
    </xf>
    <xf numFmtId="4" fontId="7" fillId="0" borderId="33" xfId="0" applyNumberFormat="1" applyFont="1" applyBorder="1"/>
    <xf numFmtId="164" fontId="7" fillId="0" borderId="90" xfId="0" applyNumberFormat="1" applyFont="1" applyBorder="1" applyAlignment="1">
      <alignment wrapText="1"/>
    </xf>
    <xf numFmtId="1" fontId="41" fillId="0" borderId="74" xfId="0" applyNumberFormat="1" applyFont="1" applyFill="1" applyBorder="1" applyAlignment="1">
      <alignment horizontal="center" vertical="center"/>
    </xf>
    <xf numFmtId="1" fontId="41" fillId="0" borderId="68" xfId="0" applyNumberFormat="1" applyFont="1" applyFill="1" applyBorder="1" applyAlignment="1">
      <alignment vertical="center" wrapText="1"/>
    </xf>
    <xf numFmtId="4" fontId="7" fillId="0" borderId="91" xfId="0" applyNumberFormat="1" applyFont="1" applyBorder="1" applyAlignment="1">
      <alignment vertical="center"/>
    </xf>
    <xf numFmtId="168" fontId="40" fillId="0" borderId="74" xfId="0" applyNumberFormat="1" applyFont="1" applyBorder="1" applyAlignment="1">
      <alignment vertical="center" wrapText="1"/>
    </xf>
    <xf numFmtId="168" fontId="7" fillId="0" borderId="68" xfId="0" applyNumberFormat="1" applyFont="1" applyBorder="1" applyAlignment="1">
      <alignment vertical="center"/>
    </xf>
    <xf numFmtId="1" fontId="41" fillId="0" borderId="74" xfId="0" applyNumberFormat="1" applyFont="1" applyFill="1" applyBorder="1" applyAlignment="1">
      <alignment horizontal="center" vertical="center" wrapText="1"/>
    </xf>
    <xf numFmtId="1" fontId="28" fillId="0" borderId="87" xfId="0" applyNumberFormat="1" applyFont="1" applyFill="1" applyBorder="1" applyAlignment="1">
      <alignment horizontal="center" vertical="center"/>
    </xf>
    <xf numFmtId="0" fontId="40" fillId="0" borderId="87" xfId="0" applyFont="1" applyFill="1" applyBorder="1" applyAlignment="1">
      <alignment vertical="center"/>
    </xf>
    <xf numFmtId="164" fontId="18" fillId="0" borderId="90" xfId="0" applyNumberFormat="1" applyFont="1" applyBorder="1" applyAlignment="1">
      <alignment wrapText="1"/>
    </xf>
    <xf numFmtId="168" fontId="7" fillId="0" borderId="74" xfId="0" applyNumberFormat="1" applyFont="1" applyBorder="1" applyAlignment="1">
      <alignment vertical="center"/>
    </xf>
    <xf numFmtId="0" fontId="10" fillId="0" borderId="4" xfId="0" applyFont="1" applyFill="1" applyBorder="1" applyAlignment="1">
      <alignment horizontal="center"/>
    </xf>
    <xf numFmtId="0" fontId="88" fillId="0" borderId="0" xfId="0" applyFont="1" applyAlignment="1">
      <alignment horizontal="center" wrapText="1"/>
    </xf>
    <xf numFmtId="1" fontId="7" fillId="4" borderId="33" xfId="0" applyNumberFormat="1" applyFont="1" applyFill="1" applyBorder="1" applyAlignment="1">
      <alignment horizontal="center" vertical="center"/>
    </xf>
    <xf numFmtId="0" fontId="17" fillId="0" borderId="33" xfId="0" applyFont="1" applyBorder="1" applyAlignment="1">
      <alignment horizontal="left" wrapText="1"/>
    </xf>
    <xf numFmtId="166" fontId="7" fillId="14" borderId="33" xfId="0" applyNumberFormat="1" applyFont="1" applyFill="1" applyBorder="1" applyAlignment="1">
      <alignment horizontal="right"/>
    </xf>
    <xf numFmtId="164" fontId="7" fillId="14" borderId="33" xfId="0" applyNumberFormat="1" applyFont="1" applyFill="1" applyBorder="1" applyAlignment="1">
      <alignment horizontal="right"/>
    </xf>
    <xf numFmtId="0" fontId="89" fillId="0" borderId="87" xfId="0" applyFont="1" applyFill="1" applyBorder="1" applyAlignment="1">
      <alignment horizontal="center" vertical="center"/>
    </xf>
    <xf numFmtId="0" fontId="89" fillId="0" borderId="33" xfId="0" applyFont="1" applyFill="1" applyBorder="1" applyAlignment="1">
      <alignment vertical="center"/>
    </xf>
    <xf numFmtId="0" fontId="73" fillId="0" borderId="33" xfId="0" applyFont="1" applyBorder="1" applyAlignment="1">
      <alignment horizontal="center"/>
    </xf>
    <xf numFmtId="44" fontId="10" fillId="2" borderId="33" xfId="1" applyFont="1" applyFill="1" applyBorder="1" applyAlignment="1">
      <alignment vertical="center"/>
    </xf>
    <xf numFmtId="164" fontId="10" fillId="2" borderId="68" xfId="0" applyNumberFormat="1" applyFont="1" applyFill="1" applyBorder="1" applyAlignment="1">
      <alignment vertical="center" wrapText="1"/>
    </xf>
    <xf numFmtId="164" fontId="10" fillId="2" borderId="33" xfId="0" applyNumberFormat="1" applyFont="1" applyFill="1" applyBorder="1" applyAlignment="1">
      <alignment vertical="center" wrapText="1"/>
    </xf>
    <xf numFmtId="1" fontId="10" fillId="2" borderId="33" xfId="0" applyNumberFormat="1" applyFont="1" applyFill="1" applyBorder="1" applyAlignment="1">
      <alignment vertical="center" wrapText="1"/>
    </xf>
    <xf numFmtId="0" fontId="45" fillId="7" borderId="10" xfId="0" applyFont="1" applyFill="1" applyBorder="1" applyAlignment="1">
      <alignment horizontal="right"/>
    </xf>
    <xf numFmtId="164" fontId="45" fillId="7" borderId="0" xfId="0" applyNumberFormat="1" applyFont="1" applyFill="1"/>
    <xf numFmtId="1" fontId="7" fillId="7" borderId="0" xfId="0" applyNumberFormat="1" applyFont="1" applyFill="1" applyAlignment="1">
      <alignment horizontal="center"/>
    </xf>
    <xf numFmtId="1" fontId="15" fillId="7" borderId="0" xfId="0" applyNumberFormat="1" applyFont="1" applyFill="1" applyAlignment="1">
      <alignment horizontal="center"/>
    </xf>
    <xf numFmtId="0" fontId="7" fillId="7" borderId="0" xfId="0" applyFont="1" applyFill="1" applyAlignment="1">
      <alignment horizontal="center"/>
    </xf>
    <xf numFmtId="1" fontId="10" fillId="7" borderId="0" xfId="0" applyNumberFormat="1" applyFont="1" applyFill="1" applyAlignment="1">
      <alignment horizontal="center"/>
    </xf>
    <xf numFmtId="2" fontId="27" fillId="7" borderId="0" xfId="0" applyNumberFormat="1" applyFont="1" applyFill="1" applyAlignment="1">
      <alignment horizontal="right"/>
    </xf>
    <xf numFmtId="0" fontId="27" fillId="7" borderId="10" xfId="0" applyFont="1" applyFill="1" applyBorder="1" applyAlignment="1">
      <alignment horizontal="right"/>
    </xf>
    <xf numFmtId="164" fontId="27" fillId="7" borderId="0" xfId="0" applyNumberFormat="1" applyFont="1" applyFill="1"/>
    <xf numFmtId="2" fontId="7" fillId="7" borderId="0" xfId="0" applyNumberFormat="1" applyFont="1" applyFill="1"/>
    <xf numFmtId="164" fontId="27" fillId="4" borderId="0" xfId="0" applyNumberFormat="1" applyFont="1" applyFill="1"/>
    <xf numFmtId="2" fontId="7" fillId="7" borderId="0" xfId="0" applyNumberFormat="1" applyFont="1" applyFill="1" applyAlignment="1">
      <alignment horizontal="right"/>
    </xf>
    <xf numFmtId="0" fontId="7" fillId="7" borderId="10" xfId="0" applyFont="1" applyFill="1" applyBorder="1" applyAlignment="1">
      <alignment horizontal="right"/>
    </xf>
    <xf numFmtId="164" fontId="7" fillId="7" borderId="0" xfId="0" applyNumberFormat="1" applyFont="1" applyFill="1"/>
    <xf numFmtId="2" fontId="10" fillId="7" borderId="0" xfId="0" applyNumberFormat="1" applyFont="1" applyFill="1"/>
    <xf numFmtId="164" fontId="45" fillId="4" borderId="0" xfId="0" applyNumberFormat="1" applyFont="1" applyFill="1"/>
    <xf numFmtId="4" fontId="0" fillId="7" borderId="0" xfId="0" applyNumberFormat="1" applyFill="1"/>
    <xf numFmtId="2" fontId="7" fillId="7" borderId="5" xfId="0" applyNumberFormat="1" applyFont="1" applyFill="1" applyBorder="1" applyAlignment="1">
      <alignment horizontal="right"/>
    </xf>
    <xf numFmtId="16" fontId="26" fillId="7" borderId="0" xfId="0" applyNumberFormat="1" applyFont="1" applyFill="1" applyAlignment="1">
      <alignment horizontal="right"/>
    </xf>
    <xf numFmtId="164" fontId="26" fillId="7" borderId="0" xfId="0" applyNumberFormat="1" applyFont="1" applyFill="1"/>
    <xf numFmtId="44" fontId="7" fillId="7" borderId="0" xfId="1" applyFont="1" applyFill="1"/>
    <xf numFmtId="4" fontId="10" fillId="7" borderId="77" xfId="0" applyNumberFormat="1" applyFont="1" applyFill="1" applyBorder="1"/>
    <xf numFmtId="0" fontId="7" fillId="7" borderId="77" xfId="0" applyFont="1" applyFill="1" applyBorder="1" applyAlignment="1">
      <alignment horizontal="center"/>
    </xf>
    <xf numFmtId="15" fontId="45" fillId="0" borderId="0" xfId="0" applyNumberFormat="1" applyFont="1"/>
    <xf numFmtId="2" fontId="45" fillId="0" borderId="0" xfId="0" applyNumberFormat="1" applyFont="1"/>
    <xf numFmtId="16" fontId="45" fillId="0" borderId="12" xfId="0" applyNumberFormat="1" applyFont="1" applyBorder="1"/>
    <xf numFmtId="4" fontId="27" fillId="7" borderId="51" xfId="0" applyNumberFormat="1" applyFont="1" applyFill="1" applyBorder="1"/>
    <xf numFmtId="0" fontId="27" fillId="7" borderId="0" xfId="0" applyFont="1" applyFill="1" applyAlignment="1">
      <alignment horizontal="center"/>
    </xf>
    <xf numFmtId="164" fontId="10" fillId="7" borderId="0" xfId="0" applyNumberFormat="1" applyFont="1" applyFill="1"/>
    <xf numFmtId="2" fontId="27" fillId="7" borderId="0" xfId="0" applyNumberFormat="1" applyFont="1" applyFill="1"/>
    <xf numFmtId="4" fontId="7" fillId="7" borderId="0" xfId="0" applyNumberFormat="1" applyFont="1" applyFill="1"/>
    <xf numFmtId="0" fontId="0" fillId="0" borderId="85" xfId="0" applyBorder="1" applyAlignment="1">
      <alignment horizontal="center"/>
    </xf>
    <xf numFmtId="0" fontId="0" fillId="0" borderId="86" xfId="0" applyBorder="1" applyAlignment="1">
      <alignment horizontal="center"/>
    </xf>
    <xf numFmtId="0" fontId="0" fillId="0" borderId="7" xfId="0" applyBorder="1" applyAlignment="1">
      <alignment horizontal="center"/>
    </xf>
    <xf numFmtId="164" fontId="7" fillId="7" borderId="77" xfId="0" applyNumberFormat="1" applyFont="1" applyFill="1" applyBorder="1"/>
    <xf numFmtId="2" fontId="45" fillId="7" borderId="0" xfId="0" applyNumberFormat="1" applyFont="1" applyFill="1"/>
    <xf numFmtId="0" fontId="45" fillId="7" borderId="13" xfId="0" applyFont="1" applyFill="1" applyBorder="1" applyAlignment="1">
      <alignment horizontal="right"/>
    </xf>
    <xf numFmtId="164" fontId="45" fillId="7" borderId="12" xfId="0" applyNumberFormat="1" applyFont="1" applyFill="1" applyBorder="1"/>
    <xf numFmtId="4" fontId="16" fillId="7" borderId="0" xfId="0" applyNumberFormat="1" applyFont="1" applyFill="1"/>
    <xf numFmtId="164" fontId="0" fillId="7" borderId="0" xfId="0" applyNumberFormat="1" applyFill="1"/>
    <xf numFmtId="164" fontId="10" fillId="7" borderId="61" xfId="0" applyNumberFormat="1" applyFont="1" applyFill="1" applyBorder="1"/>
    <xf numFmtId="2" fontId="10" fillId="7" borderId="12" xfId="0" applyNumberFormat="1" applyFont="1" applyFill="1" applyBorder="1" applyAlignment="1">
      <alignment horizontal="right"/>
    </xf>
    <xf numFmtId="0" fontId="10" fillId="7" borderId="13" xfId="0" applyFont="1" applyFill="1" applyBorder="1" applyAlignment="1">
      <alignment horizontal="right"/>
    </xf>
    <xf numFmtId="0" fontId="17" fillId="0" borderId="0" xfId="0" applyFont="1" applyBorder="1" applyAlignment="1">
      <alignment horizontal="center"/>
    </xf>
    <xf numFmtId="164" fontId="7" fillId="0" borderId="0" xfId="1" applyNumberFormat="1" applyFont="1"/>
    <xf numFmtId="0" fontId="7" fillId="0" borderId="2" xfId="0" applyFont="1" applyBorder="1" applyAlignment="1">
      <alignment horizontal="center"/>
    </xf>
    <xf numFmtId="4" fontId="15" fillId="7" borderId="0" xfId="0" applyNumberFormat="1" applyFont="1" applyFill="1"/>
    <xf numFmtId="2" fontId="84" fillId="7" borderId="5" xfId="0" applyNumberFormat="1" applyFont="1" applyFill="1" applyBorder="1" applyAlignment="1">
      <alignment horizontal="right"/>
    </xf>
    <xf numFmtId="164" fontId="84" fillId="7" borderId="0" xfId="0" applyNumberFormat="1" applyFont="1" applyFill="1" applyAlignment="1">
      <alignment horizontal="right"/>
    </xf>
    <xf numFmtId="44" fontId="84" fillId="7" borderId="0" xfId="1" applyFont="1" applyFill="1"/>
    <xf numFmtId="0" fontId="85" fillId="7" borderId="0" xfId="0" applyFont="1" applyFill="1"/>
    <xf numFmtId="2" fontId="7" fillId="7" borderId="51" xfId="0" applyNumberFormat="1" applyFont="1" applyFill="1" applyBorder="1" applyAlignment="1">
      <alignment horizontal="right"/>
    </xf>
    <xf numFmtId="0" fontId="3" fillId="2" borderId="0" xfId="0" applyFont="1" applyFill="1" applyAlignment="1">
      <alignment horizontal="center"/>
    </xf>
    <xf numFmtId="2" fontId="27" fillId="2" borderId="0" xfId="0" applyNumberFormat="1" applyFont="1" applyFill="1" applyAlignment="1">
      <alignment horizontal="right"/>
    </xf>
    <xf numFmtId="168" fontId="7" fillId="27" borderId="33" xfId="0" applyNumberFormat="1" applyFont="1" applyFill="1" applyBorder="1" applyAlignment="1">
      <alignment vertical="center" wrapText="1"/>
    </xf>
    <xf numFmtId="4" fontId="7" fillId="27" borderId="33" xfId="0" applyNumberFormat="1" applyFont="1" applyFill="1" applyBorder="1" applyAlignment="1">
      <alignment vertical="center"/>
    </xf>
    <xf numFmtId="0" fontId="7" fillId="27" borderId="33" xfId="0" applyFont="1" applyFill="1" applyBorder="1" applyAlignment="1">
      <alignment horizontal="center" vertical="center"/>
    </xf>
    <xf numFmtId="2" fontId="7" fillId="27" borderId="0" xfId="0" applyNumberFormat="1" applyFont="1" applyFill="1"/>
    <xf numFmtId="168" fontId="7" fillId="27" borderId="33" xfId="0" applyNumberFormat="1" applyFont="1" applyFill="1" applyBorder="1" applyAlignment="1">
      <alignment vertical="center"/>
    </xf>
    <xf numFmtId="2" fontId="7" fillId="27" borderId="33" xfId="0" applyNumberFormat="1" applyFont="1" applyFill="1" applyBorder="1"/>
    <xf numFmtId="2" fontId="7" fillId="27" borderId="33" xfId="0" applyNumberFormat="1" applyFont="1" applyFill="1" applyBorder="1" applyAlignment="1">
      <alignment vertical="center"/>
    </xf>
    <xf numFmtId="0" fontId="7" fillId="27" borderId="33" xfId="0" applyFont="1" applyFill="1" applyBorder="1" applyAlignment="1">
      <alignment horizontal="center"/>
    </xf>
    <xf numFmtId="0" fontId="40" fillId="0" borderId="68" xfId="0" applyFont="1" applyFill="1" applyBorder="1" applyAlignment="1">
      <alignment vertical="center" wrapText="1"/>
    </xf>
    <xf numFmtId="0" fontId="40" fillId="0" borderId="33" xfId="0" applyFont="1" applyFill="1" applyBorder="1" applyAlignment="1">
      <alignment vertical="center" wrapText="1"/>
    </xf>
    <xf numFmtId="1" fontId="7" fillId="27" borderId="33" xfId="0" applyNumberFormat="1" applyFont="1" applyFill="1" applyBorder="1" applyAlignment="1">
      <alignment horizontal="center"/>
    </xf>
    <xf numFmtId="0" fontId="82" fillId="0" borderId="33" xfId="0" applyFont="1" applyBorder="1" applyAlignment="1">
      <alignment horizontal="left" wrapText="1"/>
    </xf>
    <xf numFmtId="0" fontId="83" fillId="0" borderId="33" xfId="0" applyFont="1" applyBorder="1" applyAlignment="1">
      <alignment horizontal="left" wrapText="1"/>
    </xf>
    <xf numFmtId="1" fontId="7" fillId="4" borderId="33" xfId="0" applyNumberFormat="1" applyFont="1" applyFill="1" applyBorder="1" applyAlignment="1">
      <alignment vertical="center"/>
    </xf>
    <xf numFmtId="168" fontId="7" fillId="0" borderId="0" xfId="0" applyNumberFormat="1" applyFont="1" applyBorder="1" applyAlignment="1"/>
    <xf numFmtId="1" fontId="41" fillId="0" borderId="0" xfId="0" applyNumberFormat="1" applyFont="1" applyFill="1" applyBorder="1" applyAlignment="1">
      <alignment vertical="center" wrapText="1"/>
    </xf>
    <xf numFmtId="44" fontId="10" fillId="2" borderId="90" xfId="1" applyFont="1" applyFill="1" applyBorder="1" applyAlignment="1"/>
    <xf numFmtId="44" fontId="7" fillId="0" borderId="74" xfId="1" applyFont="1" applyFill="1" applyBorder="1" applyAlignment="1"/>
    <xf numFmtId="44" fontId="10" fillId="2" borderId="125" xfId="1" applyFont="1" applyFill="1" applyBorder="1" applyAlignment="1"/>
    <xf numFmtId="44" fontId="10" fillId="2" borderId="33" xfId="1" applyFont="1" applyFill="1" applyBorder="1" applyAlignment="1"/>
    <xf numFmtId="164" fontId="10" fillId="2" borderId="99" xfId="0" applyNumberFormat="1" applyFont="1" applyFill="1" applyBorder="1" applyAlignment="1">
      <alignment vertical="center" wrapText="1"/>
    </xf>
    <xf numFmtId="1" fontId="41" fillId="0" borderId="33" xfId="0" applyNumberFormat="1" applyFont="1" applyFill="1" applyBorder="1" applyAlignment="1">
      <alignment vertical="center"/>
    </xf>
    <xf numFmtId="0" fontId="15" fillId="0" borderId="33" xfId="0" applyFont="1" applyBorder="1" applyAlignment="1">
      <alignment vertical="center" wrapText="1"/>
    </xf>
    <xf numFmtId="168" fontId="10" fillId="0" borderId="33" xfId="0" applyNumberFormat="1" applyFont="1" applyBorder="1" applyAlignment="1">
      <alignment vertical="center" wrapText="1"/>
    </xf>
    <xf numFmtId="44" fontId="10" fillId="2" borderId="90" xfId="1" applyFont="1" applyFill="1" applyBorder="1" applyAlignment="1">
      <alignment vertical="center"/>
    </xf>
    <xf numFmtId="0" fontId="64" fillId="0" borderId="87" xfId="0" applyFont="1" applyFill="1" applyBorder="1" applyAlignment="1">
      <alignment vertical="center"/>
    </xf>
    <xf numFmtId="1" fontId="41" fillId="0" borderId="87" xfId="0" applyNumberFormat="1" applyFont="1" applyFill="1" applyBorder="1" applyAlignment="1">
      <alignment vertical="center" wrapText="1"/>
    </xf>
    <xf numFmtId="1" fontId="7" fillId="0" borderId="126" xfId="0" applyNumberFormat="1" applyFont="1" applyFill="1" applyBorder="1" applyAlignment="1">
      <alignment horizontal="center" vertical="center"/>
    </xf>
    <xf numFmtId="0" fontId="90" fillId="0" borderId="0" xfId="0" applyFont="1" applyFill="1" applyBorder="1" applyAlignment="1">
      <alignment horizontal="center" vertical="center"/>
    </xf>
    <xf numFmtId="0" fontId="90" fillId="0" borderId="91" xfId="0" applyFont="1" applyFill="1" applyBorder="1" applyAlignment="1">
      <alignment vertical="center"/>
    </xf>
    <xf numFmtId="0" fontId="55" fillId="0" borderId="33" xfId="0" applyFont="1" applyBorder="1" applyAlignment="1">
      <alignment horizontal="center" vertical="center" wrapText="1"/>
    </xf>
    <xf numFmtId="0" fontId="7" fillId="0" borderId="79" xfId="0" applyFont="1" applyBorder="1" applyAlignment="1"/>
    <xf numFmtId="0" fontId="7" fillId="0" borderId="79" xfId="0" applyFont="1" applyBorder="1" applyAlignment="1">
      <alignment vertical="center"/>
    </xf>
    <xf numFmtId="0" fontId="55" fillId="0" borderId="127" xfId="0" applyFont="1" applyBorder="1" applyAlignment="1">
      <alignment horizontal="center" wrapText="1"/>
    </xf>
    <xf numFmtId="0" fontId="55" fillId="0" borderId="48" xfId="0" applyFont="1" applyBorder="1" applyAlignment="1">
      <alignment horizontal="center" wrapText="1"/>
    </xf>
    <xf numFmtId="0" fontId="22" fillId="0" borderId="68" xfId="0" applyFont="1" applyFill="1" applyBorder="1" applyAlignment="1">
      <alignment horizontal="center"/>
    </xf>
    <xf numFmtId="0" fontId="78" fillId="0" borderId="33" xfId="0" applyFont="1" applyFill="1" applyBorder="1" applyAlignment="1">
      <alignment horizontal="center" vertical="center" wrapText="1"/>
    </xf>
    <xf numFmtId="0" fontId="7" fillId="0" borderId="125" xfId="0" applyFont="1" applyBorder="1" applyAlignment="1">
      <alignment horizontal="center"/>
    </xf>
    <xf numFmtId="0" fontId="7" fillId="0" borderId="90" xfId="0" applyFont="1" applyBorder="1" applyAlignment="1">
      <alignment horizontal="center"/>
    </xf>
    <xf numFmtId="0" fontId="40" fillId="0" borderId="90" xfId="0" applyFont="1" applyBorder="1" applyAlignment="1">
      <alignment horizontal="center" vertical="center"/>
    </xf>
    <xf numFmtId="44" fontId="7" fillId="0" borderId="33" xfId="1" applyFont="1" applyFill="1" applyBorder="1" applyAlignment="1">
      <alignment horizontal="center"/>
    </xf>
    <xf numFmtId="0" fontId="7" fillId="0" borderId="90" xfId="0" applyFont="1" applyBorder="1" applyAlignment="1">
      <alignment horizontal="center" vertical="center"/>
    </xf>
    <xf numFmtId="0" fontId="55" fillId="0" borderId="90" xfId="0" applyFont="1" applyBorder="1" applyAlignment="1">
      <alignment horizontal="center" vertical="center" wrapText="1"/>
    </xf>
    <xf numFmtId="0" fontId="79" fillId="0" borderId="74" xfId="0" applyFont="1" applyFill="1" applyBorder="1" applyAlignment="1">
      <alignment horizontal="center" vertical="center"/>
    </xf>
    <xf numFmtId="0" fontId="79" fillId="0" borderId="33" xfId="0" applyFont="1" applyFill="1" applyBorder="1" applyAlignment="1">
      <alignment horizontal="center" vertical="center"/>
    </xf>
    <xf numFmtId="1" fontId="28" fillId="0" borderId="0" xfId="0" applyNumberFormat="1" applyFont="1" applyFill="1" applyBorder="1" applyAlignment="1">
      <alignment horizontal="center" vertical="center"/>
    </xf>
    <xf numFmtId="1" fontId="10" fillId="2" borderId="74" xfId="0" applyNumberFormat="1" applyFont="1" applyFill="1" applyBorder="1" applyAlignment="1">
      <alignment vertical="center" wrapText="1"/>
    </xf>
    <xf numFmtId="1" fontId="28" fillId="0" borderId="68" xfId="0" applyNumberFormat="1" applyFont="1" applyFill="1" applyBorder="1" applyAlignment="1">
      <alignment horizontal="center" vertical="center"/>
    </xf>
    <xf numFmtId="1" fontId="17" fillId="0" borderId="68" xfId="0" applyNumberFormat="1" applyFont="1" applyFill="1" applyBorder="1" applyAlignment="1">
      <alignment vertical="center" wrapText="1"/>
    </xf>
    <xf numFmtId="1" fontId="41" fillId="0" borderId="48" xfId="0" applyNumberFormat="1" applyFont="1" applyFill="1" applyBorder="1" applyAlignment="1">
      <alignment horizontal="center" vertical="center"/>
    </xf>
    <xf numFmtId="1" fontId="41" fillId="0" borderId="51" xfId="0" applyNumberFormat="1" applyFont="1" applyFill="1" applyBorder="1" applyAlignment="1">
      <alignment horizontal="center" vertical="center"/>
    </xf>
    <xf numFmtId="1" fontId="41" fillId="0" borderId="49" xfId="0" applyNumberFormat="1" applyFont="1" applyFill="1" applyBorder="1" applyAlignment="1">
      <alignment horizontal="center" vertical="center"/>
    </xf>
    <xf numFmtId="1" fontId="7" fillId="0" borderId="48" xfId="0" applyNumberFormat="1" applyFont="1" applyFill="1" applyBorder="1" applyAlignment="1">
      <alignment horizontal="center" vertical="center" wrapText="1"/>
    </xf>
    <xf numFmtId="1" fontId="7" fillId="0" borderId="51" xfId="0" applyNumberFormat="1" applyFont="1" applyFill="1" applyBorder="1" applyAlignment="1">
      <alignment horizontal="center" vertical="center" wrapText="1"/>
    </xf>
    <xf numFmtId="1" fontId="7" fillId="0" borderId="49" xfId="0" applyNumberFormat="1" applyFont="1" applyFill="1" applyBorder="1" applyAlignment="1">
      <alignment horizontal="center" vertical="center" wrapText="1"/>
    </xf>
    <xf numFmtId="1" fontId="7" fillId="4" borderId="113" xfId="0" applyNumberFormat="1" applyFont="1" applyFill="1" applyBorder="1" applyAlignment="1">
      <alignment horizontal="center" vertical="center"/>
    </xf>
    <xf numFmtId="1" fontId="7" fillId="4" borderId="114" xfId="0" applyNumberFormat="1" applyFont="1" applyFill="1" applyBorder="1" applyAlignment="1">
      <alignment horizontal="center" vertical="center"/>
    </xf>
    <xf numFmtId="1" fontId="10" fillId="2" borderId="74" xfId="0" applyNumberFormat="1" applyFont="1" applyFill="1" applyBorder="1" applyAlignment="1">
      <alignment horizontal="center" vertical="center" wrapText="1"/>
    </xf>
    <xf numFmtId="1" fontId="10" fillId="2" borderId="87" xfId="0" applyNumberFormat="1" applyFont="1" applyFill="1" applyBorder="1" applyAlignment="1">
      <alignment horizontal="center" vertical="center" wrapText="1"/>
    </xf>
    <xf numFmtId="1" fontId="7" fillId="0" borderId="74" xfId="0" applyNumberFormat="1" applyFont="1" applyFill="1" applyBorder="1" applyAlignment="1">
      <alignment horizontal="center" vertical="center" wrapText="1"/>
    </xf>
    <xf numFmtId="1" fontId="7" fillId="0" borderId="68" xfId="0" applyNumberFormat="1" applyFont="1" applyFill="1" applyBorder="1" applyAlignment="1">
      <alignment horizontal="center" vertical="center" wrapText="1"/>
    </xf>
    <xf numFmtId="44" fontId="7" fillId="0" borderId="48" xfId="1" applyFont="1" applyFill="1" applyBorder="1" applyAlignment="1">
      <alignment horizontal="center" vertical="center" wrapText="1"/>
    </xf>
    <xf numFmtId="44" fontId="7" fillId="0" borderId="49" xfId="1" applyFont="1" applyFill="1" applyBorder="1" applyAlignment="1">
      <alignment horizontal="center" vertical="center" wrapText="1"/>
    </xf>
    <xf numFmtId="0" fontId="55" fillId="0" borderId="48" xfId="0" applyFont="1" applyBorder="1" applyAlignment="1">
      <alignment horizontal="center" vertical="center" wrapText="1"/>
    </xf>
    <xf numFmtId="0" fontId="55" fillId="0" borderId="49" xfId="0" applyFont="1" applyBorder="1" applyAlignment="1">
      <alignment horizontal="center" vertical="center" wrapText="1"/>
    </xf>
    <xf numFmtId="0" fontId="79" fillId="0" borderId="48" xfId="0" applyFont="1" applyFill="1" applyBorder="1" applyAlignment="1">
      <alignment horizontal="center" vertical="center" wrapText="1"/>
    </xf>
    <xf numFmtId="0" fontId="79" fillId="0" borderId="49" xfId="0" applyFont="1" applyFill="1" applyBorder="1" applyAlignment="1">
      <alignment horizontal="center" vertical="center" wrapText="1"/>
    </xf>
    <xf numFmtId="164" fontId="7" fillId="0" borderId="48" xfId="0" applyNumberFormat="1" applyFont="1" applyFill="1" applyBorder="1" applyAlignment="1">
      <alignment horizontal="center" vertical="center" wrapText="1"/>
    </xf>
    <xf numFmtId="164" fontId="7" fillId="0" borderId="51" xfId="0" applyNumberFormat="1" applyFont="1" applyFill="1" applyBorder="1" applyAlignment="1">
      <alignment horizontal="center" vertical="center" wrapText="1"/>
    </xf>
    <xf numFmtId="1" fontId="10" fillId="2" borderId="68" xfId="0" applyNumberFormat="1" applyFont="1" applyFill="1" applyBorder="1" applyAlignment="1">
      <alignment horizontal="center" vertical="center" wrapText="1"/>
    </xf>
    <xf numFmtId="1" fontId="7" fillId="4" borderId="117" xfId="0" applyNumberFormat="1" applyFont="1" applyFill="1" applyBorder="1" applyAlignment="1">
      <alignment horizontal="center" vertical="center"/>
    </xf>
    <xf numFmtId="1" fontId="7" fillId="4" borderId="118" xfId="0" applyNumberFormat="1" applyFont="1" applyFill="1" applyBorder="1" applyAlignment="1">
      <alignment horizontal="center" vertical="center"/>
    </xf>
    <xf numFmtId="1" fontId="7" fillId="4" borderId="119" xfId="0" applyNumberFormat="1" applyFont="1" applyFill="1" applyBorder="1" applyAlignment="1">
      <alignment horizontal="center" vertical="center"/>
    </xf>
    <xf numFmtId="1" fontId="28" fillId="0" borderId="70" xfId="0" applyNumberFormat="1" applyFont="1" applyFill="1" applyBorder="1" applyAlignment="1">
      <alignment horizontal="center" vertical="center"/>
    </xf>
    <xf numFmtId="1" fontId="28" fillId="0" borderId="120" xfId="0" applyNumberFormat="1" applyFont="1" applyFill="1" applyBorder="1" applyAlignment="1">
      <alignment horizontal="center" vertical="center"/>
    </xf>
    <xf numFmtId="1" fontId="7" fillId="4" borderId="121" xfId="0" applyNumberFormat="1" applyFont="1" applyFill="1" applyBorder="1" applyAlignment="1">
      <alignment horizontal="center" vertical="center"/>
    </xf>
    <xf numFmtId="1" fontId="7" fillId="4" borderId="122" xfId="0" applyNumberFormat="1" applyFont="1" applyFill="1" applyBorder="1" applyAlignment="1">
      <alignment horizontal="center" vertical="center"/>
    </xf>
    <xf numFmtId="1" fontId="7" fillId="4" borderId="123" xfId="0" applyNumberFormat="1" applyFont="1" applyFill="1" applyBorder="1" applyAlignment="1">
      <alignment horizontal="center" vertical="center"/>
    </xf>
    <xf numFmtId="164" fontId="10" fillId="2" borderId="51" xfId="0" applyNumberFormat="1" applyFont="1" applyFill="1" applyBorder="1" applyAlignment="1">
      <alignment horizontal="center" vertical="center" wrapText="1"/>
    </xf>
    <xf numFmtId="164" fontId="10" fillId="2" borderId="49" xfId="0" applyNumberFormat="1" applyFont="1" applyFill="1" applyBorder="1" applyAlignment="1">
      <alignment horizontal="center" vertical="center" wrapText="1"/>
    </xf>
    <xf numFmtId="0" fontId="15" fillId="0" borderId="104" xfId="0" applyFont="1" applyBorder="1" applyAlignment="1">
      <alignment horizontal="center" vertical="center" wrapText="1"/>
    </xf>
    <xf numFmtId="0" fontId="15" fillId="0" borderId="77" xfId="0" applyFont="1" applyBorder="1" applyAlignment="1">
      <alignment horizontal="center" vertical="center" wrapText="1"/>
    </xf>
    <xf numFmtId="0" fontId="15" fillId="0" borderId="38" xfId="0" applyFont="1" applyBorder="1" applyAlignment="1">
      <alignment horizontal="center" vertical="center" wrapText="1"/>
    </xf>
    <xf numFmtId="168" fontId="10" fillId="0" borderId="48" xfId="0" applyNumberFormat="1" applyFont="1" applyBorder="1" applyAlignment="1">
      <alignment horizontal="center" vertical="center" wrapText="1"/>
    </xf>
    <xf numFmtId="168" fontId="10" fillId="0" borderId="51" xfId="0" applyNumberFormat="1" applyFont="1" applyBorder="1" applyAlignment="1">
      <alignment horizontal="center" vertical="center" wrapText="1"/>
    </xf>
    <xf numFmtId="168" fontId="10" fillId="0" borderId="49" xfId="0" applyNumberFormat="1" applyFont="1" applyBorder="1" applyAlignment="1">
      <alignment horizontal="center" vertical="center" wrapText="1"/>
    </xf>
    <xf numFmtId="1" fontId="41" fillId="0" borderId="104" xfId="0" applyNumberFormat="1" applyFont="1" applyFill="1" applyBorder="1" applyAlignment="1">
      <alignment horizontal="center" vertical="center"/>
    </xf>
    <xf numFmtId="1" fontId="41" fillId="0" borderId="77" xfId="0" applyNumberFormat="1" applyFont="1" applyFill="1" applyBorder="1" applyAlignment="1">
      <alignment horizontal="center" vertical="center"/>
    </xf>
    <xf numFmtId="1" fontId="41" fillId="0" borderId="38" xfId="0" applyNumberFormat="1" applyFont="1" applyFill="1" applyBorder="1" applyAlignment="1">
      <alignment horizontal="center" vertical="center"/>
    </xf>
    <xf numFmtId="164" fontId="7" fillId="0" borderId="115" xfId="0" applyNumberFormat="1" applyFont="1" applyFill="1" applyBorder="1" applyAlignment="1">
      <alignment horizontal="center" vertical="center" wrapText="1"/>
    </xf>
    <xf numFmtId="164" fontId="7" fillId="0" borderId="116" xfId="0" applyNumberFormat="1" applyFont="1" applyFill="1" applyBorder="1" applyAlignment="1">
      <alignment horizontal="center" vertical="center" wrapText="1"/>
    </xf>
    <xf numFmtId="164" fontId="7" fillId="0" borderId="109" xfId="0" applyNumberFormat="1" applyFont="1" applyFill="1" applyBorder="1" applyAlignment="1">
      <alignment horizontal="center" vertical="center" wrapText="1"/>
    </xf>
    <xf numFmtId="44" fontId="7" fillId="0" borderId="74" xfId="1" applyFont="1" applyFill="1" applyBorder="1" applyAlignment="1">
      <alignment horizontal="center" vertical="center" wrapText="1"/>
    </xf>
    <xf numFmtId="44" fontId="7" fillId="0" borderId="87" xfId="1" applyFont="1" applyFill="1" applyBorder="1" applyAlignment="1">
      <alignment horizontal="center" vertical="center" wrapText="1"/>
    </xf>
    <xf numFmtId="44" fontId="7" fillId="0" borderId="68" xfId="1" applyFont="1" applyFill="1" applyBorder="1" applyAlignment="1">
      <alignment horizontal="center" vertical="center" wrapText="1"/>
    </xf>
    <xf numFmtId="0" fontId="86" fillId="0" borderId="48" xfId="0" applyFont="1" applyFill="1" applyBorder="1" applyAlignment="1">
      <alignment horizontal="center" vertical="center" wrapText="1"/>
    </xf>
    <xf numFmtId="0" fontId="86" fillId="0" borderId="51" xfId="0" applyFont="1" applyFill="1" applyBorder="1" applyAlignment="1">
      <alignment horizontal="center" vertical="center" wrapText="1"/>
    </xf>
    <xf numFmtId="0" fontId="86" fillId="0" borderId="49" xfId="0" applyFont="1" applyFill="1" applyBorder="1" applyAlignment="1">
      <alignment horizontal="center" vertical="center" wrapText="1"/>
    </xf>
    <xf numFmtId="1" fontId="28" fillId="0" borderId="74" xfId="0" applyNumberFormat="1" applyFont="1" applyFill="1" applyBorder="1" applyAlignment="1">
      <alignment horizontal="center" vertical="center" wrapText="1"/>
    </xf>
    <xf numFmtId="1" fontId="28" fillId="0" borderId="87" xfId="0" applyNumberFormat="1" applyFont="1" applyFill="1" applyBorder="1" applyAlignment="1">
      <alignment horizontal="center" vertical="center" wrapText="1"/>
    </xf>
    <xf numFmtId="1" fontId="28" fillId="0" borderId="68" xfId="0" applyNumberFormat="1" applyFont="1" applyFill="1" applyBorder="1" applyAlignment="1">
      <alignment horizontal="center" vertical="center" wrapText="1"/>
    </xf>
    <xf numFmtId="164" fontId="7" fillId="0" borderId="74" xfId="0" applyNumberFormat="1" applyFont="1" applyFill="1" applyBorder="1" applyAlignment="1">
      <alignment horizontal="center" vertical="center" wrapText="1"/>
    </xf>
    <xf numFmtId="164" fontId="7" fillId="0" borderId="87" xfId="0" applyNumberFormat="1" applyFont="1" applyFill="1" applyBorder="1" applyAlignment="1">
      <alignment horizontal="center" vertical="center" wrapText="1"/>
    </xf>
    <xf numFmtId="164" fontId="7" fillId="0" borderId="68" xfId="0" applyNumberFormat="1" applyFont="1" applyFill="1" applyBorder="1" applyAlignment="1">
      <alignment horizontal="center" vertical="center" wrapText="1"/>
    </xf>
    <xf numFmtId="164" fontId="7" fillId="4" borderId="48" xfId="0" applyNumberFormat="1" applyFont="1" applyFill="1" applyBorder="1" applyAlignment="1">
      <alignment horizontal="center" vertical="center"/>
    </xf>
    <xf numFmtId="164" fontId="7" fillId="4" borderId="51" xfId="0" applyNumberFormat="1" applyFont="1" applyFill="1" applyBorder="1" applyAlignment="1">
      <alignment horizontal="center" vertical="center"/>
    </xf>
    <xf numFmtId="164" fontId="7" fillId="4" borderId="49" xfId="0" applyNumberFormat="1" applyFont="1" applyFill="1" applyBorder="1" applyAlignment="1">
      <alignment horizontal="center" vertical="center"/>
    </xf>
    <xf numFmtId="0" fontId="40" fillId="0" borderId="86" xfId="0" applyFont="1" applyFill="1" applyBorder="1" applyAlignment="1">
      <alignment horizontal="center" vertical="center" wrapText="1"/>
    </xf>
    <xf numFmtId="0" fontId="40" fillId="0" borderId="105" xfId="0" applyFont="1" applyFill="1" applyBorder="1" applyAlignment="1">
      <alignment horizontal="center" vertical="center" wrapText="1"/>
    </xf>
    <xf numFmtId="168" fontId="40" fillId="0" borderId="77" xfId="0" applyNumberFormat="1" applyFont="1" applyBorder="1" applyAlignment="1">
      <alignment horizontal="center" vertical="center"/>
    </xf>
    <xf numFmtId="168" fontId="40" fillId="0" borderId="38" xfId="0" applyNumberFormat="1" applyFont="1" applyBorder="1" applyAlignment="1">
      <alignment horizontal="center" vertical="center"/>
    </xf>
    <xf numFmtId="1" fontId="41" fillId="0" borderId="86" xfId="0" applyNumberFormat="1" applyFont="1" applyFill="1" applyBorder="1" applyAlignment="1">
      <alignment horizontal="center" vertical="center" wrapText="1"/>
    </xf>
    <xf numFmtId="1" fontId="41" fillId="0" borderId="105" xfId="0" applyNumberFormat="1" applyFont="1" applyFill="1" applyBorder="1" applyAlignment="1">
      <alignment horizontal="center" vertical="center" wrapText="1"/>
    </xf>
    <xf numFmtId="44" fontId="7" fillId="0" borderId="35" xfId="1" applyFont="1" applyBorder="1" applyAlignment="1">
      <alignment horizontal="center" vertical="center" wrapText="1"/>
    </xf>
    <xf numFmtId="44" fontId="7" fillId="0" borderId="36" xfId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7" fillId="0" borderId="48" xfId="0" applyFont="1" applyBorder="1" applyAlignment="1">
      <alignment horizontal="center" vertical="center"/>
    </xf>
    <xf numFmtId="0" fontId="7" fillId="0" borderId="49" xfId="0" applyFont="1" applyBorder="1" applyAlignment="1">
      <alignment horizontal="center" vertical="center"/>
    </xf>
    <xf numFmtId="0" fontId="28" fillId="0" borderId="48" xfId="0" applyFont="1" applyFill="1" applyBorder="1" applyAlignment="1">
      <alignment horizontal="center" vertical="center"/>
    </xf>
    <xf numFmtId="0" fontId="28" fillId="0" borderId="49" xfId="0" applyFont="1" applyFill="1" applyBorder="1" applyAlignment="1">
      <alignment horizontal="center" vertical="center"/>
    </xf>
    <xf numFmtId="0" fontId="7" fillId="0" borderId="48" xfId="0" applyFont="1" applyBorder="1" applyAlignment="1">
      <alignment horizontal="center" vertical="center" wrapText="1"/>
    </xf>
    <xf numFmtId="0" fontId="7" fillId="0" borderId="51" xfId="0" applyFont="1" applyBorder="1" applyAlignment="1">
      <alignment horizontal="center" vertical="center" wrapText="1"/>
    </xf>
    <xf numFmtId="0" fontId="7" fillId="0" borderId="49" xfId="0" applyFont="1" applyBorder="1" applyAlignment="1">
      <alignment horizontal="center" vertical="center" wrapText="1"/>
    </xf>
    <xf numFmtId="1" fontId="53" fillId="0" borderId="48" xfId="0" applyNumberFormat="1" applyFont="1" applyFill="1" applyBorder="1" applyAlignment="1">
      <alignment horizontal="center" vertical="center"/>
    </xf>
    <xf numFmtId="1" fontId="53" fillId="0" borderId="51" xfId="0" applyNumberFormat="1" applyFont="1" applyFill="1" applyBorder="1" applyAlignment="1">
      <alignment horizontal="center" vertical="center"/>
    </xf>
    <xf numFmtId="1" fontId="53" fillId="0" borderId="49" xfId="0" applyNumberFormat="1" applyFont="1" applyFill="1" applyBorder="1" applyAlignment="1">
      <alignment horizontal="center" vertical="center"/>
    </xf>
    <xf numFmtId="0" fontId="15" fillId="0" borderId="48" xfId="0" applyFont="1" applyBorder="1" applyAlignment="1">
      <alignment horizontal="center" vertical="center" wrapText="1"/>
    </xf>
    <xf numFmtId="0" fontId="15" fillId="0" borderId="51" xfId="0" applyFont="1" applyBorder="1" applyAlignment="1">
      <alignment horizontal="center" vertical="center" wrapText="1"/>
    </xf>
    <xf numFmtId="168" fontId="10" fillId="0" borderId="76" xfId="0" applyNumberFormat="1" applyFont="1" applyBorder="1" applyAlignment="1">
      <alignment horizontal="center" vertical="center" wrapText="1"/>
    </xf>
    <xf numFmtId="168" fontId="10" fillId="0" borderId="77" xfId="0" applyNumberFormat="1" applyFont="1" applyBorder="1" applyAlignment="1">
      <alignment horizontal="center" vertical="center" wrapText="1"/>
    </xf>
    <xf numFmtId="0" fontId="7" fillId="0" borderId="70" xfId="0" applyFont="1" applyBorder="1" applyAlignment="1">
      <alignment horizontal="center" vertical="center" wrapText="1"/>
    </xf>
    <xf numFmtId="0" fontId="7" fillId="0" borderId="120" xfId="0" applyFont="1" applyBorder="1" applyAlignment="1">
      <alignment horizontal="center" vertical="center" wrapText="1"/>
    </xf>
    <xf numFmtId="1" fontId="41" fillId="0" borderId="76" xfId="0" applyNumberFormat="1" applyFont="1" applyFill="1" applyBorder="1" applyAlignment="1">
      <alignment horizontal="center" vertical="center" wrapText="1"/>
    </xf>
    <xf numFmtId="1" fontId="41" fillId="0" borderId="124" xfId="0" applyNumberFormat="1" applyFont="1" applyFill="1" applyBorder="1" applyAlignment="1">
      <alignment horizontal="center" vertical="center" wrapText="1"/>
    </xf>
    <xf numFmtId="1" fontId="41" fillId="0" borderId="85" xfId="0" applyNumberFormat="1" applyFont="1" applyFill="1" applyBorder="1" applyAlignment="1">
      <alignment horizontal="center" vertical="center" wrapText="1"/>
    </xf>
    <xf numFmtId="0" fontId="77" fillId="0" borderId="70" xfId="0" applyFont="1" applyFill="1" applyBorder="1" applyAlignment="1">
      <alignment horizontal="center" vertical="center"/>
    </xf>
    <xf numFmtId="0" fontId="77" fillId="0" borderId="106" xfId="0" applyFont="1" applyFill="1" applyBorder="1" applyAlignment="1">
      <alignment horizontal="center" vertical="center"/>
    </xf>
    <xf numFmtId="0" fontId="77" fillId="0" borderId="71" xfId="0" applyFont="1" applyFill="1" applyBorder="1" applyAlignment="1">
      <alignment horizontal="center" vertical="center"/>
    </xf>
    <xf numFmtId="0" fontId="77" fillId="0" borderId="48" xfId="0" applyFont="1" applyFill="1" applyBorder="1" applyAlignment="1">
      <alignment horizontal="center" vertical="center" wrapText="1"/>
    </xf>
    <xf numFmtId="0" fontId="77" fillId="0" borderId="49" xfId="0" applyFont="1" applyFill="1" applyBorder="1" applyAlignment="1">
      <alignment horizontal="center" vertical="center" wrapText="1"/>
    </xf>
    <xf numFmtId="1" fontId="41" fillId="0" borderId="70" xfId="0" applyNumberFormat="1" applyFont="1" applyFill="1" applyBorder="1" applyAlignment="1">
      <alignment horizontal="center" vertical="center" wrapText="1"/>
    </xf>
    <xf numFmtId="1" fontId="41" fillId="0" borderId="71" xfId="0" applyNumberFormat="1" applyFont="1" applyFill="1" applyBorder="1" applyAlignment="1">
      <alignment horizontal="center" vertical="center" wrapText="1"/>
    </xf>
    <xf numFmtId="0" fontId="40" fillId="0" borderId="70" xfId="0" applyFont="1" applyFill="1" applyBorder="1" applyAlignment="1">
      <alignment horizontal="center" vertical="center" wrapText="1"/>
    </xf>
    <xf numFmtId="0" fontId="40" fillId="0" borderId="106" xfId="0" applyFont="1" applyFill="1" applyBorder="1" applyAlignment="1">
      <alignment horizontal="center" vertical="center" wrapText="1"/>
    </xf>
    <xf numFmtId="0" fontId="40" fillId="0" borderId="71" xfId="0" applyFont="1" applyFill="1" applyBorder="1" applyAlignment="1">
      <alignment horizontal="center" vertical="center" wrapText="1"/>
    </xf>
    <xf numFmtId="168" fontId="7" fillId="0" borderId="70" xfId="0" applyNumberFormat="1" applyFont="1" applyBorder="1" applyAlignment="1">
      <alignment horizontal="center" vertical="center"/>
    </xf>
    <xf numFmtId="168" fontId="7" fillId="0" borderId="106" xfId="0" applyNumberFormat="1" applyFont="1" applyBorder="1" applyAlignment="1">
      <alignment horizontal="center" vertical="center"/>
    </xf>
    <xf numFmtId="168" fontId="7" fillId="0" borderId="71" xfId="0" applyNumberFormat="1" applyFont="1" applyBorder="1" applyAlignment="1">
      <alignment horizontal="center" vertical="center"/>
    </xf>
    <xf numFmtId="1" fontId="28" fillId="0" borderId="48" xfId="0" applyNumberFormat="1" applyFont="1" applyFill="1" applyBorder="1" applyAlignment="1">
      <alignment horizontal="center" vertical="center"/>
    </xf>
    <xf numFmtId="1" fontId="28" fillId="0" borderId="51" xfId="0" applyNumberFormat="1" applyFont="1" applyFill="1" applyBorder="1" applyAlignment="1">
      <alignment horizontal="center" vertical="center"/>
    </xf>
    <xf numFmtId="1" fontId="28" fillId="0" borderId="49" xfId="0" applyNumberFormat="1" applyFont="1" applyFill="1" applyBorder="1" applyAlignment="1">
      <alignment horizontal="center" vertical="center"/>
    </xf>
    <xf numFmtId="0" fontId="40" fillId="0" borderId="111" xfId="0" applyFont="1" applyFill="1" applyBorder="1" applyAlignment="1">
      <alignment horizontal="center" vertical="center" wrapText="1"/>
    </xf>
    <xf numFmtId="1" fontId="41" fillId="0" borderId="112" xfId="0" applyNumberFormat="1" applyFont="1" applyFill="1" applyBorder="1" applyAlignment="1">
      <alignment horizontal="center" vertical="center"/>
    </xf>
    <xf numFmtId="1" fontId="41" fillId="0" borderId="106" xfId="0" applyNumberFormat="1" applyFont="1" applyFill="1" applyBorder="1" applyAlignment="1">
      <alignment horizontal="center" vertical="center"/>
    </xf>
    <xf numFmtId="0" fontId="40" fillId="0" borderId="107" xfId="0" applyFont="1" applyFill="1" applyBorder="1" applyAlignment="1">
      <alignment horizontal="center" vertical="center" wrapText="1"/>
    </xf>
    <xf numFmtId="1" fontId="28" fillId="0" borderId="76" xfId="0" applyNumberFormat="1" applyFont="1" applyFill="1" applyBorder="1" applyAlignment="1">
      <alignment horizontal="center" vertical="center"/>
    </xf>
    <xf numFmtId="1" fontId="28" fillId="0" borderId="77" xfId="0" applyNumberFormat="1" applyFont="1" applyFill="1" applyBorder="1" applyAlignment="1">
      <alignment horizontal="center" vertical="center"/>
    </xf>
    <xf numFmtId="1" fontId="28" fillId="0" borderId="38" xfId="0" applyNumberFormat="1" applyFont="1" applyFill="1" applyBorder="1" applyAlignment="1">
      <alignment horizontal="center" vertical="center"/>
    </xf>
    <xf numFmtId="168" fontId="7" fillId="0" borderId="74" xfId="0" applyNumberFormat="1" applyFont="1" applyBorder="1" applyAlignment="1">
      <alignment horizontal="center" vertical="center"/>
    </xf>
    <xf numFmtId="168" fontId="7" fillId="0" borderId="87" xfId="0" applyNumberFormat="1" applyFont="1" applyBorder="1" applyAlignment="1">
      <alignment horizontal="center" vertical="center"/>
    </xf>
    <xf numFmtId="168" fontId="7" fillId="0" borderId="68" xfId="0" applyNumberFormat="1" applyFont="1" applyBorder="1" applyAlignment="1">
      <alignment horizontal="center" vertical="center"/>
    </xf>
    <xf numFmtId="0" fontId="40" fillId="0" borderId="108" xfId="0" applyFont="1" applyFill="1" applyBorder="1" applyAlignment="1">
      <alignment horizontal="center" vertical="center" wrapText="1"/>
    </xf>
    <xf numFmtId="0" fontId="40" fillId="0" borderId="109" xfId="0" applyFont="1" applyFill="1" applyBorder="1" applyAlignment="1">
      <alignment horizontal="center" vertical="center" wrapText="1"/>
    </xf>
    <xf numFmtId="0" fontId="40" fillId="0" borderId="110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1" fillId="2" borderId="0" xfId="0" applyFont="1" applyFill="1" applyAlignment="1">
      <alignment horizontal="center"/>
    </xf>
    <xf numFmtId="0" fontId="58" fillId="2" borderId="0" xfId="0" applyFont="1" applyFill="1" applyAlignment="1">
      <alignment horizontal="center"/>
    </xf>
    <xf numFmtId="0" fontId="28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wrapText="1"/>
    </xf>
    <xf numFmtId="0" fontId="28" fillId="0" borderId="0" xfId="0" applyFont="1" applyFill="1" applyAlignment="1">
      <alignment horizontal="center" wrapText="1"/>
    </xf>
    <xf numFmtId="0" fontId="56" fillId="2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7" fillId="24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7" fillId="0" borderId="0" xfId="0" applyFont="1" applyAlignment="1">
      <alignment horizontal="center" wrapText="1"/>
    </xf>
    <xf numFmtId="0" fontId="7" fillId="19" borderId="0" xfId="0" applyFont="1" applyFill="1" applyAlignment="1">
      <alignment horizontal="center" wrapText="1"/>
    </xf>
    <xf numFmtId="0" fontId="7" fillId="17" borderId="0" xfId="0" applyFont="1" applyFill="1" applyAlignment="1">
      <alignment horizontal="center" wrapText="1"/>
    </xf>
    <xf numFmtId="0" fontId="7" fillId="21" borderId="0" xfId="0" applyFont="1" applyFill="1" applyAlignment="1">
      <alignment horizontal="center" wrapText="1"/>
    </xf>
    <xf numFmtId="0" fontId="7" fillId="19" borderId="64" xfId="0" applyFont="1" applyFill="1" applyBorder="1" applyAlignment="1">
      <alignment horizontal="center" vertical="center" wrapText="1"/>
    </xf>
    <xf numFmtId="0" fontId="7" fillId="19" borderId="0" xfId="0" applyFont="1" applyFill="1" applyAlignment="1">
      <alignment horizontal="center" vertical="center" wrapText="1"/>
    </xf>
    <xf numFmtId="0" fontId="79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11" borderId="0" xfId="0" applyFont="1" applyFill="1" applyAlignment="1">
      <alignment horizontal="center" vertical="center" wrapText="1"/>
    </xf>
    <xf numFmtId="0" fontId="7" fillId="14" borderId="0" xfId="0" applyFont="1" applyFill="1" applyAlignment="1">
      <alignment horizontal="center" vertical="center" wrapText="1"/>
    </xf>
    <xf numFmtId="0" fontId="7" fillId="18" borderId="64" xfId="0" applyFont="1" applyFill="1" applyBorder="1" applyAlignment="1">
      <alignment horizontal="center" wrapText="1"/>
    </xf>
    <xf numFmtId="0" fontId="7" fillId="18" borderId="0" xfId="0" applyFont="1" applyFill="1" applyAlignment="1">
      <alignment horizontal="center" wrapText="1"/>
    </xf>
    <xf numFmtId="0" fontId="7" fillId="9" borderId="0" xfId="0" applyFont="1" applyFill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53" fillId="11" borderId="0" xfId="0" applyFont="1" applyFill="1" applyAlignment="1">
      <alignment horizontal="center" vertical="center" wrapText="1"/>
    </xf>
    <xf numFmtId="0" fontId="53" fillId="11" borderId="7" xfId="0" applyFont="1" applyFill="1" applyBorder="1" applyAlignment="1">
      <alignment horizontal="center" vertical="center" wrapText="1"/>
    </xf>
    <xf numFmtId="0" fontId="41" fillId="15" borderId="0" xfId="0" applyFont="1" applyFill="1" applyAlignment="1">
      <alignment horizontal="center" wrapText="1"/>
    </xf>
    <xf numFmtId="0" fontId="41" fillId="15" borderId="7" xfId="0" applyFont="1" applyFill="1" applyBorder="1" applyAlignment="1">
      <alignment horizontal="center" wrapText="1"/>
    </xf>
    <xf numFmtId="0" fontId="41" fillId="15" borderId="64" xfId="0" applyFont="1" applyFill="1" applyBorder="1" applyAlignment="1">
      <alignment horizontal="center" wrapText="1"/>
    </xf>
    <xf numFmtId="0" fontId="7" fillId="18" borderId="0" xfId="0" applyFont="1" applyFill="1" applyAlignment="1">
      <alignment horizontal="center" vertical="center" wrapText="1"/>
    </xf>
    <xf numFmtId="0" fontId="28" fillId="16" borderId="0" xfId="0" applyFont="1" applyFill="1" applyAlignment="1">
      <alignment horizontal="center" vertical="center" wrapText="1"/>
    </xf>
    <xf numFmtId="0" fontId="28" fillId="16" borderId="7" xfId="0" applyFont="1" applyFill="1" applyBorder="1" applyAlignment="1">
      <alignment horizontal="center" vertical="center" wrapText="1"/>
    </xf>
    <xf numFmtId="0" fontId="21" fillId="2" borderId="0" xfId="0" applyFont="1" applyFill="1" applyAlignment="1">
      <alignment horizontal="center" vertical="center"/>
    </xf>
    <xf numFmtId="0" fontId="28" fillId="0" borderId="64" xfId="0" applyFont="1" applyBorder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21" fillId="6" borderId="0" xfId="0" applyFont="1" applyFill="1" applyAlignment="1">
      <alignment horizontal="center" vertical="center"/>
    </xf>
    <xf numFmtId="0" fontId="28" fillId="8" borderId="0" xfId="0" applyFont="1" applyFill="1" applyAlignment="1">
      <alignment horizontal="center" wrapText="1"/>
    </xf>
    <xf numFmtId="0" fontId="28" fillId="4" borderId="64" xfId="0" applyFont="1" applyFill="1" applyBorder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7" fillId="0" borderId="5" xfId="0" applyFont="1" applyBorder="1" applyAlignment="1">
      <alignment horizontal="center" wrapText="1"/>
    </xf>
    <xf numFmtId="0" fontId="7" fillId="0" borderId="8" xfId="0" applyFont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4" borderId="48" xfId="0" applyFont="1" applyFill="1" applyBorder="1" applyAlignment="1">
      <alignment horizontal="center" vertical="center" wrapText="1"/>
    </xf>
    <xf numFmtId="0" fontId="7" fillId="14" borderId="51" xfId="0" applyFont="1" applyFill="1" applyBorder="1" applyAlignment="1">
      <alignment horizontal="center" vertical="center" wrapText="1"/>
    </xf>
    <xf numFmtId="0" fontId="7" fillId="14" borderId="49" xfId="0" applyFont="1" applyFill="1" applyBorder="1" applyAlignment="1">
      <alignment horizontal="center" vertical="center" wrapText="1"/>
    </xf>
    <xf numFmtId="0" fontId="7" fillId="12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10" borderId="0" xfId="0" applyFont="1" applyFill="1" applyAlignment="1">
      <alignment horizontal="center" vertical="center" wrapText="1"/>
    </xf>
    <xf numFmtId="0" fontId="41" fillId="0" borderId="70" xfId="0" applyFont="1" applyBorder="1" applyAlignment="1">
      <alignment horizontal="center" wrapText="1"/>
    </xf>
    <xf numFmtId="0" fontId="41" fillId="0" borderId="71" xfId="0" applyFont="1" applyBorder="1" applyAlignment="1">
      <alignment horizontal="center" wrapText="1"/>
    </xf>
    <xf numFmtId="0" fontId="45" fillId="13" borderId="0" xfId="0" applyFont="1" applyFill="1" applyAlignment="1">
      <alignment horizontal="center" vertical="center" wrapText="1"/>
    </xf>
    <xf numFmtId="0" fontId="7" fillId="24" borderId="48" xfId="0" applyFont="1" applyFill="1" applyBorder="1" applyAlignment="1">
      <alignment horizontal="center" vertical="center" wrapText="1"/>
    </xf>
    <xf numFmtId="0" fontId="7" fillId="24" borderId="49" xfId="0" applyFont="1" applyFill="1" applyBorder="1" applyAlignment="1">
      <alignment horizontal="center" vertical="center" wrapText="1"/>
    </xf>
    <xf numFmtId="0" fontId="7" fillId="18" borderId="48" xfId="0" applyFont="1" applyFill="1" applyBorder="1" applyAlignment="1">
      <alignment horizontal="center" vertical="center" wrapText="1"/>
    </xf>
    <xf numFmtId="0" fontId="7" fillId="18" borderId="49" xfId="0" applyFont="1" applyFill="1" applyBorder="1" applyAlignment="1">
      <alignment horizontal="center" vertical="center" wrapText="1"/>
    </xf>
    <xf numFmtId="0" fontId="8" fillId="0" borderId="4" xfId="0" applyFont="1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28" fillId="0" borderId="5" xfId="0" applyFont="1" applyBorder="1" applyAlignment="1">
      <alignment horizontal="center" vertical="center" wrapText="1"/>
    </xf>
    <xf numFmtId="0" fontId="28" fillId="0" borderId="8" xfId="0" applyFont="1" applyBorder="1" applyAlignment="1">
      <alignment horizontal="center" vertical="center" wrapText="1"/>
    </xf>
    <xf numFmtId="0" fontId="7" fillId="22" borderId="48" xfId="0" applyFont="1" applyFill="1" applyBorder="1" applyAlignment="1">
      <alignment horizontal="center" vertical="center" wrapText="1"/>
    </xf>
    <xf numFmtId="0" fontId="7" fillId="22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7" fillId="11" borderId="48" xfId="0" applyFont="1" applyFill="1" applyBorder="1" applyAlignment="1">
      <alignment horizontal="center" vertical="center" wrapText="1"/>
    </xf>
    <xf numFmtId="0" fontId="7" fillId="11" borderId="49" xfId="0" applyFont="1" applyFill="1" applyBorder="1" applyAlignment="1">
      <alignment horizontal="center" vertical="center" wrapText="1"/>
    </xf>
    <xf numFmtId="0" fontId="41" fillId="0" borderId="57" xfId="0" applyFont="1" applyBorder="1" applyAlignment="1">
      <alignment horizontal="center" wrapText="1"/>
    </xf>
    <xf numFmtId="0" fontId="41" fillId="0" borderId="72" xfId="0" applyFont="1" applyBorder="1" applyAlignment="1">
      <alignment horizontal="center" wrapText="1"/>
    </xf>
    <xf numFmtId="0" fontId="21" fillId="6" borderId="0" xfId="0" applyFont="1" applyFill="1" applyAlignment="1">
      <alignment horizontal="center"/>
    </xf>
    <xf numFmtId="0" fontId="28" fillId="0" borderId="4" xfId="0" applyFont="1" applyFill="1" applyBorder="1" applyAlignment="1">
      <alignment horizontal="center" vertical="center" wrapText="1"/>
    </xf>
    <xf numFmtId="0" fontId="28" fillId="11" borderId="0" xfId="0" applyFont="1" applyFill="1" applyAlignment="1">
      <alignment horizontal="center" vertical="center" wrapText="1"/>
    </xf>
    <xf numFmtId="0" fontId="7" fillId="11" borderId="2" xfId="0" applyFont="1" applyFill="1" applyBorder="1" applyAlignment="1">
      <alignment horizontal="center" vertical="center" wrapText="1"/>
    </xf>
    <xf numFmtId="0" fontId="7" fillId="0" borderId="48" xfId="0" applyFont="1" applyFill="1" applyBorder="1" applyAlignment="1">
      <alignment horizontal="center" vertical="center" wrapText="1"/>
    </xf>
    <xf numFmtId="0" fontId="7" fillId="0" borderId="51" xfId="0" applyFont="1" applyFill="1" applyBorder="1" applyAlignment="1">
      <alignment horizontal="center" vertical="center" wrapText="1"/>
    </xf>
    <xf numFmtId="0" fontId="7" fillId="0" borderId="49" xfId="0" applyFont="1" applyFill="1" applyBorder="1" applyAlignment="1">
      <alignment horizontal="center" vertical="center" wrapText="1"/>
    </xf>
    <xf numFmtId="0" fontId="7" fillId="20" borderId="2" xfId="0" applyFont="1" applyFill="1" applyBorder="1" applyAlignment="1">
      <alignment horizontal="center" vertical="center" wrapText="1"/>
    </xf>
    <xf numFmtId="0" fontId="7" fillId="20" borderId="0" xfId="0" applyFont="1" applyFill="1" applyAlignment="1">
      <alignment horizontal="center" vertical="center" wrapText="1"/>
    </xf>
    <xf numFmtId="0" fontId="51" fillId="6" borderId="0" xfId="0" applyFont="1" applyFill="1" applyAlignment="1">
      <alignment horizontal="center"/>
    </xf>
    <xf numFmtId="0" fontId="7" fillId="18" borderId="7" xfId="0" applyFont="1" applyFill="1" applyBorder="1" applyAlignment="1">
      <alignment horizontal="center" wrapText="1"/>
    </xf>
    <xf numFmtId="0" fontId="28" fillId="0" borderId="0" xfId="0" applyFont="1" applyAlignment="1">
      <alignment horizontal="center" wrapText="1"/>
    </xf>
    <xf numFmtId="0" fontId="7" fillId="0" borderId="74" xfId="0" applyFont="1" applyBorder="1" applyAlignment="1">
      <alignment horizontal="center" vertical="center"/>
    </xf>
    <xf numFmtId="0" fontId="7" fillId="0" borderId="87" xfId="0" applyFont="1" applyBorder="1" applyAlignment="1">
      <alignment horizontal="center" vertical="center"/>
    </xf>
    <xf numFmtId="0" fontId="7" fillId="0" borderId="68" xfId="0" applyFont="1" applyBorder="1" applyAlignment="1">
      <alignment horizontal="center" vertical="center"/>
    </xf>
    <xf numFmtId="0" fontId="7" fillId="20" borderId="89" xfId="0" applyFont="1" applyFill="1" applyBorder="1" applyAlignment="1">
      <alignment horizontal="center" wrapText="1"/>
    </xf>
    <xf numFmtId="0" fontId="7" fillId="20" borderId="88" xfId="0" applyFont="1" applyFill="1" applyBorder="1" applyAlignment="1">
      <alignment horizontal="center" wrapText="1"/>
    </xf>
    <xf numFmtId="0" fontId="7" fillId="14" borderId="64" xfId="0" applyFont="1" applyFill="1" applyBorder="1" applyAlignment="1">
      <alignment horizontal="center" wrapText="1"/>
    </xf>
    <xf numFmtId="0" fontId="7" fillId="14" borderId="0" xfId="0" applyFont="1" applyFill="1" applyAlignment="1">
      <alignment horizontal="center" wrapText="1"/>
    </xf>
    <xf numFmtId="0" fontId="7" fillId="11" borderId="64" xfId="0" applyFont="1" applyFill="1" applyBorder="1" applyAlignment="1">
      <alignment horizontal="center" wrapText="1"/>
    </xf>
    <xf numFmtId="0" fontId="7" fillId="11" borderId="0" xfId="0" applyFont="1" applyFill="1" applyAlignment="1">
      <alignment horizontal="center" wrapText="1"/>
    </xf>
    <xf numFmtId="0" fontId="7" fillId="25" borderId="64" xfId="0" applyFont="1" applyFill="1" applyBorder="1" applyAlignment="1">
      <alignment horizontal="center" wrapText="1"/>
    </xf>
    <xf numFmtId="0" fontId="7" fillId="25" borderId="0" xfId="0" applyFont="1" applyFill="1" applyAlignment="1">
      <alignment horizontal="center" wrapText="1"/>
    </xf>
    <xf numFmtId="0" fontId="91" fillId="0" borderId="33" xfId="0" applyFont="1" applyBorder="1" applyAlignment="1">
      <alignment horizontal="left" wrapText="1"/>
    </xf>
    <xf numFmtId="167" fontId="22" fillId="0" borderId="33" xfId="0" applyNumberFormat="1" applyFont="1" applyBorder="1" applyAlignment="1">
      <alignment wrapText="1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0000FF"/>
      <color rgb="FF99FFCC"/>
      <color rgb="FFFF3399"/>
      <color rgb="FF00FFCC"/>
      <color rgb="FFFFCCFF"/>
      <color rgb="FF66FFFF"/>
      <color rgb="FF3399FF"/>
      <color rgb="FF00FF00"/>
      <color rgb="FFCCCCFF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3" Type="http://schemas.openxmlformats.org/officeDocument/2006/relationships/worksheet" Target="worksheets/sheet2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worksheet" Target="worksheets/sheet41.xml"/><Relationship Id="rId47" Type="http://schemas.openxmlformats.org/officeDocument/2006/relationships/worksheet" Target="worksheets/sheet46.xml"/><Relationship Id="rId50" Type="http://schemas.openxmlformats.org/officeDocument/2006/relationships/worksheet" Target="worksheets/sheet49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46" Type="http://schemas.openxmlformats.org/officeDocument/2006/relationships/worksheet" Target="worksheets/sheet45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41" Type="http://schemas.openxmlformats.org/officeDocument/2006/relationships/worksheet" Target="worksheets/sheet40.xml"/><Relationship Id="rId54" Type="http://schemas.openxmlformats.org/officeDocument/2006/relationships/calcChain" Target="calcChain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worksheet" Target="worksheets/sheet39.xml"/><Relationship Id="rId45" Type="http://schemas.openxmlformats.org/officeDocument/2006/relationships/worksheet" Target="worksheets/sheet44.xml"/><Relationship Id="rId53" Type="http://schemas.openxmlformats.org/officeDocument/2006/relationships/sharedStrings" Target="sharedStrings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49" Type="http://schemas.openxmlformats.org/officeDocument/2006/relationships/worksheet" Target="worksheets/sheet48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4" Type="http://schemas.openxmlformats.org/officeDocument/2006/relationships/worksheet" Target="worksheets/sheet43.xml"/><Relationship Id="rId52" Type="http://schemas.openxmlformats.org/officeDocument/2006/relationships/styles" Target="styles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worksheet" Target="worksheets/sheet42.xml"/><Relationship Id="rId48" Type="http://schemas.openxmlformats.org/officeDocument/2006/relationships/worksheet" Target="worksheets/sheet47.xml"/><Relationship Id="rId8" Type="http://schemas.openxmlformats.org/officeDocument/2006/relationships/worksheet" Target="worksheets/sheet7.xml"/><Relationship Id="rId51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  DICIEMBRE        2022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  DICIEMBRE        2022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  DICIEMBRE        2022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  DICIEMBRE        2022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44895</c:v>
                </c:pt>
                <c:pt idx="1">
                  <c:v>44895</c:v>
                </c:pt>
                <c:pt idx="2">
                  <c:v>44896</c:v>
                </c:pt>
                <c:pt idx="3">
                  <c:v>44896</c:v>
                </c:pt>
                <c:pt idx="4">
                  <c:v>44897</c:v>
                </c:pt>
                <c:pt idx="5">
                  <c:v>44898</c:v>
                </c:pt>
                <c:pt idx="6">
                  <c:v>44898</c:v>
                </c:pt>
                <c:pt idx="7">
                  <c:v>44901</c:v>
                </c:pt>
                <c:pt idx="8">
                  <c:v>44901</c:v>
                </c:pt>
                <c:pt idx="9">
                  <c:v>44902</c:v>
                </c:pt>
                <c:pt idx="10">
                  <c:v>44903</c:v>
                </c:pt>
                <c:pt idx="11">
                  <c:v>44903</c:v>
                </c:pt>
                <c:pt idx="12">
                  <c:v>44904</c:v>
                </c:pt>
                <c:pt idx="13">
                  <c:v>44904</c:v>
                </c:pt>
                <c:pt idx="14">
                  <c:v>44904</c:v>
                </c:pt>
                <c:pt idx="15">
                  <c:v>44905</c:v>
                </c:pt>
                <c:pt idx="16">
                  <c:v>44905</c:v>
                </c:pt>
                <c:pt idx="17">
                  <c:v>44908</c:v>
                </c:pt>
                <c:pt idx="18">
                  <c:v>44908</c:v>
                </c:pt>
                <c:pt idx="19">
                  <c:v>44908</c:v>
                </c:pt>
                <c:pt idx="20">
                  <c:v>44909</c:v>
                </c:pt>
                <c:pt idx="21">
                  <c:v>44909</c:v>
                </c:pt>
                <c:pt idx="22">
                  <c:v>44910</c:v>
                </c:pt>
                <c:pt idx="23">
                  <c:v>44910</c:v>
                </c:pt>
                <c:pt idx="24">
                  <c:v>44911</c:v>
                </c:pt>
                <c:pt idx="25">
                  <c:v>44911</c:v>
                </c:pt>
                <c:pt idx="26">
                  <c:v>44912</c:v>
                </c:pt>
                <c:pt idx="27">
                  <c:v>44912</c:v>
                </c:pt>
                <c:pt idx="28">
                  <c:v>44915</c:v>
                </c:pt>
                <c:pt idx="29">
                  <c:v>44915</c:v>
                </c:pt>
                <c:pt idx="30">
                  <c:v>44916</c:v>
                </c:pt>
                <c:pt idx="31">
                  <c:v>44916</c:v>
                </c:pt>
                <c:pt idx="32">
                  <c:v>44917</c:v>
                </c:pt>
                <c:pt idx="33">
                  <c:v>44917</c:v>
                </c:pt>
                <c:pt idx="34">
                  <c:v>44917</c:v>
                </c:pt>
                <c:pt idx="35">
                  <c:v>44918</c:v>
                </c:pt>
                <c:pt idx="36">
                  <c:v>44918</c:v>
                </c:pt>
                <c:pt idx="37">
                  <c:v>44918</c:v>
                </c:pt>
                <c:pt idx="38">
                  <c:v>44919</c:v>
                </c:pt>
                <c:pt idx="39">
                  <c:v>44919</c:v>
                </c:pt>
                <c:pt idx="40">
                  <c:v>44921</c:v>
                </c:pt>
                <c:pt idx="41">
                  <c:v>44924</c:v>
                </c:pt>
                <c:pt idx="42">
                  <c:v>44924</c:v>
                </c:pt>
                <c:pt idx="43">
                  <c:v>44924</c:v>
                </c:pt>
                <c:pt idx="44">
                  <c:v>44925</c:v>
                </c:pt>
                <c:pt idx="45">
                  <c:v>44926</c:v>
                </c:pt>
                <c:pt idx="46">
                  <c:v>44930</c:v>
                </c:pt>
                <c:pt idx="47">
                  <c:v>44930</c:v>
                </c:pt>
                <c:pt idx="48">
                  <c:v>44930</c:v>
                </c:pt>
                <c:pt idx="49">
                  <c:v>44931</c:v>
                </c:pt>
                <c:pt idx="50">
                  <c:v>44931</c:v>
                </c:pt>
                <c:pt idx="51">
                  <c:v>44933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  DICIEMBRE        2022</c:v>
                </c:pt>
                <c:pt idx="1">
                  <c:v>KILOS</c:v>
                </c:pt>
                <c:pt idx="2">
                  <c:v>0.00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</c:formatCode>
                <c:ptCount val="68"/>
                <c:pt idx="0">
                  <c:v>18729.12</c:v>
                </c:pt>
                <c:pt idx="1">
                  <c:v>18857.04</c:v>
                </c:pt>
                <c:pt idx="2">
                  <c:v>18857.04</c:v>
                </c:pt>
                <c:pt idx="3">
                  <c:v>19184.009999999998</c:v>
                </c:pt>
                <c:pt idx="4">
                  <c:v>18054.09</c:v>
                </c:pt>
                <c:pt idx="5">
                  <c:v>18435.43</c:v>
                </c:pt>
                <c:pt idx="6">
                  <c:v>1123</c:v>
                </c:pt>
                <c:pt idx="7">
                  <c:v>18014.7</c:v>
                </c:pt>
                <c:pt idx="8">
                  <c:v>19221</c:v>
                </c:pt>
                <c:pt idx="9">
                  <c:v>18623.95</c:v>
                </c:pt>
                <c:pt idx="10">
                  <c:v>18888.5</c:v>
                </c:pt>
                <c:pt idx="11">
                  <c:v>18366.080000000002</c:v>
                </c:pt>
                <c:pt idx="12">
                  <c:v>18847.11</c:v>
                </c:pt>
                <c:pt idx="13">
                  <c:v>19130.18</c:v>
                </c:pt>
                <c:pt idx="14">
                  <c:v>18790.439999999999</c:v>
                </c:pt>
                <c:pt idx="15">
                  <c:v>18848.189999999999</c:v>
                </c:pt>
                <c:pt idx="16">
                  <c:v>18920.68</c:v>
                </c:pt>
                <c:pt idx="17">
                  <c:v>18992.169999999998</c:v>
                </c:pt>
                <c:pt idx="18">
                  <c:v>18949.169999999998</c:v>
                </c:pt>
                <c:pt idx="19">
                  <c:v>19166.849999999999</c:v>
                </c:pt>
                <c:pt idx="20">
                  <c:v>18590.849999999999</c:v>
                </c:pt>
                <c:pt idx="21">
                  <c:v>18256.88</c:v>
                </c:pt>
                <c:pt idx="22">
                  <c:v>18753.78</c:v>
                </c:pt>
                <c:pt idx="23">
                  <c:v>19116.189999999999</c:v>
                </c:pt>
                <c:pt idx="24">
                  <c:v>19165.84</c:v>
                </c:pt>
                <c:pt idx="25">
                  <c:v>19052.3</c:v>
                </c:pt>
                <c:pt idx="26">
                  <c:v>19132.05</c:v>
                </c:pt>
                <c:pt idx="27">
                  <c:v>19022.099999999999</c:v>
                </c:pt>
                <c:pt idx="28">
                  <c:v>19011.71</c:v>
                </c:pt>
                <c:pt idx="29">
                  <c:v>18789.09</c:v>
                </c:pt>
                <c:pt idx="30">
                  <c:v>19050.21</c:v>
                </c:pt>
                <c:pt idx="31">
                  <c:v>18670.64</c:v>
                </c:pt>
                <c:pt idx="32">
                  <c:v>18579.03</c:v>
                </c:pt>
                <c:pt idx="33">
                  <c:v>19089.29</c:v>
                </c:pt>
                <c:pt idx="34">
                  <c:v>18357.23</c:v>
                </c:pt>
                <c:pt idx="35">
                  <c:v>19059.93</c:v>
                </c:pt>
                <c:pt idx="36">
                  <c:v>19147.78</c:v>
                </c:pt>
                <c:pt idx="37">
                  <c:v>19184.419999999998</c:v>
                </c:pt>
                <c:pt idx="38">
                  <c:v>19113.990000000002</c:v>
                </c:pt>
                <c:pt idx="39">
                  <c:v>19299.72</c:v>
                </c:pt>
                <c:pt idx="40">
                  <c:v>19182.900000000001</c:v>
                </c:pt>
                <c:pt idx="41">
                  <c:v>18823.7</c:v>
                </c:pt>
                <c:pt idx="42">
                  <c:v>19110.349999999999</c:v>
                </c:pt>
                <c:pt idx="43">
                  <c:v>18781.439999999999</c:v>
                </c:pt>
                <c:pt idx="44">
                  <c:v>17876.36</c:v>
                </c:pt>
                <c:pt idx="45">
                  <c:v>18047.189999999999</c:v>
                </c:pt>
                <c:pt idx="46">
                  <c:v>18918.5</c:v>
                </c:pt>
                <c:pt idx="47">
                  <c:v>19030.25</c:v>
                </c:pt>
                <c:pt idx="48">
                  <c:v>18644.88</c:v>
                </c:pt>
                <c:pt idx="49">
                  <c:v>18440.98</c:v>
                </c:pt>
                <c:pt idx="50">
                  <c:v>18440.98</c:v>
                </c:pt>
                <c:pt idx="51">
                  <c:v>19001.259999999998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  DICIEMBRE        2022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21</c:v>
                </c:pt>
                <c:pt idx="1">
                  <c:v>21</c:v>
                </c:pt>
                <c:pt idx="2">
                  <c:v>20</c:v>
                </c:pt>
                <c:pt idx="3">
                  <c:v>21</c:v>
                </c:pt>
                <c:pt idx="4">
                  <c:v>20</c:v>
                </c:pt>
                <c:pt idx="5">
                  <c:v>20</c:v>
                </c:pt>
                <c:pt idx="6">
                  <c:v>2</c:v>
                </c:pt>
                <c:pt idx="7">
                  <c:v>20</c:v>
                </c:pt>
                <c:pt idx="8">
                  <c:v>21</c:v>
                </c:pt>
                <c:pt idx="9">
                  <c:v>20</c:v>
                </c:pt>
                <c:pt idx="10">
                  <c:v>21</c:v>
                </c:pt>
                <c:pt idx="11">
                  <c:v>20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20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20</c:v>
                </c:pt>
                <c:pt idx="21">
                  <c:v>20</c:v>
                </c:pt>
                <c:pt idx="22" formatCode="0">
                  <c:v>20</c:v>
                </c:pt>
                <c:pt idx="23" formatCode="0">
                  <c:v>21</c:v>
                </c:pt>
                <c:pt idx="24" formatCode="0">
                  <c:v>21</c:v>
                </c:pt>
                <c:pt idx="25" formatCode="0">
                  <c:v>21</c:v>
                </c:pt>
                <c:pt idx="26" formatCode="0">
                  <c:v>21</c:v>
                </c:pt>
                <c:pt idx="27" formatCode="0">
                  <c:v>21</c:v>
                </c:pt>
                <c:pt idx="28" formatCode="0">
                  <c:v>21</c:v>
                </c:pt>
                <c:pt idx="29" formatCode="0">
                  <c:v>20</c:v>
                </c:pt>
                <c:pt idx="30" formatCode="0">
                  <c:v>21</c:v>
                </c:pt>
                <c:pt idx="31">
                  <c:v>20</c:v>
                </c:pt>
                <c:pt idx="32">
                  <c:v>21</c:v>
                </c:pt>
                <c:pt idx="33">
                  <c:v>21</c:v>
                </c:pt>
                <c:pt idx="34">
                  <c:v>20</c:v>
                </c:pt>
                <c:pt idx="35">
                  <c:v>21</c:v>
                </c:pt>
                <c:pt idx="36">
                  <c:v>21</c:v>
                </c:pt>
                <c:pt idx="37">
                  <c:v>21</c:v>
                </c:pt>
                <c:pt idx="38">
                  <c:v>21</c:v>
                </c:pt>
                <c:pt idx="39">
                  <c:v>21</c:v>
                </c:pt>
                <c:pt idx="40">
                  <c:v>21</c:v>
                </c:pt>
                <c:pt idx="41">
                  <c:v>21</c:v>
                </c:pt>
                <c:pt idx="42">
                  <c:v>21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21</c:v>
                </c:pt>
                <c:pt idx="47">
                  <c:v>21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21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  DICIEMBRE        2022</c:v>
                </c:pt>
                <c:pt idx="1">
                  <c:v>kg registrados</c:v>
                </c:pt>
                <c:pt idx="2">
                  <c:v>0.00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</c:formatCode>
                <c:ptCount val="68"/>
                <c:pt idx="0">
                  <c:v>18759.599999999999</c:v>
                </c:pt>
                <c:pt idx="1">
                  <c:v>18842.3</c:v>
                </c:pt>
                <c:pt idx="2">
                  <c:v>18935.560000000001</c:v>
                </c:pt>
                <c:pt idx="3">
                  <c:v>19169.8</c:v>
                </c:pt>
                <c:pt idx="4">
                  <c:v>18007.599999999999</c:v>
                </c:pt>
                <c:pt idx="5">
                  <c:v>18351.310000000001</c:v>
                </c:pt>
                <c:pt idx="6">
                  <c:v>1123</c:v>
                </c:pt>
                <c:pt idx="7">
                  <c:v>18032</c:v>
                </c:pt>
                <c:pt idx="8">
                  <c:v>19080.599999999999</c:v>
                </c:pt>
                <c:pt idx="9">
                  <c:v>18651.62</c:v>
                </c:pt>
                <c:pt idx="10">
                  <c:v>18798.7</c:v>
                </c:pt>
                <c:pt idx="11">
                  <c:v>18341.810000000001</c:v>
                </c:pt>
                <c:pt idx="12">
                  <c:v>18871.3</c:v>
                </c:pt>
                <c:pt idx="13">
                  <c:v>19185.5</c:v>
                </c:pt>
                <c:pt idx="14">
                  <c:v>18821</c:v>
                </c:pt>
                <c:pt idx="15">
                  <c:v>18826.7</c:v>
                </c:pt>
                <c:pt idx="16">
                  <c:v>18959.16</c:v>
                </c:pt>
                <c:pt idx="17">
                  <c:v>18917.400000000001</c:v>
                </c:pt>
                <c:pt idx="18">
                  <c:v>18872.699999999997</c:v>
                </c:pt>
                <c:pt idx="19">
                  <c:v>19058.7</c:v>
                </c:pt>
                <c:pt idx="20">
                  <c:v>18618.48</c:v>
                </c:pt>
                <c:pt idx="21">
                  <c:v>18237.5</c:v>
                </c:pt>
                <c:pt idx="22">
                  <c:v>18785</c:v>
                </c:pt>
                <c:pt idx="23">
                  <c:v>19114.3</c:v>
                </c:pt>
                <c:pt idx="24">
                  <c:v>19125.2</c:v>
                </c:pt>
                <c:pt idx="25">
                  <c:v>19018.2</c:v>
                </c:pt>
                <c:pt idx="26">
                  <c:v>19056.099999999999</c:v>
                </c:pt>
                <c:pt idx="27">
                  <c:v>18972.900000000001</c:v>
                </c:pt>
                <c:pt idx="28">
                  <c:v>19014.5</c:v>
                </c:pt>
                <c:pt idx="29">
                  <c:v>18755.48</c:v>
                </c:pt>
                <c:pt idx="30">
                  <c:v>18981.900000000001</c:v>
                </c:pt>
                <c:pt idx="31">
                  <c:v>18728.29</c:v>
                </c:pt>
                <c:pt idx="32">
                  <c:v>18686.400000000001</c:v>
                </c:pt>
                <c:pt idx="33">
                  <c:v>19014.3</c:v>
                </c:pt>
                <c:pt idx="34">
                  <c:v>18390.810000000001</c:v>
                </c:pt>
                <c:pt idx="35">
                  <c:v>19064.400000000001</c:v>
                </c:pt>
                <c:pt idx="36">
                  <c:v>19183.3</c:v>
                </c:pt>
                <c:pt idx="37">
                  <c:v>19224.099999999999</c:v>
                </c:pt>
                <c:pt idx="38">
                  <c:v>19033.599999999999</c:v>
                </c:pt>
                <c:pt idx="39">
                  <c:v>19242.3</c:v>
                </c:pt>
                <c:pt idx="40">
                  <c:v>19238</c:v>
                </c:pt>
                <c:pt idx="41">
                  <c:v>18878.87</c:v>
                </c:pt>
                <c:pt idx="42">
                  <c:v>19235.099999999999</c:v>
                </c:pt>
                <c:pt idx="43">
                  <c:v>18793.14</c:v>
                </c:pt>
                <c:pt idx="44">
                  <c:v>17920.8</c:v>
                </c:pt>
                <c:pt idx="45">
                  <c:v>18100.400000000001</c:v>
                </c:pt>
                <c:pt idx="46">
                  <c:v>18778.7</c:v>
                </c:pt>
                <c:pt idx="47">
                  <c:v>18913.900000000001</c:v>
                </c:pt>
                <c:pt idx="48">
                  <c:v>18697.88</c:v>
                </c:pt>
                <c:pt idx="49">
                  <c:v>18520.990000000002</c:v>
                </c:pt>
                <c:pt idx="50">
                  <c:v>18520.990000000002</c:v>
                </c:pt>
                <c:pt idx="51">
                  <c:v>19027.2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  DICIEMBRE        2022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-30.479999999999563</c:v>
                </c:pt>
                <c:pt idx="1">
                  <c:v>14.740000000001601</c:v>
                </c:pt>
                <c:pt idx="2">
                  <c:v>-78.520000000000437</c:v>
                </c:pt>
                <c:pt idx="3">
                  <c:v>14.209999999999127</c:v>
                </c:pt>
                <c:pt idx="4">
                  <c:v>46.490000000001601</c:v>
                </c:pt>
                <c:pt idx="5">
                  <c:v>84.119999999998981</c:v>
                </c:pt>
                <c:pt idx="6">
                  <c:v>0</c:v>
                </c:pt>
                <c:pt idx="7">
                  <c:v>-17.299999999999272</c:v>
                </c:pt>
                <c:pt idx="8">
                  <c:v>140.40000000000146</c:v>
                </c:pt>
                <c:pt idx="9">
                  <c:v>-27.669999999998254</c:v>
                </c:pt>
                <c:pt idx="10">
                  <c:v>89.799999999999272</c:v>
                </c:pt>
                <c:pt idx="11">
                  <c:v>24.270000000000437</c:v>
                </c:pt>
                <c:pt idx="12">
                  <c:v>-24.18999999999869</c:v>
                </c:pt>
                <c:pt idx="13">
                  <c:v>-55.319999999999709</c:v>
                </c:pt>
                <c:pt idx="14">
                  <c:v>-30.56000000000131</c:v>
                </c:pt>
                <c:pt idx="15">
                  <c:v>21.489999999997963</c:v>
                </c:pt>
                <c:pt idx="16">
                  <c:v>-38.479999999999563</c:v>
                </c:pt>
                <c:pt idx="17">
                  <c:v>74.769999999996799</c:v>
                </c:pt>
                <c:pt idx="18">
                  <c:v>76.470000000001164</c:v>
                </c:pt>
                <c:pt idx="19">
                  <c:v>108.14999999999782</c:v>
                </c:pt>
                <c:pt idx="20">
                  <c:v>-27.630000000001019</c:v>
                </c:pt>
                <c:pt idx="21">
                  <c:v>19.380000000001019</c:v>
                </c:pt>
                <c:pt idx="22">
                  <c:v>-31.220000000001164</c:v>
                </c:pt>
                <c:pt idx="23">
                  <c:v>1.8899999999994179</c:v>
                </c:pt>
                <c:pt idx="24">
                  <c:v>40.639999999999418</c:v>
                </c:pt>
                <c:pt idx="25">
                  <c:v>34.099999999998545</c:v>
                </c:pt>
                <c:pt idx="26">
                  <c:v>75.950000000000728</c:v>
                </c:pt>
                <c:pt idx="27">
                  <c:v>49.19999999999709</c:v>
                </c:pt>
                <c:pt idx="28">
                  <c:v>-2.7900000000008731</c:v>
                </c:pt>
                <c:pt idx="29">
                  <c:v>33.610000000000582</c:v>
                </c:pt>
                <c:pt idx="30">
                  <c:v>68.309999999997672</c:v>
                </c:pt>
                <c:pt idx="31">
                  <c:v>-57.650000000001455</c:v>
                </c:pt>
                <c:pt idx="32">
                  <c:v>-107.37000000000262</c:v>
                </c:pt>
                <c:pt idx="33">
                  <c:v>74.990000000001601</c:v>
                </c:pt>
                <c:pt idx="34">
                  <c:v>-33.580000000001746</c:v>
                </c:pt>
                <c:pt idx="35">
                  <c:v>-4.4700000000011642</c:v>
                </c:pt>
                <c:pt idx="36">
                  <c:v>-35.520000000000437</c:v>
                </c:pt>
                <c:pt idx="37">
                  <c:v>-39.680000000000291</c:v>
                </c:pt>
                <c:pt idx="38">
                  <c:v>80.390000000003056</c:v>
                </c:pt>
                <c:pt idx="39">
                  <c:v>57.420000000001892</c:v>
                </c:pt>
                <c:pt idx="40">
                  <c:v>-55.099999999998545</c:v>
                </c:pt>
                <c:pt idx="41">
                  <c:v>-55.169999999998254</c:v>
                </c:pt>
                <c:pt idx="42">
                  <c:v>-124.75</c:v>
                </c:pt>
                <c:pt idx="43">
                  <c:v>-11.700000000000728</c:v>
                </c:pt>
                <c:pt idx="44">
                  <c:v>-44.43999999999869</c:v>
                </c:pt>
                <c:pt idx="45">
                  <c:v>-53.210000000002765</c:v>
                </c:pt>
                <c:pt idx="46">
                  <c:v>139.79999999999927</c:v>
                </c:pt>
                <c:pt idx="47">
                  <c:v>116.34999999999854</c:v>
                </c:pt>
                <c:pt idx="48">
                  <c:v>-53</c:v>
                </c:pt>
                <c:pt idx="49">
                  <c:v>-80.010000000002037</c:v>
                </c:pt>
                <c:pt idx="50">
                  <c:v>119.51000000000204</c:v>
                </c:pt>
                <c:pt idx="51">
                  <c:v>-25.940000000002328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  DICIEMBRE        2022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_("$"* #,##0.00_);_("$"* \(#,##0.00\);_("$"* "-"??_);_(@_)</c:formatCode>
                <c:ptCount val="68"/>
                <c:pt idx="0" formatCode="&quot;$&quot;#,##0.00">
                  <c:v>11151</c:v>
                </c:pt>
                <c:pt idx="1">
                  <c:v>12151</c:v>
                </c:pt>
                <c:pt idx="2" formatCode="&quot;$&quot;#,##0.00">
                  <c:v>12161</c:v>
                </c:pt>
                <c:pt idx="3" formatCode="&quot;$&quot;#,##0.00">
                  <c:v>9851</c:v>
                </c:pt>
                <c:pt idx="4" formatCode="&quot;$&quot;#,##0.00">
                  <c:v>12151</c:v>
                </c:pt>
                <c:pt idx="5" formatCode="&quot;$&quot;#,##0.00">
                  <c:v>12161</c:v>
                </c:pt>
                <c:pt idx="7" formatCode="&quot;$&quot;#,##0.00">
                  <c:v>11151</c:v>
                </c:pt>
                <c:pt idx="8" formatCode="&quot;$&quot;#,##0.00">
                  <c:v>11151</c:v>
                </c:pt>
                <c:pt idx="9" formatCode="&quot;$&quot;#,##0.00">
                  <c:v>11151</c:v>
                </c:pt>
                <c:pt idx="10" formatCode="&quot;$&quot;#,##0.00">
                  <c:v>12001</c:v>
                </c:pt>
                <c:pt idx="11" formatCode="&quot;$&quot;#,##0.00">
                  <c:v>12543</c:v>
                </c:pt>
                <c:pt idx="12" formatCode="&quot;$&quot;#,##0.00">
                  <c:v>11151</c:v>
                </c:pt>
                <c:pt idx="13" formatCode="&quot;$&quot;#,##0.00">
                  <c:v>9851</c:v>
                </c:pt>
                <c:pt idx="14" formatCode="&quot;$&quot;#,##0.00">
                  <c:v>12001</c:v>
                </c:pt>
                <c:pt idx="15" formatCode="&quot;$&quot;#,##0.00">
                  <c:v>12161</c:v>
                </c:pt>
                <c:pt idx="16" formatCode="&quot;$&quot;#,##0.00">
                  <c:v>11151</c:v>
                </c:pt>
                <c:pt idx="17" formatCode="&quot;$&quot;#,##0.00">
                  <c:v>12151</c:v>
                </c:pt>
                <c:pt idx="18" formatCode="&quot;$&quot;#,##0.00">
                  <c:v>12151</c:v>
                </c:pt>
                <c:pt idx="19" formatCode="&quot;$&quot;#,##0.00">
                  <c:v>9851</c:v>
                </c:pt>
                <c:pt idx="20" formatCode="&quot;$&quot;#,##0.00">
                  <c:v>11001</c:v>
                </c:pt>
                <c:pt idx="21" formatCode="&quot;$&quot;#,##0.00">
                  <c:v>12151</c:v>
                </c:pt>
                <c:pt idx="22" formatCode="&quot;$&quot;#,##0.00">
                  <c:v>9851</c:v>
                </c:pt>
                <c:pt idx="23" formatCode="&quot;$&quot;#,##0.00">
                  <c:v>12001</c:v>
                </c:pt>
                <c:pt idx="25">
                  <c:v>12001</c:v>
                </c:pt>
                <c:pt idx="26" formatCode="&quot;$&quot;#,##0.00">
                  <c:v>12001</c:v>
                </c:pt>
                <c:pt idx="27" formatCode="&quot;$&quot;#,##0.00">
                  <c:v>12161</c:v>
                </c:pt>
                <c:pt idx="28" formatCode="&quot;$&quot;#,##0.00">
                  <c:v>12161</c:v>
                </c:pt>
                <c:pt idx="29">
                  <c:v>11151</c:v>
                </c:pt>
                <c:pt idx="30" formatCode="&quot;$&quot;#,##0.00">
                  <c:v>12001</c:v>
                </c:pt>
                <c:pt idx="31" formatCode="&quot;$&quot;#,##0.00">
                  <c:v>11151</c:v>
                </c:pt>
                <c:pt idx="32" formatCode="&quot;$&quot;#,##0.00">
                  <c:v>11151</c:v>
                </c:pt>
                <c:pt idx="33" formatCode="&quot;$&quot;#,##0.00">
                  <c:v>10101</c:v>
                </c:pt>
                <c:pt idx="34" formatCode="&quot;$&quot;#,##0.00">
                  <c:v>10101</c:v>
                </c:pt>
                <c:pt idx="35">
                  <c:v>12161</c:v>
                </c:pt>
                <c:pt idx="36" formatCode="&quot;$&quot;#,##0.00">
                  <c:v>12001</c:v>
                </c:pt>
                <c:pt idx="37">
                  <c:v>12161</c:v>
                </c:pt>
                <c:pt idx="38" formatCode="&quot;$&quot;#,##0.00">
                  <c:v>12151</c:v>
                </c:pt>
                <c:pt idx="39" formatCode="&quot;$&quot;#,##0.00">
                  <c:v>11151</c:v>
                </c:pt>
                <c:pt idx="40" formatCode="&quot;$&quot;#,##0.00">
                  <c:v>11151</c:v>
                </c:pt>
                <c:pt idx="41" formatCode="&quot;$&quot;#,##0.00">
                  <c:v>12001</c:v>
                </c:pt>
                <c:pt idx="42" formatCode="&quot;$&quot;#,##0.00">
                  <c:v>12151</c:v>
                </c:pt>
                <c:pt idx="43" formatCode="&quot;$&quot;#,##0.00">
                  <c:v>11151</c:v>
                </c:pt>
                <c:pt idx="44" formatCode="&quot;$&quot;#,##0.00">
                  <c:v>12161</c:v>
                </c:pt>
                <c:pt idx="45" formatCode="&quot;$&quot;#,##0.00">
                  <c:v>16951</c:v>
                </c:pt>
                <c:pt idx="46" formatCode="&quot;$&quot;#,##0.00">
                  <c:v>11424</c:v>
                </c:pt>
                <c:pt idx="47" formatCode="&quot;$&quot;#,##0.00">
                  <c:v>12424</c:v>
                </c:pt>
                <c:pt idx="48" formatCode="&quot;$&quot;#,##0.00">
                  <c:v>10124</c:v>
                </c:pt>
                <c:pt idx="49" formatCode="&quot;$&quot;#,##0.00">
                  <c:v>12424</c:v>
                </c:pt>
                <c:pt idx="50" formatCode="&quot;$&quot;#,##0.00">
                  <c:v>10124</c:v>
                </c:pt>
                <c:pt idx="51" formatCode="&quot;$&quot;#,##0.00">
                  <c:v>10124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0">
                  <c:v>37120</c:v>
                </c:pt>
                <c:pt idx="1">
                  <c:v>37120</c:v>
                </c:pt>
                <c:pt idx="2">
                  <c:v>37120</c:v>
                </c:pt>
                <c:pt idx="3">
                  <c:v>37120</c:v>
                </c:pt>
                <c:pt idx="4">
                  <c:v>37120</c:v>
                </c:pt>
                <c:pt idx="5">
                  <c:v>37120</c:v>
                </c:pt>
                <c:pt idx="7">
                  <c:v>27840</c:v>
                </c:pt>
                <c:pt idx="8">
                  <c:v>37120</c:v>
                </c:pt>
                <c:pt idx="9">
                  <c:v>37120</c:v>
                </c:pt>
                <c:pt idx="10">
                  <c:v>37120</c:v>
                </c:pt>
                <c:pt idx="11">
                  <c:v>37120</c:v>
                </c:pt>
                <c:pt idx="12">
                  <c:v>37120</c:v>
                </c:pt>
                <c:pt idx="13">
                  <c:v>37120</c:v>
                </c:pt>
                <c:pt idx="14">
                  <c:v>37120</c:v>
                </c:pt>
                <c:pt idx="15">
                  <c:v>27840</c:v>
                </c:pt>
                <c:pt idx="16">
                  <c:v>37120</c:v>
                </c:pt>
                <c:pt idx="17">
                  <c:v>37120</c:v>
                </c:pt>
                <c:pt idx="18">
                  <c:v>37120</c:v>
                </c:pt>
                <c:pt idx="19">
                  <c:v>37120</c:v>
                </c:pt>
                <c:pt idx="20">
                  <c:v>37120</c:v>
                </c:pt>
                <c:pt idx="21">
                  <c:v>37120</c:v>
                </c:pt>
                <c:pt idx="22">
                  <c:v>37120</c:v>
                </c:pt>
                <c:pt idx="23">
                  <c:v>37120</c:v>
                </c:pt>
                <c:pt idx="24">
                  <c:v>27840</c:v>
                </c:pt>
                <c:pt idx="25">
                  <c:v>37120</c:v>
                </c:pt>
                <c:pt idx="26">
                  <c:v>27840</c:v>
                </c:pt>
                <c:pt idx="27">
                  <c:v>37120</c:v>
                </c:pt>
                <c:pt idx="28">
                  <c:v>37120</c:v>
                </c:pt>
                <c:pt idx="29">
                  <c:v>37120</c:v>
                </c:pt>
                <c:pt idx="30">
                  <c:v>37120</c:v>
                </c:pt>
                <c:pt idx="31">
                  <c:v>37120</c:v>
                </c:pt>
                <c:pt idx="32">
                  <c:v>37120</c:v>
                </c:pt>
                <c:pt idx="33">
                  <c:v>37120</c:v>
                </c:pt>
                <c:pt idx="34">
                  <c:v>37120</c:v>
                </c:pt>
                <c:pt idx="35">
                  <c:v>37120</c:v>
                </c:pt>
                <c:pt idx="36">
                  <c:v>37120</c:v>
                </c:pt>
                <c:pt idx="37">
                  <c:v>27840</c:v>
                </c:pt>
                <c:pt idx="38">
                  <c:v>27840</c:v>
                </c:pt>
                <c:pt idx="39">
                  <c:v>37120</c:v>
                </c:pt>
                <c:pt idx="40">
                  <c:v>27840</c:v>
                </c:pt>
                <c:pt idx="41">
                  <c:v>37120</c:v>
                </c:pt>
                <c:pt idx="42">
                  <c:v>37120</c:v>
                </c:pt>
                <c:pt idx="43" formatCode="[$$-80A]#,##0.00">
                  <c:v>37120</c:v>
                </c:pt>
                <c:pt idx="44" formatCode="[$$-80A]#,##0.00">
                  <c:v>37120</c:v>
                </c:pt>
                <c:pt idx="45" formatCode="[$$-80A]#,##0.00">
                  <c:v>37120</c:v>
                </c:pt>
                <c:pt idx="46" formatCode="[$$-80A]#,##0.00">
                  <c:v>37120</c:v>
                </c:pt>
                <c:pt idx="47" formatCode="[$$-80A]#,##0.00">
                  <c:v>37120</c:v>
                </c:pt>
                <c:pt idx="48" formatCode="[$$-80A]#,##0.00">
                  <c:v>37120</c:v>
                </c:pt>
                <c:pt idx="49" formatCode="[$$-80A]#,##0.00">
                  <c:v>37120</c:v>
                </c:pt>
                <c:pt idx="50" formatCode="[$$-80A]#,##0.00">
                  <c:v>27840</c:v>
                </c:pt>
                <c:pt idx="51" formatCode="[$$-80A]#,##0.00">
                  <c:v>37120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[$-C0A]d\-mmm\-yy;@">
                  <c:v>0</c:v>
                </c:pt>
                <c:pt idx="5" formatCode="[$-C0A]d\-mmm\-yy;@">
                  <c:v>0</c:v>
                </c:pt>
                <c:pt idx="7" formatCode="[$-C0A]d\-mmm\-yy;@">
                  <c:v>0</c:v>
                </c:pt>
                <c:pt idx="8" formatCode="[$-C0A]d\-mmm\-yy;@">
                  <c:v>0</c:v>
                </c:pt>
                <c:pt idx="9" formatCode="[$-C0A]d\-mmm\-yy;@">
                  <c:v>0</c:v>
                </c:pt>
                <c:pt idx="10" formatCode="[$-C0A]d\-mmm\-yy;@">
                  <c:v>0</c:v>
                </c:pt>
                <c:pt idx="11" formatCode="[$-C0A]d\-mmm\-yy;@">
                  <c:v>0</c:v>
                </c:pt>
                <c:pt idx="12" formatCode="[$-C0A]d\-mmm\-yy;@">
                  <c:v>0</c:v>
                </c:pt>
                <c:pt idx="13" formatCode="[$-C0A]d\-mmm\-yy;@">
                  <c:v>0</c:v>
                </c:pt>
                <c:pt idx="14" formatCode="[$-C0A]d\-mmm\-yy;@">
                  <c:v>0</c:v>
                </c:pt>
                <c:pt idx="15" formatCode="[$-C0A]d\-mmm\-yy;@">
                  <c:v>0</c:v>
                </c:pt>
                <c:pt idx="16" formatCode="[$-C0A]d\-mmm\-yy;@">
                  <c:v>0</c:v>
                </c:pt>
                <c:pt idx="17" formatCode="[$-C0A]d\-mmm\-yy;@">
                  <c:v>0</c:v>
                </c:pt>
                <c:pt idx="18" formatCode="[$-C0A]d\-mmm\-yy;@">
                  <c:v>0</c:v>
                </c:pt>
                <c:pt idx="19" formatCode="[$-C0A]d\-mmm\-yy;@">
                  <c:v>0</c:v>
                </c:pt>
                <c:pt idx="20" formatCode="[$-C0A]d\-mmm\-yy;@">
                  <c:v>0</c:v>
                </c:pt>
                <c:pt idx="21" formatCode="[$-C0A]d\-mmm\-yy;@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 formatCode="[$-C0A]d\-mmm\-yy;@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 formatCode="[$-C0A]d\-mmm\-yy;@">
                  <c:v>0</c:v>
                </c:pt>
                <c:pt idx="41" formatCode="[$-C0A]d\-mmm\-yy;@">
                  <c:v>0</c:v>
                </c:pt>
                <c:pt idx="42" formatCode="[$-C0A]d\-mmm\-yy;@">
                  <c:v>0</c:v>
                </c:pt>
                <c:pt idx="43" formatCode="[$-C0A]d\-mmm\-yy;@">
                  <c:v>0</c:v>
                </c:pt>
                <c:pt idx="44" formatCode="[$-C0A]d\-mmm\-yy;@">
                  <c:v>0</c:v>
                </c:pt>
                <c:pt idx="45" formatCode="[$-C0A]d\-mmm\-yy;@">
                  <c:v>0</c:v>
                </c:pt>
                <c:pt idx="46" formatCode="[$-C0A]d\-mmm\-yy;@">
                  <c:v>0</c:v>
                </c:pt>
                <c:pt idx="47" formatCode="[$-C0A]d\-mmm\-yy;@">
                  <c:v>0</c:v>
                </c:pt>
                <c:pt idx="48" formatCode="[$-C0A]d\-mmm\-yy;@">
                  <c:v>0</c:v>
                </c:pt>
                <c:pt idx="49" formatCode="[$-C0A]d\-mmm\-yy;@">
                  <c:v>0</c:v>
                </c:pt>
                <c:pt idx="50" formatCode="[$-C0A]d\-mmm\-yy;@">
                  <c:v>0</c:v>
                </c:pt>
                <c:pt idx="51" formatCode="[$-C0A]d\-mmm\-yy;@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0">
                  <c:v>2111044</c:v>
                </c:pt>
                <c:pt idx="1">
                  <c:v>2111045</c:v>
                </c:pt>
                <c:pt idx="2">
                  <c:v>1211480</c:v>
                </c:pt>
                <c:pt idx="3">
                  <c:v>2111540</c:v>
                </c:pt>
                <c:pt idx="4" formatCode="General">
                  <c:v>2111874</c:v>
                </c:pt>
                <c:pt idx="5">
                  <c:v>1213583</c:v>
                </c:pt>
                <c:pt idx="6">
                  <c:v>0</c:v>
                </c:pt>
                <c:pt idx="7">
                  <c:v>2111873</c:v>
                </c:pt>
                <c:pt idx="8">
                  <c:v>2113851</c:v>
                </c:pt>
                <c:pt idx="9">
                  <c:v>1219005</c:v>
                </c:pt>
                <c:pt idx="10">
                  <c:v>2113852</c:v>
                </c:pt>
                <c:pt idx="11">
                  <c:v>1220853</c:v>
                </c:pt>
                <c:pt idx="12">
                  <c:v>2114514</c:v>
                </c:pt>
                <c:pt idx="13">
                  <c:v>2114320</c:v>
                </c:pt>
                <c:pt idx="14">
                  <c:v>2114513</c:v>
                </c:pt>
                <c:pt idx="15">
                  <c:v>2114512</c:v>
                </c:pt>
                <c:pt idx="16">
                  <c:v>1220782</c:v>
                </c:pt>
                <c:pt idx="17">
                  <c:v>2116427</c:v>
                </c:pt>
                <c:pt idx="18">
                  <c:v>2116428</c:v>
                </c:pt>
                <c:pt idx="19">
                  <c:v>2116429</c:v>
                </c:pt>
                <c:pt idx="20">
                  <c:v>1231770</c:v>
                </c:pt>
                <c:pt idx="21">
                  <c:v>1231769</c:v>
                </c:pt>
                <c:pt idx="22">
                  <c:v>1233100</c:v>
                </c:pt>
                <c:pt idx="23">
                  <c:v>2116430</c:v>
                </c:pt>
                <c:pt idx="24">
                  <c:v>2116432</c:v>
                </c:pt>
                <c:pt idx="25">
                  <c:v>2117525</c:v>
                </c:pt>
                <c:pt idx="26">
                  <c:v>2116431</c:v>
                </c:pt>
                <c:pt idx="27">
                  <c:v>2117526</c:v>
                </c:pt>
                <c:pt idx="28">
                  <c:v>2118200</c:v>
                </c:pt>
                <c:pt idx="29">
                  <c:v>1238364</c:v>
                </c:pt>
                <c:pt idx="30">
                  <c:v>2118754</c:v>
                </c:pt>
                <c:pt idx="31">
                  <c:v>1239758</c:v>
                </c:pt>
                <c:pt idx="32">
                  <c:v>2118201</c:v>
                </c:pt>
                <c:pt idx="33">
                  <c:v>2118756</c:v>
                </c:pt>
                <c:pt idx="34">
                  <c:v>1243711</c:v>
                </c:pt>
                <c:pt idx="35">
                  <c:v>2120376</c:v>
                </c:pt>
                <c:pt idx="36">
                  <c:v>2120377</c:v>
                </c:pt>
                <c:pt idx="37">
                  <c:v>2118755</c:v>
                </c:pt>
                <c:pt idx="38">
                  <c:v>2118757</c:v>
                </c:pt>
                <c:pt idx="39">
                  <c:v>2120378</c:v>
                </c:pt>
                <c:pt idx="40">
                  <c:v>2119673</c:v>
                </c:pt>
                <c:pt idx="41">
                  <c:v>2121338</c:v>
                </c:pt>
                <c:pt idx="42">
                  <c:v>2121710</c:v>
                </c:pt>
                <c:pt idx="43">
                  <c:v>1251040</c:v>
                </c:pt>
                <c:pt idx="44">
                  <c:v>2122567</c:v>
                </c:pt>
                <c:pt idx="45">
                  <c:v>2122566</c:v>
                </c:pt>
                <c:pt idx="46">
                  <c:v>2123690</c:v>
                </c:pt>
                <c:pt idx="47">
                  <c:v>2123691</c:v>
                </c:pt>
                <c:pt idx="48">
                  <c:v>1259424</c:v>
                </c:pt>
                <c:pt idx="49">
                  <c:v>1260647</c:v>
                </c:pt>
                <c:pt idx="50">
                  <c:v>2123692</c:v>
                </c:pt>
                <c:pt idx="51">
                  <c:v>2124980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"$"#,##0.00</c:formatCode>
                <c:ptCount val="68"/>
                <c:pt idx="0">
                  <c:v>5278</c:v>
                </c:pt>
                <c:pt idx="1">
                  <c:v>5278</c:v>
                </c:pt>
                <c:pt idx="2" formatCode="[$$-80A]#,##0.00">
                  <c:v>5336</c:v>
                </c:pt>
                <c:pt idx="3" formatCode="[$$-80A]#,##0.00">
                  <c:v>5452</c:v>
                </c:pt>
                <c:pt idx="4" formatCode="[$$-80A]#,##0.00">
                  <c:v>0</c:v>
                </c:pt>
                <c:pt idx="6" formatCode="[$$-80A]#,##0.0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_("$"* #,##0.00_);_("$"* \(#,##0.00\);_("$"* "-"??_);_(@_)</c:formatCode>
                <c:ptCount val="68"/>
                <c:pt idx="0">
                  <c:v>847046.91649999993</c:v>
                </c:pt>
                <c:pt idx="1">
                  <c:v>850774.50899999996</c:v>
                </c:pt>
                <c:pt idx="2">
                  <c:v>850413.97000000009</c:v>
                </c:pt>
                <c:pt idx="3">
                  <c:v>884617.34939999995</c:v>
                </c:pt>
                <c:pt idx="4">
                  <c:v>793412.81715000002</c:v>
                </c:pt>
                <c:pt idx="5">
                  <c:v>850350.26725000003</c:v>
                </c:pt>
                <c:pt idx="6">
                  <c:v>65134</c:v>
                </c:pt>
                <c:pt idx="7">
                  <c:v>794491.92920000001</c:v>
                </c:pt>
                <c:pt idx="8">
                  <c:v>833761.16310000001</c:v>
                </c:pt>
                <c:pt idx="9">
                  <c:v>836224.66890000005</c:v>
                </c:pt>
                <c:pt idx="10">
                  <c:v>788344.84005</c:v>
                </c:pt>
                <c:pt idx="11">
                  <c:v>826074.83279999986</c:v>
                </c:pt>
                <c:pt idx="12">
                  <c:v>805306.98600000003</c:v>
                </c:pt>
                <c:pt idx="13">
                  <c:v>799493.54925000004</c:v>
                </c:pt>
                <c:pt idx="14">
                  <c:v>788777.28584999999</c:v>
                </c:pt>
                <c:pt idx="15">
                  <c:v>789005.57014999993</c:v>
                </c:pt>
                <c:pt idx="16">
                  <c:v>812663.42759999994</c:v>
                </c:pt>
                <c:pt idx="17">
                  <c:v>841017.17279999994</c:v>
                </c:pt>
                <c:pt idx="18">
                  <c:v>838960.46219999995</c:v>
                </c:pt>
                <c:pt idx="19">
                  <c:v>850272.73589999997</c:v>
                </c:pt>
                <c:pt idx="20">
                  <c:v>833286.97724999988</c:v>
                </c:pt>
                <c:pt idx="21">
                  <c:v>816851.8848</c:v>
                </c:pt>
                <c:pt idx="22">
                  <c:v>861246.19410000008</c:v>
                </c:pt>
                <c:pt idx="23">
                  <c:v>848867.31720000005</c:v>
                </c:pt>
                <c:pt idx="24">
                  <c:v>870557.3173</c:v>
                </c:pt>
                <c:pt idx="25">
                  <c:v>838467.46959999995</c:v>
                </c:pt>
                <c:pt idx="26">
                  <c:v>867418.92820000008</c:v>
                </c:pt>
                <c:pt idx="27">
                  <c:v>840271.73719999997</c:v>
                </c:pt>
                <c:pt idx="28">
                  <c:v>818413.27959999989</c:v>
                </c:pt>
                <c:pt idx="29">
                  <c:v>814275.09090000007</c:v>
                </c:pt>
                <c:pt idx="30">
                  <c:v>817046.52959999989</c:v>
                </c:pt>
                <c:pt idx="31">
                  <c:v>799647.46050000004</c:v>
                </c:pt>
                <c:pt idx="32">
                  <c:v>793797.53579999995</c:v>
                </c:pt>
                <c:pt idx="33">
                  <c:v>807748.14060000004</c:v>
                </c:pt>
                <c:pt idx="34">
                  <c:v>774300.07059999998</c:v>
                </c:pt>
                <c:pt idx="35">
                  <c:v>795183.43039999995</c:v>
                </c:pt>
                <c:pt idx="36">
                  <c:v>800140.25600000005</c:v>
                </c:pt>
                <c:pt idx="37">
                  <c:v>816650.3232000001</c:v>
                </c:pt>
                <c:pt idx="38">
                  <c:v>812846.21274999995</c:v>
                </c:pt>
                <c:pt idx="39">
                  <c:v>780650.80949999997</c:v>
                </c:pt>
                <c:pt idx="40">
                  <c:v>821563.26524999994</c:v>
                </c:pt>
                <c:pt idx="41">
                  <c:v>812356.22025000001</c:v>
                </c:pt>
                <c:pt idx="42">
                  <c:v>827677.80314999993</c:v>
                </c:pt>
                <c:pt idx="43">
                  <c:v>795529.19015000004</c:v>
                </c:pt>
                <c:pt idx="44">
                  <c:v>756970.3459999999</c:v>
                </c:pt>
                <c:pt idx="45">
                  <c:v>778548.10589999997</c:v>
                </c:pt>
                <c:pt idx="46">
                  <c:v>771661.61730000004</c:v>
                </c:pt>
                <c:pt idx="47">
                  <c:v>777216.13270000007</c:v>
                </c:pt>
                <c:pt idx="48">
                  <c:v>756451.21054999996</c:v>
                </c:pt>
                <c:pt idx="49">
                  <c:v>758175.73919999995</c:v>
                </c:pt>
                <c:pt idx="50">
                  <c:v>786000.76489999995</c:v>
                </c:pt>
                <c:pt idx="51">
                  <c:v>761305.67599999998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[$$-80A]#,##0.00">
                  <c:v>0</c:v>
                </c:pt>
                <c:pt idx="11" formatCode="[$$-80A]#,##0.00">
                  <c:v>0</c:v>
                </c:pt>
                <c:pt idx="12">
                  <c:v>0</c:v>
                </c:pt>
                <c:pt idx="13">
                  <c:v>0</c:v>
                </c:pt>
                <c:pt idx="14" formatCode="[$$-80A]#,##0.00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847046.91649999993</c:v>
                </c:pt>
                <c:pt idx="1">
                  <c:v>905323.50899999996</c:v>
                </c:pt>
                <c:pt idx="2">
                  <c:v>905030.97000000009</c:v>
                </c:pt>
                <c:pt idx="3">
                  <c:v>937040.34939999995</c:v>
                </c:pt>
                <c:pt idx="4">
                  <c:v>842683.81715000002</c:v>
                </c:pt>
                <c:pt idx="5">
                  <c:v>899631.26725000003</c:v>
                </c:pt>
                <c:pt idx="6">
                  <c:v>65134</c:v>
                </c:pt>
                <c:pt idx="7">
                  <c:v>833482.92920000001</c:v>
                </c:pt>
                <c:pt idx="8">
                  <c:v>882032.16310000001</c:v>
                </c:pt>
                <c:pt idx="9">
                  <c:v>884495.66890000005</c:v>
                </c:pt>
                <c:pt idx="10">
                  <c:v>837465.84005</c:v>
                </c:pt>
                <c:pt idx="11">
                  <c:v>875737.83279999986</c:v>
                </c:pt>
                <c:pt idx="12">
                  <c:v>853577.98600000003</c:v>
                </c:pt>
                <c:pt idx="13">
                  <c:v>846464.54925000004</c:v>
                </c:pt>
                <c:pt idx="14">
                  <c:v>837898.28584999999</c:v>
                </c:pt>
                <c:pt idx="15">
                  <c:v>829006.57014999993</c:v>
                </c:pt>
                <c:pt idx="16">
                  <c:v>860934.42759999994</c:v>
                </c:pt>
                <c:pt idx="17">
                  <c:v>890288.17279999994</c:v>
                </c:pt>
                <c:pt idx="18">
                  <c:v>888231.46219999995</c:v>
                </c:pt>
                <c:pt idx="19">
                  <c:v>897243.73589999997</c:v>
                </c:pt>
                <c:pt idx="20">
                  <c:v>881407.97724999988</c:v>
                </c:pt>
                <c:pt idx="21">
                  <c:v>866122.8848</c:v>
                </c:pt>
                <c:pt idx="22">
                  <c:v>908217.19410000008</c:v>
                </c:pt>
                <c:pt idx="23">
                  <c:v>897988.31720000005</c:v>
                </c:pt>
                <c:pt idx="24">
                  <c:v>898397.3173</c:v>
                </c:pt>
                <c:pt idx="25">
                  <c:v>887588.46959999995</c:v>
                </c:pt>
                <c:pt idx="26">
                  <c:v>907259.92820000008</c:v>
                </c:pt>
                <c:pt idx="27">
                  <c:v>889552.73719999997</c:v>
                </c:pt>
                <c:pt idx="28">
                  <c:v>867694.27959999989</c:v>
                </c:pt>
                <c:pt idx="29">
                  <c:v>862546.09090000007</c:v>
                </c:pt>
                <c:pt idx="30">
                  <c:v>866167.52959999989</c:v>
                </c:pt>
                <c:pt idx="31">
                  <c:v>847918.46050000004</c:v>
                </c:pt>
                <c:pt idx="32">
                  <c:v>842068.53579999995</c:v>
                </c:pt>
                <c:pt idx="33">
                  <c:v>854969.14060000004</c:v>
                </c:pt>
                <c:pt idx="34">
                  <c:v>821521.07059999998</c:v>
                </c:pt>
                <c:pt idx="35">
                  <c:v>844464.43039999995</c:v>
                </c:pt>
                <c:pt idx="36">
                  <c:v>849261.25600000005</c:v>
                </c:pt>
                <c:pt idx="37">
                  <c:v>856651.3232000001</c:v>
                </c:pt>
                <c:pt idx="38">
                  <c:v>852837.21274999995</c:v>
                </c:pt>
                <c:pt idx="39">
                  <c:v>828921.80949999997</c:v>
                </c:pt>
                <c:pt idx="40">
                  <c:v>860554.26524999994</c:v>
                </c:pt>
                <c:pt idx="41">
                  <c:v>861477.22025000001</c:v>
                </c:pt>
                <c:pt idx="42">
                  <c:v>876948.80314999993</c:v>
                </c:pt>
                <c:pt idx="43">
                  <c:v>843800.19015000004</c:v>
                </c:pt>
                <c:pt idx="44">
                  <c:v>806251.3459999999</c:v>
                </c:pt>
                <c:pt idx="45">
                  <c:v>832619.10589999997</c:v>
                </c:pt>
                <c:pt idx="46">
                  <c:v>820205.61730000004</c:v>
                </c:pt>
                <c:pt idx="47">
                  <c:v>826760.13270000007</c:v>
                </c:pt>
                <c:pt idx="48">
                  <c:v>803695.21054999996</c:v>
                </c:pt>
                <c:pt idx="49">
                  <c:v>807719.73919999995</c:v>
                </c:pt>
                <c:pt idx="50">
                  <c:v>823964.76489999995</c:v>
                </c:pt>
                <c:pt idx="51">
                  <c:v>808549.67599999998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45.152717355380709</c:v>
                </c:pt>
                <c:pt idx="1">
                  <c:v>48.147399149785322</c:v>
                </c:pt>
                <c:pt idx="2">
                  <c:v>47.895310516298437</c:v>
                </c:pt>
                <c:pt idx="3">
                  <c:v>48.981070715396093</c:v>
                </c:pt>
                <c:pt idx="4">
                  <c:v>46.896009304404814</c:v>
                </c:pt>
                <c:pt idx="5">
                  <c:v>49.122727382949776</c:v>
                </c:pt>
                <c:pt idx="6">
                  <c:v>58.1</c:v>
                </c:pt>
                <c:pt idx="7">
                  <c:v>46.322433961845611</c:v>
                </c:pt>
                <c:pt idx="8">
                  <c:v>46.326647123256087</c:v>
                </c:pt>
                <c:pt idx="9">
                  <c:v>47.52192200463017</c:v>
                </c:pt>
                <c:pt idx="10">
                  <c:v>44.649135847159641</c:v>
                </c:pt>
                <c:pt idx="11">
                  <c:v>47.845442396361094</c:v>
                </c:pt>
                <c:pt idx="12">
                  <c:v>45.331541335255125</c:v>
                </c:pt>
                <c:pt idx="13">
                  <c:v>44.220015076490064</c:v>
                </c:pt>
                <c:pt idx="14">
                  <c:v>44.619328720578075</c:v>
                </c:pt>
                <c:pt idx="15">
                  <c:v>44.133557136938492</c:v>
                </c:pt>
                <c:pt idx="16">
                  <c:v>45.509945778188481</c:v>
                </c:pt>
                <c:pt idx="17">
                  <c:v>47.161867529364493</c:v>
                </c:pt>
                <c:pt idx="18">
                  <c:v>47.164355508220872</c:v>
                </c:pt>
                <c:pt idx="19">
                  <c:v>47.177908561444376</c:v>
                </c:pt>
                <c:pt idx="20">
                  <c:v>47.440490590531553</c:v>
                </c:pt>
                <c:pt idx="21">
                  <c:v>47.591316507196709</c:v>
                </c:pt>
                <c:pt idx="22">
                  <c:v>48.448000750598887</c:v>
                </c:pt>
                <c:pt idx="23">
                  <c:v>47.07992169213626</c:v>
                </c:pt>
                <c:pt idx="24">
                  <c:v>47.074531889862591</c:v>
                </c:pt>
                <c:pt idx="25">
                  <c:v>46.770477206044731</c:v>
                </c:pt>
                <c:pt idx="26">
                  <c:v>47.709947901197005</c:v>
                </c:pt>
                <c:pt idx="27">
                  <c:v>46.985438557099862</c:v>
                </c:pt>
                <c:pt idx="28">
                  <c:v>45.73329456993347</c:v>
                </c:pt>
                <c:pt idx="29">
                  <c:v>46.08901712459506</c:v>
                </c:pt>
                <c:pt idx="30">
                  <c:v>45.731234470732637</c:v>
                </c:pt>
                <c:pt idx="31">
                  <c:v>45.374740005627849</c:v>
                </c:pt>
                <c:pt idx="32">
                  <c:v>45.163176203013954</c:v>
                </c:pt>
                <c:pt idx="33">
                  <c:v>45.064534092761768</c:v>
                </c:pt>
                <c:pt idx="34">
                  <c:v>44.770195092005189</c:v>
                </c:pt>
                <c:pt idx="35">
                  <c:v>44.395358385262583</c:v>
                </c:pt>
                <c:pt idx="36">
                  <c:v>44.37086351149177</c:v>
                </c:pt>
                <c:pt idx="37">
                  <c:v>44.661322673103044</c:v>
                </c:pt>
                <c:pt idx="38">
                  <c:v>44.906931571011263</c:v>
                </c:pt>
                <c:pt idx="39">
                  <c:v>43.178104462564249</c:v>
                </c:pt>
                <c:pt idx="40">
                  <c:v>44.832002560037424</c:v>
                </c:pt>
                <c:pt idx="41">
                  <c:v>45.731821197455147</c:v>
                </c:pt>
                <c:pt idx="42">
                  <c:v>45.691070654688566</c:v>
                </c:pt>
                <c:pt idx="43">
                  <c:v>44.899372332138221</c:v>
                </c:pt>
                <c:pt idx="44">
                  <c:v>44.989696107316632</c:v>
                </c:pt>
                <c:pt idx="45">
                  <c:v>46.000038999138134</c:v>
                </c:pt>
                <c:pt idx="46">
                  <c:v>43.677443981745277</c:v>
                </c:pt>
                <c:pt idx="47">
                  <c:v>43.711774552049022</c:v>
                </c:pt>
                <c:pt idx="48">
                  <c:v>42.983226470059705</c:v>
                </c:pt>
                <c:pt idx="49">
                  <c:v>43.611045586655997</c:v>
                </c:pt>
                <c:pt idx="50">
                  <c:v>44.488159914777768</c:v>
                </c:pt>
                <c:pt idx="51">
                  <c:v>42.494411999663633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204"/>
  <sheetViews>
    <sheetView tabSelected="1" zoomScaleNormal="100" workbookViewId="0">
      <pane xSplit="1" ySplit="2" topLeftCell="G45" activePane="bottomRight" state="frozen"/>
      <selection pane="topRight" activeCell="B1" sqref="B1"/>
      <selection pane="bottomLeft" activeCell="A3" sqref="A3"/>
      <selection pane="bottomRight" activeCell="N55" sqref="N55"/>
    </sheetView>
  </sheetViews>
  <sheetFormatPr baseColWidth="10" defaultRowHeight="15" x14ac:dyDescent="0.25"/>
  <cols>
    <col min="1" max="1" width="4.7109375" customWidth="1"/>
    <col min="2" max="2" width="34.5703125" style="75" customWidth="1"/>
    <col min="3" max="3" width="21.7109375" style="75" customWidth="1"/>
    <col min="4" max="4" width="15.85546875" style="12" customWidth="1"/>
    <col min="5" max="5" width="11.85546875" style="134" customWidth="1"/>
    <col min="6" max="6" width="14" style="5" customWidth="1"/>
    <col min="7" max="7" width="7.28515625" style="12" customWidth="1"/>
    <col min="8" max="8" width="14.5703125" style="5" customWidth="1"/>
    <col min="9" max="9" width="14.140625" style="75" customWidth="1"/>
    <col min="10" max="10" width="15.140625" style="129" customWidth="1"/>
    <col min="11" max="11" width="14.140625" bestFit="1" customWidth="1"/>
    <col min="12" max="12" width="16.28515625" style="650" customWidth="1"/>
    <col min="13" max="13" width="14.140625" bestFit="1" customWidth="1"/>
    <col min="14" max="14" width="16" style="918" customWidth="1"/>
    <col min="15" max="15" width="16.28515625" style="334" customWidth="1"/>
    <col min="16" max="16" width="14.140625" style="95" bestFit="1" customWidth="1"/>
    <col min="17" max="17" width="20.85546875" style="393" bestFit="1" customWidth="1"/>
    <col min="18" max="18" width="15.42578125" style="479" customWidth="1"/>
    <col min="19" max="19" width="14.140625" bestFit="1" customWidth="1"/>
    <col min="20" max="20" width="11" bestFit="1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505" t="s">
        <v>319</v>
      </c>
      <c r="C1" s="506"/>
      <c r="D1" s="507"/>
      <c r="E1" s="508"/>
      <c r="F1" s="509"/>
      <c r="G1" s="510"/>
      <c r="H1" s="509"/>
      <c r="I1" s="511"/>
      <c r="J1" s="512"/>
      <c r="K1" s="1323" t="s">
        <v>26</v>
      </c>
      <c r="L1" s="643"/>
      <c r="M1" s="1325" t="s">
        <v>27</v>
      </c>
      <c r="N1" s="911"/>
      <c r="P1" s="97" t="s">
        <v>38</v>
      </c>
      <c r="Q1" s="1321" t="s">
        <v>28</v>
      </c>
      <c r="R1" s="651"/>
    </row>
    <row r="2" spans="1:29" ht="24.75" customHeight="1" thickTop="1" thickBot="1" x14ac:dyDescent="0.3">
      <c r="A2" s="34"/>
      <c r="B2" s="375" t="s">
        <v>0</v>
      </c>
      <c r="C2" s="271" t="s">
        <v>10</v>
      </c>
      <c r="D2" s="25"/>
      <c r="E2" s="450" t="s">
        <v>25</v>
      </c>
      <c r="F2" s="54" t="s">
        <v>3</v>
      </c>
      <c r="G2" s="67" t="s">
        <v>8</v>
      </c>
      <c r="H2" s="367" t="s">
        <v>5</v>
      </c>
      <c r="I2" s="270" t="s">
        <v>6</v>
      </c>
      <c r="K2" s="1324"/>
      <c r="L2" s="644" t="s">
        <v>29</v>
      </c>
      <c r="M2" s="1326"/>
      <c r="N2" s="912" t="s">
        <v>29</v>
      </c>
      <c r="O2" s="386" t="s">
        <v>30</v>
      </c>
      <c r="P2" s="98" t="s">
        <v>39</v>
      </c>
      <c r="Q2" s="1322"/>
      <c r="R2" s="664" t="s">
        <v>29</v>
      </c>
    </row>
    <row r="3" spans="1:29" s="152" customFormat="1" ht="16.5" thickTop="1" thickBot="1" x14ac:dyDescent="0.3">
      <c r="A3" s="100"/>
      <c r="B3" s="75">
        <f>PIERNA!B3</f>
        <v>0</v>
      </c>
      <c r="C3" s="75">
        <f>PIERNA!C3</f>
        <v>0</v>
      </c>
      <c r="D3" s="128">
        <f>PIERNA!D3</f>
        <v>0</v>
      </c>
      <c r="E3" s="451">
        <f>PIERNA!E3</f>
        <v>0</v>
      </c>
      <c r="F3" s="445">
        <f>PIERNA!F3</f>
        <v>0</v>
      </c>
      <c r="G3" s="100">
        <f>PIERNA!G3</f>
        <v>0</v>
      </c>
      <c r="H3" s="368">
        <f>PIERNA!H3</f>
        <v>0</v>
      </c>
      <c r="I3" s="105">
        <f>PIERNA!I3</f>
        <v>0</v>
      </c>
      <c r="J3" s="299"/>
      <c r="K3" s="108"/>
      <c r="L3" s="645"/>
      <c r="M3" s="354"/>
      <c r="N3" s="911"/>
      <c r="O3" s="127"/>
      <c r="P3" s="116"/>
      <c r="Q3" s="243"/>
      <c r="R3" s="652"/>
      <c r="S3" s="65">
        <f t="shared" ref="S3:S31" si="0">Q3+M3+K3+P3</f>
        <v>0</v>
      </c>
      <c r="T3" s="65" t="e">
        <f>S3/H3</f>
        <v>#DIV/0!</v>
      </c>
    </row>
    <row r="4" spans="1:29" s="152" customFormat="1" ht="35.25" customHeight="1" x14ac:dyDescent="0.25">
      <c r="A4" s="100">
        <v>1</v>
      </c>
      <c r="B4" s="593" t="str">
        <f>PIERNA!B4</f>
        <v>SEABOARD FOODS</v>
      </c>
      <c r="C4" s="789" t="str">
        <f>PIERNA!C4</f>
        <v>Seaboard</v>
      </c>
      <c r="D4" s="790" t="str">
        <f>PIERNA!D4</f>
        <v>PED. 90393224</v>
      </c>
      <c r="E4" s="791">
        <f>PIERNA!E4</f>
        <v>44895</v>
      </c>
      <c r="F4" s="596">
        <f>PIERNA!F4</f>
        <v>18729.12</v>
      </c>
      <c r="G4" s="376">
        <f>PIERNA!G4</f>
        <v>21</v>
      </c>
      <c r="H4" s="409">
        <f>PIERNA!H4</f>
        <v>18759.599999999999</v>
      </c>
      <c r="I4" s="689">
        <f>PIERNA!I4</f>
        <v>-30.479999999999563</v>
      </c>
      <c r="J4" s="1026" t="s">
        <v>229</v>
      </c>
      <c r="K4" s="974">
        <v>11151</v>
      </c>
      <c r="L4" s="907" t="s">
        <v>232</v>
      </c>
      <c r="M4" s="752">
        <v>37120</v>
      </c>
      <c r="N4" s="766" t="s">
        <v>232</v>
      </c>
      <c r="O4" s="767">
        <v>2111044</v>
      </c>
      <c r="P4" s="1146">
        <v>5278</v>
      </c>
      <c r="Q4" s="901">
        <f>43549.97*19.45</f>
        <v>847046.91649999993</v>
      </c>
      <c r="R4" s="902" t="s">
        <v>562</v>
      </c>
      <c r="S4" s="65">
        <f>Q4</f>
        <v>847046.91649999993</v>
      </c>
      <c r="T4" s="65">
        <f>S4/H4</f>
        <v>45.152717355380709</v>
      </c>
      <c r="U4" s="211"/>
    </row>
    <row r="5" spans="1:29" s="152" customFormat="1" ht="30" customHeight="1" x14ac:dyDescent="0.25">
      <c r="A5" s="100">
        <v>2</v>
      </c>
      <c r="B5" s="597" t="str">
        <f>PIERNA!B5</f>
        <v>SEABOARD FOODS</v>
      </c>
      <c r="C5" s="270" t="str">
        <f>PIERNA!C5</f>
        <v>Seaboard</v>
      </c>
      <c r="D5" s="594" t="str">
        <f>PIERNA!D5</f>
        <v>PED. 90393221</v>
      </c>
      <c r="E5" s="595">
        <f>PIERNA!E5</f>
        <v>44895</v>
      </c>
      <c r="F5" s="596">
        <f>PIERNA!F5</f>
        <v>18857.04</v>
      </c>
      <c r="G5" s="376">
        <f>PIERNA!G5</f>
        <v>21</v>
      </c>
      <c r="H5" s="409">
        <f>PIERNA!H5</f>
        <v>18842.3</v>
      </c>
      <c r="I5" s="689">
        <f>PIERNA!I5</f>
        <v>14.740000000001601</v>
      </c>
      <c r="J5" s="764" t="s">
        <v>230</v>
      </c>
      <c r="K5" s="906">
        <v>12151</v>
      </c>
      <c r="L5" s="907" t="s">
        <v>232</v>
      </c>
      <c r="M5" s="752">
        <v>37120</v>
      </c>
      <c r="N5" s="766" t="s">
        <v>232</v>
      </c>
      <c r="O5" s="767">
        <v>2111045</v>
      </c>
      <c r="P5" s="1146">
        <v>5278</v>
      </c>
      <c r="Q5" s="901">
        <f>43741.62*19.45</f>
        <v>850774.50899999996</v>
      </c>
      <c r="R5" s="902" t="s">
        <v>562</v>
      </c>
      <c r="S5" s="65">
        <f>Q5+M5+K5+P5</f>
        <v>905323.50899999996</v>
      </c>
      <c r="T5" s="65">
        <f>S5/H5+0.1</f>
        <v>48.147399149785322</v>
      </c>
      <c r="U5" s="187"/>
    </row>
    <row r="6" spans="1:29" s="152" customFormat="1" ht="30" customHeight="1" x14ac:dyDescent="0.3">
      <c r="A6" s="100">
        <v>3</v>
      </c>
      <c r="B6" s="598" t="str">
        <f>PIERNA!B6</f>
        <v>TYSON FRESH MEAT</v>
      </c>
      <c r="C6" s="270" t="str">
        <f>PIERNA!C6</f>
        <v xml:space="preserve">I B P </v>
      </c>
      <c r="D6" s="594" t="str">
        <f>PIERNA!D6</f>
        <v>PED. 90429145</v>
      </c>
      <c r="E6" s="595">
        <f>PIERNA!E6</f>
        <v>44896</v>
      </c>
      <c r="F6" s="596">
        <f>PIERNA!F6</f>
        <v>18857.04</v>
      </c>
      <c r="G6" s="376">
        <f>PIERNA!G6</f>
        <v>20</v>
      </c>
      <c r="H6" s="409">
        <f>PIERNA!H6</f>
        <v>18935.560000000001</v>
      </c>
      <c r="I6" s="689">
        <f>PIERNA!I6</f>
        <v>-78.520000000000437</v>
      </c>
      <c r="J6" s="796" t="s">
        <v>353</v>
      </c>
      <c r="K6" s="974">
        <v>12161</v>
      </c>
      <c r="L6" s="1041" t="s">
        <v>232</v>
      </c>
      <c r="M6" s="752">
        <v>37120</v>
      </c>
      <c r="N6" s="766" t="s">
        <v>388</v>
      </c>
      <c r="O6" s="770">
        <v>1211480</v>
      </c>
      <c r="P6" s="1145">
        <v>5336</v>
      </c>
      <c r="Q6" s="1039">
        <f>44062.9*19.3</f>
        <v>850413.97000000009</v>
      </c>
      <c r="R6" s="1040" t="s">
        <v>231</v>
      </c>
      <c r="S6" s="65">
        <f t="shared" si="0"/>
        <v>905030.97000000009</v>
      </c>
      <c r="T6" s="65">
        <f t="shared" ref="T6:T31" si="1">S6/H6+0.1</f>
        <v>47.895310516298437</v>
      </c>
      <c r="U6" s="211"/>
    </row>
    <row r="7" spans="1:29" s="152" customFormat="1" ht="30" customHeight="1" x14ac:dyDescent="0.25">
      <c r="A7" s="100">
        <v>4</v>
      </c>
      <c r="B7" s="599" t="str">
        <f>PIERNA!B7</f>
        <v>SEABOARD FOODS</v>
      </c>
      <c r="C7" s="270" t="str">
        <f>PIERNA!C7</f>
        <v>Seaboard</v>
      </c>
      <c r="D7" s="594" t="str">
        <f>PIERNA!D7</f>
        <v>PED. 90446524</v>
      </c>
      <c r="E7" s="595">
        <f>PIERNA!E7</f>
        <v>44896</v>
      </c>
      <c r="F7" s="596">
        <f>PIERNA!F7</f>
        <v>19184.009999999998</v>
      </c>
      <c r="G7" s="376">
        <f>PIERNA!G7</f>
        <v>21</v>
      </c>
      <c r="H7" s="409">
        <f>PIERNA!H7</f>
        <v>19169.8</v>
      </c>
      <c r="I7" s="689">
        <f>PIERNA!I7</f>
        <v>14.209999999999127</v>
      </c>
      <c r="J7" s="776" t="s">
        <v>351</v>
      </c>
      <c r="K7" s="974">
        <v>9851</v>
      </c>
      <c r="L7" s="1041" t="s">
        <v>232</v>
      </c>
      <c r="M7" s="752">
        <v>37120</v>
      </c>
      <c r="N7" s="766" t="s">
        <v>388</v>
      </c>
      <c r="O7" s="770">
        <v>2111540</v>
      </c>
      <c r="P7" s="1145">
        <v>5452</v>
      </c>
      <c r="Q7" s="903">
        <f>45575.34*19.41</f>
        <v>884617.34939999995</v>
      </c>
      <c r="R7" s="902" t="s">
        <v>367</v>
      </c>
      <c r="S7" s="65">
        <f t="shared" si="0"/>
        <v>937040.34939999995</v>
      </c>
      <c r="T7" s="65">
        <f t="shared" si="1"/>
        <v>48.981070715396093</v>
      </c>
      <c r="U7" s="187"/>
      <c r="W7" s="73"/>
      <c r="X7" s="73"/>
      <c r="Y7" s="170"/>
      <c r="Z7" s="171">
        <v>5.0000000000000001E-3</v>
      </c>
      <c r="AA7" s="170">
        <f t="shared" ref="AA7:AA22" si="2">Y7*Z7</f>
        <v>0</v>
      </c>
      <c r="AB7" s="170">
        <f t="shared" ref="AB7:AB22" si="3">AA7*16%</f>
        <v>0</v>
      </c>
      <c r="AC7" s="170">
        <f t="shared" ref="AC7:AC22" si="4">AA7+AB7</f>
        <v>0</v>
      </c>
    </row>
    <row r="8" spans="1:29" s="152" customFormat="1" ht="28.5" customHeight="1" x14ac:dyDescent="0.25">
      <c r="A8" s="100">
        <v>5</v>
      </c>
      <c r="B8" s="446" t="str">
        <f>PIERNA!B8</f>
        <v>SEABOARD FOODS</v>
      </c>
      <c r="C8" s="446" t="str">
        <f>PIERNA!C8</f>
        <v>Seaboard</v>
      </c>
      <c r="D8" s="594" t="str">
        <f>PIERNA!D8</f>
        <v>PED. 90509378</v>
      </c>
      <c r="E8" s="595">
        <f>PIERNA!E8</f>
        <v>44897</v>
      </c>
      <c r="F8" s="596">
        <f>PIERNA!F8</f>
        <v>18054.09</v>
      </c>
      <c r="G8" s="376">
        <f>PIERNA!G8</f>
        <v>20</v>
      </c>
      <c r="H8" s="409">
        <f>PIERNA!H8</f>
        <v>18007.599999999999</v>
      </c>
      <c r="I8" s="689">
        <f>PIERNA!I8</f>
        <v>46.490000000001601</v>
      </c>
      <c r="J8" s="764" t="s">
        <v>354</v>
      </c>
      <c r="K8" s="751">
        <v>12151</v>
      </c>
      <c r="L8" s="779" t="s">
        <v>387</v>
      </c>
      <c r="M8" s="752">
        <v>37120</v>
      </c>
      <c r="N8" s="772" t="s">
        <v>389</v>
      </c>
      <c r="O8" s="1060">
        <v>2111874</v>
      </c>
      <c r="P8" s="768">
        <v>0</v>
      </c>
      <c r="Q8" s="903">
        <f>40887.03*19.405</f>
        <v>793412.81715000002</v>
      </c>
      <c r="R8" s="905" t="s">
        <v>369</v>
      </c>
      <c r="S8" s="65">
        <f t="shared" si="0"/>
        <v>842683.81715000002</v>
      </c>
      <c r="T8" s="65">
        <f t="shared" si="1"/>
        <v>46.896009304404814</v>
      </c>
      <c r="U8" s="211"/>
      <c r="W8" s="73"/>
      <c r="X8" s="73"/>
      <c r="Y8" s="170"/>
      <c r="Z8" s="171">
        <v>5.0000000000000001E-3</v>
      </c>
      <c r="AA8" s="170">
        <f t="shared" si="2"/>
        <v>0</v>
      </c>
      <c r="AB8" s="170">
        <f t="shared" si="3"/>
        <v>0</v>
      </c>
      <c r="AC8" s="170">
        <f t="shared" si="4"/>
        <v>0</v>
      </c>
    </row>
    <row r="9" spans="1:29" s="152" customFormat="1" ht="27" customHeight="1" x14ac:dyDescent="0.25">
      <c r="A9" s="100">
        <v>6</v>
      </c>
      <c r="B9" s="597" t="str">
        <f>PIERNA!B9</f>
        <v>TYSON FRESH MEAT</v>
      </c>
      <c r="C9" s="270" t="str">
        <f>PIERNA!C9</f>
        <v xml:space="preserve">I B P </v>
      </c>
      <c r="D9" s="594" t="str">
        <f>PIERNA!D9</f>
        <v>PED. 90509303</v>
      </c>
      <c r="E9" s="595">
        <f>PIERNA!E9</f>
        <v>44898</v>
      </c>
      <c r="F9" s="596">
        <f>PIERNA!F9</f>
        <v>18435.43</v>
      </c>
      <c r="G9" s="376">
        <f>PIERNA!G9</f>
        <v>20</v>
      </c>
      <c r="H9" s="409">
        <f>PIERNA!H9</f>
        <v>18351.310000000001</v>
      </c>
      <c r="I9" s="689">
        <f>PIERNA!I9</f>
        <v>84.119999999998981</v>
      </c>
      <c r="J9" s="764" t="s">
        <v>356</v>
      </c>
      <c r="K9" s="974">
        <v>12161</v>
      </c>
      <c r="L9" s="1041" t="s">
        <v>232</v>
      </c>
      <c r="M9" s="752">
        <v>37120</v>
      </c>
      <c r="N9" s="772" t="s">
        <v>389</v>
      </c>
      <c r="O9" s="774">
        <v>1213583</v>
      </c>
      <c r="P9" s="768"/>
      <c r="Q9" s="521">
        <f>43731.05*19.445</f>
        <v>850350.26725000003</v>
      </c>
      <c r="R9" s="775" t="s">
        <v>383</v>
      </c>
      <c r="S9" s="65">
        <f>Q9+M9+K9</f>
        <v>899631.26725000003</v>
      </c>
      <c r="T9" s="65">
        <f t="shared" si="1"/>
        <v>49.122727382949776</v>
      </c>
      <c r="U9" s="211"/>
      <c r="W9" s="73"/>
      <c r="X9" s="73"/>
      <c r="Y9" s="170"/>
      <c r="Z9" s="171">
        <v>5.0000000000000001E-3</v>
      </c>
      <c r="AA9" s="170">
        <f t="shared" si="2"/>
        <v>0</v>
      </c>
      <c r="AB9" s="170">
        <f t="shared" si="3"/>
        <v>0</v>
      </c>
      <c r="AC9" s="170">
        <f t="shared" si="4"/>
        <v>0</v>
      </c>
    </row>
    <row r="10" spans="1:29" s="152" customFormat="1" ht="28.5" customHeight="1" x14ac:dyDescent="0.25">
      <c r="A10" s="100">
        <v>7</v>
      </c>
      <c r="B10" s="270" t="str">
        <f>PIERNA!B10</f>
        <v xml:space="preserve">OJAI ALIMENTOS SA DE CV </v>
      </c>
      <c r="C10" s="270" t="str">
        <f>PIERNA!C10</f>
        <v>CERDO EN COMBO</v>
      </c>
      <c r="D10" s="594">
        <f>PIERNA!D10</f>
        <v>0</v>
      </c>
      <c r="E10" s="595">
        <f>PIERNA!E10</f>
        <v>44898</v>
      </c>
      <c r="F10" s="596">
        <f>PIERNA!F10</f>
        <v>1123</v>
      </c>
      <c r="G10" s="376">
        <f>PIERNA!G10</f>
        <v>2</v>
      </c>
      <c r="H10" s="409">
        <f>PIERNA!H10</f>
        <v>1123</v>
      </c>
      <c r="I10" s="689">
        <f>PIERNA!I10</f>
        <v>0</v>
      </c>
      <c r="J10" s="1048" t="s">
        <v>361</v>
      </c>
      <c r="K10" s="751"/>
      <c r="L10" s="779"/>
      <c r="M10" s="752"/>
      <c r="N10" s="772"/>
      <c r="O10" s="774" t="s">
        <v>357</v>
      </c>
      <c r="P10" s="768">
        <v>12</v>
      </c>
      <c r="Q10" s="521">
        <f>134+65000</f>
        <v>65134</v>
      </c>
      <c r="R10" s="775" t="s">
        <v>376</v>
      </c>
      <c r="S10" s="65">
        <f>Q10+M10+K10</f>
        <v>65134</v>
      </c>
      <c r="T10" s="65">
        <f t="shared" si="1"/>
        <v>58.1</v>
      </c>
      <c r="U10" s="211"/>
      <c r="W10" s="73"/>
      <c r="X10" s="73"/>
      <c r="Y10" s="170"/>
      <c r="Z10" s="171">
        <v>5.0000000000000001E-3</v>
      </c>
      <c r="AA10" s="170">
        <f t="shared" si="2"/>
        <v>0</v>
      </c>
      <c r="AB10" s="170">
        <f t="shared" si="3"/>
        <v>0</v>
      </c>
      <c r="AC10" s="170">
        <f t="shared" si="4"/>
        <v>0</v>
      </c>
    </row>
    <row r="11" spans="1:29" s="152" customFormat="1" ht="27" customHeight="1" x14ac:dyDescent="0.25">
      <c r="A11" s="100">
        <v>8</v>
      </c>
      <c r="B11" s="446" t="str">
        <f>PIERNA!B11</f>
        <v>SEABOARD FOODS</v>
      </c>
      <c r="C11" s="270" t="str">
        <f>PIERNA!C11</f>
        <v>Seaboard</v>
      </c>
      <c r="D11" s="594" t="str">
        <f>PIERNA!D11</f>
        <v>PED. 90587790</v>
      </c>
      <c r="E11" s="595">
        <f>PIERNA!E11</f>
        <v>44901</v>
      </c>
      <c r="F11" s="596">
        <f>PIERNA!F11</f>
        <v>18014.7</v>
      </c>
      <c r="G11" s="376">
        <f>PIERNA!G11</f>
        <v>20</v>
      </c>
      <c r="H11" s="409">
        <f>PIERNA!H11</f>
        <v>18032</v>
      </c>
      <c r="I11" s="689">
        <f>PIERNA!I11</f>
        <v>-17.299999999999272</v>
      </c>
      <c r="J11" s="776" t="s">
        <v>360</v>
      </c>
      <c r="K11" s="751">
        <v>11151</v>
      </c>
      <c r="L11" s="773" t="s">
        <v>389</v>
      </c>
      <c r="M11" s="752">
        <v>27840</v>
      </c>
      <c r="N11" s="772" t="s">
        <v>393</v>
      </c>
      <c r="O11" s="777">
        <v>2111873</v>
      </c>
      <c r="P11" s="768"/>
      <c r="Q11" s="901">
        <f>40942.64*19.405</f>
        <v>794491.92920000001</v>
      </c>
      <c r="R11" s="904" t="s">
        <v>369</v>
      </c>
      <c r="S11" s="65">
        <f t="shared" si="0"/>
        <v>833482.92920000001</v>
      </c>
      <c r="T11" s="65">
        <f t="shared" si="1"/>
        <v>46.322433961845611</v>
      </c>
      <c r="U11" s="211"/>
      <c r="W11" s="73"/>
      <c r="X11" s="73"/>
      <c r="Y11" s="170"/>
      <c r="Z11" s="171">
        <v>5.0000000000000001E-3</v>
      </c>
      <c r="AA11" s="170">
        <f t="shared" si="2"/>
        <v>0</v>
      </c>
      <c r="AB11" s="170">
        <f t="shared" si="3"/>
        <v>0</v>
      </c>
      <c r="AC11" s="170">
        <f t="shared" si="4"/>
        <v>0</v>
      </c>
    </row>
    <row r="12" spans="1:29" s="152" customFormat="1" ht="31.5" customHeight="1" x14ac:dyDescent="0.25">
      <c r="A12" s="100">
        <v>9</v>
      </c>
      <c r="B12" s="270" t="str">
        <f>PIERNA!B12</f>
        <v>SEABOARD FOODS</v>
      </c>
      <c r="C12" s="270" t="str">
        <f>PIERNA!C12</f>
        <v>Seaboard</v>
      </c>
      <c r="D12" s="594" t="str">
        <f>PIERNA!D12</f>
        <v>PED. 90644060</v>
      </c>
      <c r="E12" s="595">
        <f>PIERNA!E12</f>
        <v>44901</v>
      </c>
      <c r="F12" s="596">
        <f>PIERNA!F12</f>
        <v>19221</v>
      </c>
      <c r="G12" s="376">
        <f>PIERNA!G12</f>
        <v>21</v>
      </c>
      <c r="H12" s="409">
        <f>PIERNA!H12</f>
        <v>19080.599999999999</v>
      </c>
      <c r="I12" s="689">
        <f>PIERNA!I12</f>
        <v>140.40000000000146</v>
      </c>
      <c r="J12" s="764" t="s">
        <v>350</v>
      </c>
      <c r="K12" s="751">
        <v>11151</v>
      </c>
      <c r="L12" s="773" t="s">
        <v>390</v>
      </c>
      <c r="M12" s="752">
        <v>37120</v>
      </c>
      <c r="N12" s="772" t="s">
        <v>391</v>
      </c>
      <c r="O12" s="777">
        <v>2113851</v>
      </c>
      <c r="P12" s="768"/>
      <c r="Q12" s="901">
        <f>43121.86*19.335</f>
        <v>833761.16310000001</v>
      </c>
      <c r="R12" s="904" t="s">
        <v>368</v>
      </c>
      <c r="S12" s="65">
        <f>Q12+M12+K12</f>
        <v>882032.16310000001</v>
      </c>
      <c r="T12" s="65">
        <f t="shared" si="1"/>
        <v>46.326647123256087</v>
      </c>
      <c r="U12" s="212"/>
      <c r="W12" s="73"/>
      <c r="X12" s="73"/>
      <c r="Y12" s="170"/>
      <c r="Z12" s="171">
        <v>5.0000000000000001E-3</v>
      </c>
      <c r="AA12" s="170">
        <f t="shared" si="2"/>
        <v>0</v>
      </c>
      <c r="AB12" s="170">
        <f t="shared" si="3"/>
        <v>0</v>
      </c>
      <c r="AC12" s="170">
        <f t="shared" si="4"/>
        <v>0</v>
      </c>
    </row>
    <row r="13" spans="1:29" s="152" customFormat="1" ht="33.75" customHeight="1" x14ac:dyDescent="0.3">
      <c r="A13" s="100">
        <v>10</v>
      </c>
      <c r="B13" s="599" t="str">
        <f>PIERNA!B13</f>
        <v>TYSON FRESH MEAT</v>
      </c>
      <c r="C13" s="270" t="str">
        <f>PIERNA!C13</f>
        <v xml:space="preserve">I B P </v>
      </c>
      <c r="D13" s="594" t="str">
        <f>PIERNA!D13</f>
        <v>PED. 90707882</v>
      </c>
      <c r="E13" s="595">
        <f>PIERNA!E13</f>
        <v>44902</v>
      </c>
      <c r="F13" s="596">
        <f>PIERNA!F13</f>
        <v>18623.95</v>
      </c>
      <c r="G13" s="376">
        <f>PIERNA!G13</f>
        <v>20</v>
      </c>
      <c r="H13" s="409">
        <f>PIERNA!H13</f>
        <v>18651.62</v>
      </c>
      <c r="I13" s="689">
        <f>PIERNA!I13</f>
        <v>-27.669999999998254</v>
      </c>
      <c r="J13" s="898" t="s">
        <v>362</v>
      </c>
      <c r="K13" s="751">
        <v>11151</v>
      </c>
      <c r="L13" s="773" t="s">
        <v>391</v>
      </c>
      <c r="M13" s="752">
        <v>37120</v>
      </c>
      <c r="N13" s="772" t="s">
        <v>385</v>
      </c>
      <c r="O13" s="777">
        <v>1219005</v>
      </c>
      <c r="P13" s="768"/>
      <c r="Q13" s="385">
        <f>42254.91*19.79</f>
        <v>836224.66890000005</v>
      </c>
      <c r="R13" s="775" t="s">
        <v>386</v>
      </c>
      <c r="S13" s="65">
        <f t="shared" si="0"/>
        <v>884495.66890000005</v>
      </c>
      <c r="T13" s="65">
        <f t="shared" si="1"/>
        <v>47.52192200463017</v>
      </c>
      <c r="U13" s="187"/>
      <c r="W13" s="73"/>
      <c r="X13" s="73"/>
      <c r="Y13" s="170"/>
      <c r="Z13" s="171">
        <v>5.0000000000000001E-3</v>
      </c>
      <c r="AA13" s="170">
        <f t="shared" si="2"/>
        <v>0</v>
      </c>
      <c r="AB13" s="170">
        <f t="shared" si="3"/>
        <v>0</v>
      </c>
      <c r="AC13" s="170">
        <f t="shared" si="4"/>
        <v>0</v>
      </c>
    </row>
    <row r="14" spans="1:29" s="152" customFormat="1" ht="29.25" customHeight="1" x14ac:dyDescent="0.25">
      <c r="A14" s="100">
        <v>11</v>
      </c>
      <c r="B14" s="597" t="str">
        <f>PIERNA!B14</f>
        <v>SEABOARD FOODS</v>
      </c>
      <c r="C14" s="270" t="str">
        <f>PIERNA!C14</f>
        <v>Seaboard</v>
      </c>
      <c r="D14" s="594" t="str">
        <f>PIERNA!D14</f>
        <v>PED. 90757463</v>
      </c>
      <c r="E14" s="595">
        <f>PIERNA!E14</f>
        <v>44903</v>
      </c>
      <c r="F14" s="596">
        <f>PIERNA!F14</f>
        <v>18888.5</v>
      </c>
      <c r="G14" s="376">
        <f>PIERNA!G14</f>
        <v>21</v>
      </c>
      <c r="H14" s="409">
        <f>PIERNA!H14</f>
        <v>18798.7</v>
      </c>
      <c r="I14" s="689">
        <f>PIERNA!I14</f>
        <v>89.799999999999272</v>
      </c>
      <c r="J14" s="776" t="s">
        <v>363</v>
      </c>
      <c r="K14" s="751">
        <v>12001</v>
      </c>
      <c r="L14" s="773" t="s">
        <v>385</v>
      </c>
      <c r="M14" s="752">
        <v>37120</v>
      </c>
      <c r="N14" s="772" t="s">
        <v>392</v>
      </c>
      <c r="O14" s="774">
        <v>2113852</v>
      </c>
      <c r="P14" s="768"/>
      <c r="Q14" s="385">
        <f>41091.73*19.185</f>
        <v>788344.84005</v>
      </c>
      <c r="R14" s="778" t="s">
        <v>379</v>
      </c>
      <c r="S14" s="65">
        <f t="shared" si="0"/>
        <v>837465.84005</v>
      </c>
      <c r="T14" s="65">
        <f t="shared" si="1"/>
        <v>44.649135847159641</v>
      </c>
      <c r="U14" s="187"/>
      <c r="W14" s="73"/>
      <c r="X14" s="73"/>
      <c r="Y14" s="170"/>
      <c r="Z14" s="171">
        <v>5.0000000000000001E-3</v>
      </c>
      <c r="AA14" s="170">
        <f t="shared" si="2"/>
        <v>0</v>
      </c>
      <c r="AB14" s="170">
        <f t="shared" si="3"/>
        <v>0</v>
      </c>
      <c r="AC14" s="170">
        <f t="shared" si="4"/>
        <v>0</v>
      </c>
    </row>
    <row r="15" spans="1:29" s="152" customFormat="1" ht="36" customHeight="1" x14ac:dyDescent="0.25">
      <c r="A15" s="100">
        <v>12</v>
      </c>
      <c r="B15" s="593" t="str">
        <f>PIERNA!B15</f>
        <v>TYSON FRESH MEAT</v>
      </c>
      <c r="C15" s="270" t="str">
        <f>PIERNA!C15</f>
        <v xml:space="preserve">I B P </v>
      </c>
      <c r="D15" s="594" t="str">
        <f>PIERNA!D15</f>
        <v>PED. 90722929</v>
      </c>
      <c r="E15" s="595">
        <f>PIERNA!E15</f>
        <v>44903</v>
      </c>
      <c r="F15" s="596">
        <f>PIERNA!F15</f>
        <v>18366.080000000002</v>
      </c>
      <c r="G15" s="376">
        <f>PIERNA!G15</f>
        <v>20</v>
      </c>
      <c r="H15" s="409">
        <f>PIERNA!H15</f>
        <v>18341.810000000001</v>
      </c>
      <c r="I15" s="689">
        <f>PIERNA!I15</f>
        <v>24.270000000000437</v>
      </c>
      <c r="J15" s="1059" t="s">
        <v>364</v>
      </c>
      <c r="K15" s="751">
        <v>12543</v>
      </c>
      <c r="L15" s="773" t="s">
        <v>391</v>
      </c>
      <c r="M15" s="752">
        <v>37120</v>
      </c>
      <c r="N15" s="779" t="s">
        <v>385</v>
      </c>
      <c r="O15" s="780">
        <v>1220853</v>
      </c>
      <c r="P15" s="768"/>
      <c r="Q15" s="385">
        <f>41553.06*19.88</f>
        <v>826074.83279999986</v>
      </c>
      <c r="R15" s="781" t="s">
        <v>488</v>
      </c>
      <c r="S15" s="65">
        <f t="shared" si="0"/>
        <v>875737.83279999986</v>
      </c>
      <c r="T15" s="65">
        <f t="shared" si="1"/>
        <v>47.845442396361094</v>
      </c>
      <c r="U15" s="187"/>
      <c r="W15" s="73"/>
      <c r="X15" s="73"/>
      <c r="Y15" s="170"/>
      <c r="Z15" s="171">
        <v>5.0000000000000001E-3</v>
      </c>
      <c r="AA15" s="170">
        <f t="shared" si="2"/>
        <v>0</v>
      </c>
      <c r="AB15" s="170">
        <f t="shared" si="3"/>
        <v>0</v>
      </c>
      <c r="AC15" s="170">
        <f t="shared" si="4"/>
        <v>0</v>
      </c>
    </row>
    <row r="16" spans="1:29" s="152" customFormat="1" ht="36" customHeight="1" x14ac:dyDescent="0.25">
      <c r="A16" s="100">
        <v>13</v>
      </c>
      <c r="B16" s="599" t="str">
        <f>PIERNA!B16</f>
        <v>SEABOARD FOODS</v>
      </c>
      <c r="C16" s="270" t="str">
        <f>PIERNA!C16</f>
        <v>Seaboard</v>
      </c>
      <c r="D16" s="594" t="str">
        <f>PIERNA!D16</f>
        <v>PED. 90825607</v>
      </c>
      <c r="E16" s="595">
        <f>PIERNA!E16</f>
        <v>44904</v>
      </c>
      <c r="F16" s="596">
        <f>PIERNA!F16</f>
        <v>18847.11</v>
      </c>
      <c r="G16" s="376">
        <f>PIERNA!G16</f>
        <v>21</v>
      </c>
      <c r="H16" s="409">
        <f>PIERNA!H16</f>
        <v>18871.3</v>
      </c>
      <c r="I16" s="689">
        <f>PIERNA!I16</f>
        <v>-24.18999999999869</v>
      </c>
      <c r="J16" s="782" t="s">
        <v>365</v>
      </c>
      <c r="K16" s="751">
        <v>11151</v>
      </c>
      <c r="L16" s="773" t="s">
        <v>392</v>
      </c>
      <c r="M16" s="752">
        <v>37120</v>
      </c>
      <c r="N16" s="779" t="s">
        <v>393</v>
      </c>
      <c r="O16" s="777">
        <v>2114514</v>
      </c>
      <c r="P16" s="768"/>
      <c r="Q16" s="521">
        <f>40672.07*19.8</f>
        <v>805306.98600000003</v>
      </c>
      <c r="R16" s="775" t="s">
        <v>384</v>
      </c>
      <c r="S16" s="65">
        <f t="shared" si="0"/>
        <v>853577.98600000003</v>
      </c>
      <c r="T16" s="65">
        <f t="shared" si="1"/>
        <v>45.331541335255125</v>
      </c>
      <c r="U16" s="187"/>
      <c r="W16" s="73"/>
      <c r="X16" s="73"/>
      <c r="Y16" s="170"/>
      <c r="Z16" s="171">
        <v>5.0000000000000001E-3</v>
      </c>
      <c r="AA16" s="170">
        <f t="shared" si="2"/>
        <v>0</v>
      </c>
      <c r="AB16" s="170">
        <f t="shared" si="3"/>
        <v>0</v>
      </c>
      <c r="AC16" s="170">
        <f t="shared" si="4"/>
        <v>0</v>
      </c>
    </row>
    <row r="17" spans="1:29" s="152" customFormat="1" ht="36" customHeight="1" x14ac:dyDescent="0.25">
      <c r="A17" s="100">
        <v>14</v>
      </c>
      <c r="B17" s="597" t="str">
        <f>PIERNA!B17</f>
        <v>SEABOARD FOODS</v>
      </c>
      <c r="C17" s="270" t="str">
        <f>PIERNA!C17</f>
        <v>Seaboard</v>
      </c>
      <c r="D17" s="594" t="str">
        <f>PIERNA!D17</f>
        <v>PED. 90825386</v>
      </c>
      <c r="E17" s="595">
        <f>PIERNA!E17</f>
        <v>44904</v>
      </c>
      <c r="F17" s="596">
        <f>PIERNA!F17</f>
        <v>19130.18</v>
      </c>
      <c r="G17" s="376">
        <f>PIERNA!G17</f>
        <v>21</v>
      </c>
      <c r="H17" s="409">
        <f>PIERNA!H17</f>
        <v>19185.5</v>
      </c>
      <c r="I17" s="689">
        <f>PIERNA!I17</f>
        <v>-55.319999999999709</v>
      </c>
      <c r="J17" s="909" t="s">
        <v>366</v>
      </c>
      <c r="K17" s="751">
        <v>9851</v>
      </c>
      <c r="L17" s="773" t="s">
        <v>392</v>
      </c>
      <c r="M17" s="752">
        <v>37120</v>
      </c>
      <c r="N17" s="779" t="s">
        <v>393</v>
      </c>
      <c r="O17" s="777">
        <v>2114320</v>
      </c>
      <c r="P17" s="768"/>
      <c r="Q17" s="901">
        <f>41349.55*19.335</f>
        <v>799493.54925000004</v>
      </c>
      <c r="R17" s="904" t="s">
        <v>368</v>
      </c>
      <c r="S17" s="65">
        <f>Q17+M17+K17</f>
        <v>846464.54925000004</v>
      </c>
      <c r="T17" s="65">
        <f t="shared" si="1"/>
        <v>44.220015076490064</v>
      </c>
      <c r="U17" s="210"/>
      <c r="W17" s="73"/>
      <c r="X17" s="73"/>
      <c r="Y17" s="170"/>
      <c r="Z17" s="171">
        <v>5.0000000000000001E-3</v>
      </c>
      <c r="AA17" s="170">
        <f t="shared" si="2"/>
        <v>0</v>
      </c>
      <c r="AB17" s="170">
        <f t="shared" si="3"/>
        <v>0</v>
      </c>
      <c r="AC17" s="170">
        <f t="shared" si="4"/>
        <v>0</v>
      </c>
    </row>
    <row r="18" spans="1:29" s="152" customFormat="1" ht="36" customHeight="1" x14ac:dyDescent="0.25">
      <c r="A18" s="100">
        <v>15</v>
      </c>
      <c r="B18" s="597" t="str">
        <f>PIERNA!B18</f>
        <v>SEABOARD FOODS</v>
      </c>
      <c r="C18" s="270" t="str">
        <f>PIERNA!C18</f>
        <v>Seaboard</v>
      </c>
      <c r="D18" s="594" t="str">
        <f>PIERNA!D18</f>
        <v>PED. 90825608</v>
      </c>
      <c r="E18" s="595">
        <f>PIERNA!E18</f>
        <v>44904</v>
      </c>
      <c r="F18" s="596">
        <f>PIERNA!F18</f>
        <v>18790.439999999999</v>
      </c>
      <c r="G18" s="376">
        <f>PIERNA!G18</f>
        <v>21</v>
      </c>
      <c r="H18" s="409">
        <f>PIERNA!H18</f>
        <v>18821</v>
      </c>
      <c r="I18" s="689">
        <f>PIERNA!I18</f>
        <v>-30.56000000000131</v>
      </c>
      <c r="J18" s="776" t="s">
        <v>423</v>
      </c>
      <c r="K18" s="751">
        <v>12001</v>
      </c>
      <c r="L18" s="773" t="s">
        <v>392</v>
      </c>
      <c r="M18" s="752">
        <v>37120</v>
      </c>
      <c r="N18" s="779" t="s">
        <v>487</v>
      </c>
      <c r="O18" s="767">
        <v>2114513</v>
      </c>
      <c r="P18" s="768"/>
      <c r="Q18" s="521">
        <f>40564.53*19.445</f>
        <v>788777.28584999999</v>
      </c>
      <c r="R18" s="778" t="s">
        <v>497</v>
      </c>
      <c r="S18" s="65">
        <f>Q18+M18+K18</f>
        <v>837898.28584999999</v>
      </c>
      <c r="T18" s="65">
        <f t="shared" si="1"/>
        <v>44.619328720578075</v>
      </c>
      <c r="U18" s="186"/>
      <c r="W18" s="73"/>
      <c r="X18" s="73"/>
      <c r="Y18" s="170"/>
      <c r="Z18" s="171">
        <v>5.0000000000000001E-3</v>
      </c>
      <c r="AA18" s="170">
        <f t="shared" si="2"/>
        <v>0</v>
      </c>
      <c r="AB18" s="170">
        <f t="shared" si="3"/>
        <v>0</v>
      </c>
      <c r="AC18" s="170">
        <f t="shared" si="4"/>
        <v>0</v>
      </c>
    </row>
    <row r="19" spans="1:29" s="152" customFormat="1" ht="36" customHeight="1" x14ac:dyDescent="0.25">
      <c r="A19" s="100">
        <v>16</v>
      </c>
      <c r="B19" s="597" t="str">
        <f>PIERNA!B19</f>
        <v>SEABOARD FOODS</v>
      </c>
      <c r="C19" s="270" t="str">
        <f>PIERNA!C19</f>
        <v>Seaboard</v>
      </c>
      <c r="D19" s="594" t="str">
        <f>PIERNA!D19</f>
        <v>PED. 90826159</v>
      </c>
      <c r="E19" s="595">
        <f>PIERNA!E19</f>
        <v>44905</v>
      </c>
      <c r="F19" s="596">
        <f>PIERNA!F19</f>
        <v>18848.189999999999</v>
      </c>
      <c r="G19" s="376">
        <f>PIERNA!G19</f>
        <v>21</v>
      </c>
      <c r="H19" s="409">
        <f>PIERNA!H19</f>
        <v>18826.7</v>
      </c>
      <c r="I19" s="689">
        <f>PIERNA!I19</f>
        <v>21.489999999997963</v>
      </c>
      <c r="J19" s="776" t="s">
        <v>424</v>
      </c>
      <c r="K19" s="751">
        <v>12161</v>
      </c>
      <c r="L19" s="773" t="s">
        <v>392</v>
      </c>
      <c r="M19" s="752">
        <v>27840</v>
      </c>
      <c r="N19" s="772" t="s">
        <v>496</v>
      </c>
      <c r="O19" s="774">
        <v>2114512</v>
      </c>
      <c r="P19" s="725"/>
      <c r="Q19" s="521">
        <f>40576.27*19.445</f>
        <v>789005.57014999993</v>
      </c>
      <c r="R19" s="766" t="s">
        <v>497</v>
      </c>
      <c r="S19" s="65">
        <f>Q19+M19+K19</f>
        <v>829006.57014999993</v>
      </c>
      <c r="T19" s="65">
        <f t="shared" si="1"/>
        <v>44.133557136938492</v>
      </c>
      <c r="W19" s="73"/>
      <c r="X19" s="73"/>
      <c r="Y19" s="170"/>
      <c r="Z19" s="171">
        <v>5.0000000000000001E-3</v>
      </c>
      <c r="AA19" s="170">
        <f t="shared" si="2"/>
        <v>0</v>
      </c>
      <c r="AB19" s="170">
        <f t="shared" si="3"/>
        <v>0</v>
      </c>
      <c r="AC19" s="170">
        <f t="shared" si="4"/>
        <v>0</v>
      </c>
    </row>
    <row r="20" spans="1:29" s="152" customFormat="1" ht="36" customHeight="1" x14ac:dyDescent="0.25">
      <c r="A20" s="100">
        <v>17</v>
      </c>
      <c r="B20" s="599" t="str">
        <f>PIERNA!B20</f>
        <v>TYSON FRESH MEAT</v>
      </c>
      <c r="C20" s="270" t="str">
        <f>PIERNA!C20</f>
        <v xml:space="preserve">I B P </v>
      </c>
      <c r="D20" s="594" t="str">
        <f>PIERNA!D20</f>
        <v>PED. 90888795</v>
      </c>
      <c r="E20" s="595">
        <f>PIERNA!E20</f>
        <v>44905</v>
      </c>
      <c r="F20" s="596">
        <f>PIERNA!F20</f>
        <v>18920.68</v>
      </c>
      <c r="G20" s="376">
        <f>PIERNA!G20</f>
        <v>20</v>
      </c>
      <c r="H20" s="409">
        <f>PIERNA!H20</f>
        <v>18959.16</v>
      </c>
      <c r="I20" s="689">
        <f>PIERNA!I20</f>
        <v>-38.479999999999563</v>
      </c>
      <c r="J20" s="764" t="s">
        <v>425</v>
      </c>
      <c r="K20" s="751">
        <v>11151</v>
      </c>
      <c r="L20" s="773" t="s">
        <v>393</v>
      </c>
      <c r="M20" s="752">
        <v>37120</v>
      </c>
      <c r="N20" s="772" t="s">
        <v>393</v>
      </c>
      <c r="O20" s="774">
        <v>1220782</v>
      </c>
      <c r="P20" s="768"/>
      <c r="Q20" s="521">
        <f>41547.21*19.56</f>
        <v>812663.42759999994</v>
      </c>
      <c r="R20" s="766" t="s">
        <v>461</v>
      </c>
      <c r="S20" s="65">
        <f t="shared" si="0"/>
        <v>860934.42759999994</v>
      </c>
      <c r="T20" s="65">
        <f t="shared" si="1"/>
        <v>45.509945778188481</v>
      </c>
      <c r="W20" s="73"/>
      <c r="X20" s="73"/>
      <c r="Y20" s="170"/>
      <c r="Z20" s="171">
        <v>5.0000000000000001E-3</v>
      </c>
      <c r="AA20" s="170">
        <f t="shared" si="2"/>
        <v>0</v>
      </c>
      <c r="AB20" s="170">
        <f t="shared" si="3"/>
        <v>0</v>
      </c>
      <c r="AC20" s="170">
        <f t="shared" si="4"/>
        <v>0</v>
      </c>
    </row>
    <row r="21" spans="1:29" s="152" customFormat="1" ht="36" customHeight="1" x14ac:dyDescent="0.25">
      <c r="A21" s="100">
        <v>18</v>
      </c>
      <c r="B21" s="446" t="str">
        <f>PIERNA!B21</f>
        <v>SEABOARD FOODS</v>
      </c>
      <c r="C21" s="377" t="str">
        <f>PIERNA!C21</f>
        <v>Seaboard</v>
      </c>
      <c r="D21" s="594" t="str">
        <f>PIERNA!D21</f>
        <v>PED. 90971391</v>
      </c>
      <c r="E21" s="595">
        <f>PIERNA!E21</f>
        <v>44908</v>
      </c>
      <c r="F21" s="596">
        <f>PIERNA!F21</f>
        <v>18992.169999999998</v>
      </c>
      <c r="G21" s="376">
        <f>PIERNA!G21</f>
        <v>21</v>
      </c>
      <c r="H21" s="409">
        <f>PIERNA!H21</f>
        <v>18917.400000000001</v>
      </c>
      <c r="I21" s="689">
        <f>PIERNA!I21</f>
        <v>74.769999999996799</v>
      </c>
      <c r="J21" s="764" t="s">
        <v>429</v>
      </c>
      <c r="K21" s="751">
        <v>12151</v>
      </c>
      <c r="L21" s="773" t="s">
        <v>492</v>
      </c>
      <c r="M21" s="752">
        <v>37120</v>
      </c>
      <c r="N21" s="772" t="s">
        <v>492</v>
      </c>
      <c r="O21" s="777">
        <v>2116427</v>
      </c>
      <c r="P21" s="768"/>
      <c r="Q21" s="521">
        <f>42604.72*19.74</f>
        <v>841017.17279999994</v>
      </c>
      <c r="R21" s="766" t="s">
        <v>486</v>
      </c>
      <c r="S21" s="65">
        <f t="shared" si="0"/>
        <v>890288.17279999994</v>
      </c>
      <c r="T21" s="65">
        <f t="shared" si="1"/>
        <v>47.161867529364493</v>
      </c>
      <c r="W21" s="73"/>
      <c r="X21" s="73"/>
      <c r="Y21" s="170"/>
      <c r="Z21" s="171">
        <v>5.0000000000000001E-3</v>
      </c>
      <c r="AA21" s="170">
        <f t="shared" si="2"/>
        <v>0</v>
      </c>
      <c r="AB21" s="170">
        <f t="shared" si="3"/>
        <v>0</v>
      </c>
      <c r="AC21" s="170">
        <f t="shared" si="4"/>
        <v>0</v>
      </c>
    </row>
    <row r="22" spans="1:29" s="152" customFormat="1" ht="36" customHeight="1" x14ac:dyDescent="0.25">
      <c r="A22" s="100">
        <v>19</v>
      </c>
      <c r="B22" s="270" t="str">
        <f>PIERNA!B22</f>
        <v>SEABOARD FOODS</v>
      </c>
      <c r="C22" s="270" t="str">
        <f>PIERNA!C22</f>
        <v>Seaboard</v>
      </c>
      <c r="D22" s="594" t="str">
        <f>PIERNA!D22</f>
        <v>PED. 90970890</v>
      </c>
      <c r="E22" s="595">
        <f>PIERNA!E22</f>
        <v>44908</v>
      </c>
      <c r="F22" s="596">
        <f>PIERNA!F22</f>
        <v>18949.169999999998</v>
      </c>
      <c r="G22" s="376">
        <f>PIERNA!G22</f>
        <v>21</v>
      </c>
      <c r="H22" s="409">
        <f>PIERNA!H22</f>
        <v>18872.699999999997</v>
      </c>
      <c r="I22" s="689">
        <f>PIERNA!I22</f>
        <v>76.470000000001164</v>
      </c>
      <c r="J22" s="776" t="s">
        <v>430</v>
      </c>
      <c r="K22" s="751">
        <v>12151</v>
      </c>
      <c r="L22" s="773" t="s">
        <v>492</v>
      </c>
      <c r="M22" s="752">
        <v>37120</v>
      </c>
      <c r="N22" s="772" t="s">
        <v>492</v>
      </c>
      <c r="O22" s="777">
        <v>2116428</v>
      </c>
      <c r="P22" s="784"/>
      <c r="Q22" s="521">
        <f>42500.53*19.74</f>
        <v>838960.46219999995</v>
      </c>
      <c r="R22" s="766" t="s">
        <v>486</v>
      </c>
      <c r="S22" s="65">
        <f>Q22+M22+K22</f>
        <v>888231.46219999995</v>
      </c>
      <c r="T22" s="65">
        <f t="shared" si="1"/>
        <v>47.164355508220872</v>
      </c>
      <c r="W22" s="73"/>
      <c r="X22" s="73"/>
      <c r="Y22" s="170"/>
      <c r="Z22" s="171">
        <v>5.0000000000000001E-3</v>
      </c>
      <c r="AA22" s="170">
        <f t="shared" si="2"/>
        <v>0</v>
      </c>
      <c r="AB22" s="170">
        <f t="shared" si="3"/>
        <v>0</v>
      </c>
      <c r="AC22" s="170">
        <f t="shared" si="4"/>
        <v>0</v>
      </c>
    </row>
    <row r="23" spans="1:29" s="152" customFormat="1" ht="36" customHeight="1" x14ac:dyDescent="0.25">
      <c r="A23" s="100">
        <v>20</v>
      </c>
      <c r="B23" s="270" t="str">
        <f>PIERNA!B23</f>
        <v>SEABOARD FOODS</v>
      </c>
      <c r="C23" s="270" t="str">
        <f>PIERNA!C23</f>
        <v>Seaboard</v>
      </c>
      <c r="D23" s="594" t="str">
        <f>PIERNA!D23</f>
        <v>PED. 90973441</v>
      </c>
      <c r="E23" s="595">
        <f>PIERNA!E23</f>
        <v>44908</v>
      </c>
      <c r="F23" s="596">
        <f>PIERNA!F23</f>
        <v>19166.849999999999</v>
      </c>
      <c r="G23" s="376">
        <f>PIERNA!G23</f>
        <v>21</v>
      </c>
      <c r="H23" s="409">
        <f>PIERNA!H23</f>
        <v>19058.7</v>
      </c>
      <c r="I23" s="689">
        <f>PIERNA!I23</f>
        <v>108.14999999999782</v>
      </c>
      <c r="J23" s="764" t="s">
        <v>431</v>
      </c>
      <c r="K23" s="751">
        <v>9851</v>
      </c>
      <c r="L23" s="773" t="s">
        <v>492</v>
      </c>
      <c r="M23" s="752">
        <v>37120</v>
      </c>
      <c r="N23" s="772" t="s">
        <v>492</v>
      </c>
      <c r="O23" s="767">
        <v>2116429</v>
      </c>
      <c r="P23" s="768"/>
      <c r="Q23" s="521">
        <f>42921.39*19.81</f>
        <v>850272.73589999997</v>
      </c>
      <c r="R23" s="766" t="s">
        <v>460</v>
      </c>
      <c r="S23" s="65">
        <f>Q23+M23+K23</f>
        <v>897243.73589999997</v>
      </c>
      <c r="T23" s="65">
        <f t="shared" si="1"/>
        <v>47.177908561444376</v>
      </c>
      <c r="W23" s="73"/>
      <c r="X23" s="73"/>
      <c r="Y23" s="170"/>
      <c r="Z23" s="171">
        <v>5.0000000000000001E-3</v>
      </c>
      <c r="AA23" s="170">
        <f t="shared" ref="AA23:AA28" si="5">Y23*Z23</f>
        <v>0</v>
      </c>
      <c r="AB23" s="170">
        <f t="shared" ref="AB23:AB28" si="6">AA23*16%</f>
        <v>0</v>
      </c>
      <c r="AC23" s="170">
        <f t="shared" ref="AC23:AC28" si="7">AA23+AB23</f>
        <v>0</v>
      </c>
    </row>
    <row r="24" spans="1:29" s="152" customFormat="1" ht="36" customHeight="1" x14ac:dyDescent="0.25">
      <c r="A24" s="100">
        <v>21</v>
      </c>
      <c r="B24" s="597" t="str">
        <f>PIERNA!B24</f>
        <v>TYSON FRESH MEAT</v>
      </c>
      <c r="C24" s="270" t="str">
        <f>PIERNA!C24</f>
        <v xml:space="preserve">I B P </v>
      </c>
      <c r="D24" s="600" t="str">
        <f>PIERNA!D24</f>
        <v>PED. 910285201</v>
      </c>
      <c r="E24" s="595">
        <f>PIERNA!E24</f>
        <v>44909</v>
      </c>
      <c r="F24" s="596">
        <f>PIERNA!F24</f>
        <v>18590.849999999999</v>
      </c>
      <c r="G24" s="376">
        <f>PIERNA!G24</f>
        <v>20</v>
      </c>
      <c r="H24" s="409">
        <f>PIERNA!H24</f>
        <v>18618.48</v>
      </c>
      <c r="I24" s="689">
        <f>PIERNA!I24</f>
        <v>-27.630000000001019</v>
      </c>
      <c r="J24" s="776" t="s">
        <v>432</v>
      </c>
      <c r="K24" s="751">
        <v>11001</v>
      </c>
      <c r="L24" s="773" t="s">
        <v>492</v>
      </c>
      <c r="M24" s="752">
        <v>37120</v>
      </c>
      <c r="N24" s="772" t="s">
        <v>493</v>
      </c>
      <c r="O24" s="774">
        <v>1231770</v>
      </c>
      <c r="P24" s="768"/>
      <c r="Q24" s="521">
        <f>42032.13*19.825</f>
        <v>833286.97724999988</v>
      </c>
      <c r="R24" s="766" t="s">
        <v>463</v>
      </c>
      <c r="S24" s="65">
        <f t="shared" si="0"/>
        <v>881407.97724999988</v>
      </c>
      <c r="T24" s="65">
        <f t="shared" si="1"/>
        <v>47.440490590531553</v>
      </c>
      <c r="W24" s="73"/>
      <c r="X24" s="73"/>
      <c r="Y24" s="170"/>
      <c r="Z24" s="171">
        <v>5.0000000000000001E-3</v>
      </c>
      <c r="AA24" s="170">
        <f t="shared" si="5"/>
        <v>0</v>
      </c>
      <c r="AB24" s="170">
        <f t="shared" si="6"/>
        <v>0</v>
      </c>
      <c r="AC24" s="170">
        <f t="shared" si="7"/>
        <v>0</v>
      </c>
    </row>
    <row r="25" spans="1:29" s="152" customFormat="1" ht="36" customHeight="1" x14ac:dyDescent="0.25">
      <c r="A25" s="100">
        <v>22</v>
      </c>
      <c r="B25" s="377" t="str">
        <f>PIERNA!HM5</f>
        <v>TYSON FREHS MEAT</v>
      </c>
      <c r="C25" s="381" t="str">
        <f>PIERNA!HN5</f>
        <v xml:space="preserve">I B P </v>
      </c>
      <c r="D25" s="600" t="str">
        <f>PIERNA!HO5</f>
        <v>PED. 91026280</v>
      </c>
      <c r="E25" s="595">
        <f>PIERNA!E25</f>
        <v>44909</v>
      </c>
      <c r="F25" s="596">
        <f>PIERNA!HQ5</f>
        <v>18256.88</v>
      </c>
      <c r="G25" s="376">
        <f>PIERNA!HR5</f>
        <v>20</v>
      </c>
      <c r="H25" s="409">
        <f>PIERNA!HS5</f>
        <v>18237.5</v>
      </c>
      <c r="I25" s="689">
        <f>PIERNA!I25</f>
        <v>19.380000000001019</v>
      </c>
      <c r="J25" s="764" t="s">
        <v>433</v>
      </c>
      <c r="K25" s="751">
        <v>12151</v>
      </c>
      <c r="L25" s="773" t="s">
        <v>492</v>
      </c>
      <c r="M25" s="752">
        <v>37120</v>
      </c>
      <c r="N25" s="772" t="s">
        <v>493</v>
      </c>
      <c r="O25" s="774">
        <v>1231769</v>
      </c>
      <c r="P25" s="784"/>
      <c r="Q25" s="521">
        <f>41171.97*19.84</f>
        <v>816851.8848</v>
      </c>
      <c r="R25" s="769" t="s">
        <v>464</v>
      </c>
      <c r="S25" s="65">
        <f t="shared" si="0"/>
        <v>866122.8848</v>
      </c>
      <c r="T25" s="65">
        <f t="shared" si="1"/>
        <v>47.591316507196709</v>
      </c>
      <c r="W25" s="73"/>
      <c r="X25" s="73"/>
      <c r="Y25" s="170"/>
      <c r="Z25" s="171">
        <v>5.0000000000000001E-3</v>
      </c>
      <c r="AA25" s="170">
        <f t="shared" si="5"/>
        <v>0</v>
      </c>
      <c r="AB25" s="170">
        <f t="shared" si="6"/>
        <v>0</v>
      </c>
      <c r="AC25" s="170">
        <f t="shared" si="7"/>
        <v>0</v>
      </c>
    </row>
    <row r="26" spans="1:29" s="152" customFormat="1" ht="32.25" customHeight="1" x14ac:dyDescent="0.25">
      <c r="A26" s="100">
        <v>23</v>
      </c>
      <c r="B26" s="372" t="str">
        <f>PIERNA!HW5</f>
        <v>TYSON FRESH MEAT</v>
      </c>
      <c r="C26" s="270" t="str">
        <f>PIERNA!HX5</f>
        <v xml:space="preserve">I B P </v>
      </c>
      <c r="D26" s="600" t="str">
        <f>PIERNA!HY5</f>
        <v>PED. 91075573</v>
      </c>
      <c r="E26" s="595">
        <f>PIERNA!HZ5</f>
        <v>44910</v>
      </c>
      <c r="F26" s="596">
        <f>PIERNA!IA5</f>
        <v>18753.78</v>
      </c>
      <c r="G26" s="601">
        <f>PIERNA!IB5</f>
        <v>20</v>
      </c>
      <c r="H26" s="409">
        <f>PIERNA!IC5</f>
        <v>18785</v>
      </c>
      <c r="I26" s="689">
        <f>PIERNA!I26</f>
        <v>-31.220000000001164</v>
      </c>
      <c r="J26" s="776" t="s">
        <v>435</v>
      </c>
      <c r="K26" s="751">
        <v>9851</v>
      </c>
      <c r="L26" s="765" t="s">
        <v>493</v>
      </c>
      <c r="M26" s="752">
        <v>37120</v>
      </c>
      <c r="N26" s="766" t="s">
        <v>495</v>
      </c>
      <c r="O26" s="774">
        <v>1233100</v>
      </c>
      <c r="P26" s="768"/>
      <c r="Q26" s="521">
        <f>43530.26*19.785</f>
        <v>861246.19410000008</v>
      </c>
      <c r="R26" s="766" t="s">
        <v>458</v>
      </c>
      <c r="S26" s="65">
        <f t="shared" si="0"/>
        <v>908217.19410000008</v>
      </c>
      <c r="T26" s="65">
        <f t="shared" si="1"/>
        <v>48.448000750598887</v>
      </c>
      <c r="W26" s="73"/>
      <c r="X26" s="73"/>
      <c r="Y26" s="170"/>
      <c r="Z26" s="171">
        <v>5.0000000000000001E-3</v>
      </c>
      <c r="AA26" s="170">
        <f t="shared" si="5"/>
        <v>0</v>
      </c>
      <c r="AB26" s="170">
        <f t="shared" si="6"/>
        <v>0</v>
      </c>
      <c r="AC26" s="170">
        <f t="shared" si="7"/>
        <v>0</v>
      </c>
    </row>
    <row r="27" spans="1:29" s="152" customFormat="1" ht="35.25" customHeight="1" x14ac:dyDescent="0.25">
      <c r="A27" s="100">
        <v>24</v>
      </c>
      <c r="B27" s="270" t="str">
        <f>PIERNA!IG5</f>
        <v>SEABOARD FOODS</v>
      </c>
      <c r="C27" s="270" t="str">
        <f>PIERNA!IH5</f>
        <v>Seaboard</v>
      </c>
      <c r="D27" s="600" t="str">
        <f>PIERNA!II5</f>
        <v>PED. 91025870</v>
      </c>
      <c r="E27" s="595">
        <f>PIERNA!IJ5</f>
        <v>44910</v>
      </c>
      <c r="F27" s="596">
        <f>PIERNA!IK5</f>
        <v>19116.189999999999</v>
      </c>
      <c r="G27" s="601">
        <f>PIERNA!IL5</f>
        <v>21</v>
      </c>
      <c r="H27" s="409">
        <f>PIERNA!IM5</f>
        <v>19114.3</v>
      </c>
      <c r="I27" s="689">
        <f>PIERNA!I27</f>
        <v>1.8899999999994179</v>
      </c>
      <c r="J27" s="776" t="s">
        <v>436</v>
      </c>
      <c r="K27" s="751">
        <v>12001</v>
      </c>
      <c r="L27" s="765" t="s">
        <v>492</v>
      </c>
      <c r="M27" s="752">
        <v>37120</v>
      </c>
      <c r="N27" s="766" t="s">
        <v>493</v>
      </c>
      <c r="O27" s="774">
        <v>2116430</v>
      </c>
      <c r="P27" s="784"/>
      <c r="Q27" s="521">
        <f>43046.01*19.72</f>
        <v>848867.31720000005</v>
      </c>
      <c r="R27" s="766" t="s">
        <v>385</v>
      </c>
      <c r="S27" s="65">
        <f>Q27+M27+K27+P27</f>
        <v>897988.31720000005</v>
      </c>
      <c r="T27" s="65">
        <f t="shared" si="1"/>
        <v>47.07992169213626</v>
      </c>
      <c r="W27" s="73"/>
      <c r="Y27" s="170"/>
      <c r="Z27" s="171">
        <v>5.0000000000000001E-3</v>
      </c>
      <c r="AA27" s="170">
        <f t="shared" si="5"/>
        <v>0</v>
      </c>
      <c r="AB27" s="170">
        <f t="shared" si="6"/>
        <v>0</v>
      </c>
      <c r="AC27" s="170">
        <f t="shared" si="7"/>
        <v>0</v>
      </c>
    </row>
    <row r="28" spans="1:29" s="152" customFormat="1" ht="35.25" customHeight="1" x14ac:dyDescent="0.25">
      <c r="A28" s="100">
        <v>25</v>
      </c>
      <c r="B28" s="270" t="str">
        <f>PIERNA!IQ5</f>
        <v>SEABOARD FOODS</v>
      </c>
      <c r="C28" s="270" t="str">
        <f>PIERNA!IR5</f>
        <v>Seaboard</v>
      </c>
      <c r="D28" s="600" t="str">
        <f>PIERNA!IS5</f>
        <v>PED. 9102497</v>
      </c>
      <c r="E28" s="595">
        <f>PIERNA!IT5</f>
        <v>44911</v>
      </c>
      <c r="F28" s="596">
        <f>PIERNA!IU5</f>
        <v>19165.84</v>
      </c>
      <c r="G28" s="601">
        <f>PIERNA!IV5</f>
        <v>21</v>
      </c>
      <c r="H28" s="409">
        <f>PIERNA!IW5</f>
        <v>19125.2</v>
      </c>
      <c r="I28" s="689">
        <f>PIERNA!I28</f>
        <v>40.639999999999418</v>
      </c>
      <c r="J28" s="776" t="s">
        <v>437</v>
      </c>
      <c r="K28" s="751"/>
      <c r="L28" s="765"/>
      <c r="M28" s="752">
        <v>27840</v>
      </c>
      <c r="N28" s="766" t="s">
        <v>552</v>
      </c>
      <c r="O28" s="774">
        <v>2116432</v>
      </c>
      <c r="P28" s="768"/>
      <c r="Q28" s="521">
        <f>44213.17*19.69</f>
        <v>870557.3173</v>
      </c>
      <c r="R28" s="769" t="s">
        <v>386</v>
      </c>
      <c r="S28" s="65">
        <f t="shared" si="0"/>
        <v>898397.3173</v>
      </c>
      <c r="T28" s="65">
        <f t="shared" si="1"/>
        <v>47.074531889862591</v>
      </c>
      <c r="W28" s="73"/>
      <c r="X28" s="73"/>
      <c r="Y28" s="170"/>
      <c r="Z28" s="171">
        <v>0</v>
      </c>
      <c r="AA28" s="170">
        <f t="shared" si="5"/>
        <v>0</v>
      </c>
      <c r="AB28" s="170">
        <f t="shared" si="6"/>
        <v>0</v>
      </c>
      <c r="AC28" s="170">
        <f t="shared" si="7"/>
        <v>0</v>
      </c>
    </row>
    <row r="29" spans="1:29" s="152" customFormat="1" ht="33.75" customHeight="1" x14ac:dyDescent="0.25">
      <c r="A29" s="100">
        <v>26</v>
      </c>
      <c r="B29" s="687" t="str">
        <f>PIERNA!JA5</f>
        <v>SEABOARD FOODS</v>
      </c>
      <c r="C29" s="270" t="str">
        <f>PIERNA!JB5</f>
        <v>Seaboard</v>
      </c>
      <c r="D29" s="600" t="str">
        <f>PIERNA!JC5</f>
        <v>PED. 91179969</v>
      </c>
      <c r="E29" s="595">
        <f>PIERNA!JD5</f>
        <v>44911</v>
      </c>
      <c r="F29" s="596">
        <f>PIERNA!JE5</f>
        <v>19052.3</v>
      </c>
      <c r="G29" s="601">
        <f>PIERNA!JF5</f>
        <v>21</v>
      </c>
      <c r="H29" s="409">
        <f>PIERNA!JG5</f>
        <v>19018.2</v>
      </c>
      <c r="I29" s="689">
        <f>PIERNA!I29</f>
        <v>34.099999999998545</v>
      </c>
      <c r="J29" s="783" t="s">
        <v>438</v>
      </c>
      <c r="K29" s="691">
        <v>12001</v>
      </c>
      <c r="L29" s="765" t="s">
        <v>495</v>
      </c>
      <c r="M29" s="752">
        <v>37120</v>
      </c>
      <c r="N29" s="766" t="s">
        <v>496</v>
      </c>
      <c r="O29" s="767">
        <v>2117525</v>
      </c>
      <c r="P29" s="768"/>
      <c r="Q29" s="521">
        <f>42368.24*19.79</f>
        <v>838467.46959999995</v>
      </c>
      <c r="R29" s="769" t="s">
        <v>487</v>
      </c>
      <c r="S29" s="65">
        <f t="shared" si="0"/>
        <v>887588.46959999995</v>
      </c>
      <c r="T29" s="65">
        <f t="shared" si="1"/>
        <v>46.770477206044731</v>
      </c>
      <c r="W29" s="73"/>
      <c r="X29" s="73"/>
      <c r="Y29" s="170"/>
      <c r="Z29" s="171"/>
      <c r="AA29" s="170"/>
      <c r="AB29" s="170"/>
      <c r="AC29" s="170">
        <f>SUM(AC7:AC28)</f>
        <v>0</v>
      </c>
    </row>
    <row r="30" spans="1:29" s="152" customFormat="1" ht="42" customHeight="1" x14ac:dyDescent="0.25">
      <c r="A30" s="100">
        <v>27</v>
      </c>
      <c r="B30" s="270" t="str">
        <f>PIERNA!JK5</f>
        <v>SEABOARD FOODS</v>
      </c>
      <c r="C30" s="270" t="str">
        <f>PIERNA!JL5</f>
        <v>Seaboard</v>
      </c>
      <c r="D30" s="600" t="str">
        <f>PIERNA!JM5</f>
        <v>PED. 91092545</v>
      </c>
      <c r="E30" s="602">
        <f>PIERNA!JN5</f>
        <v>44912</v>
      </c>
      <c r="F30" s="603">
        <f>PIERNA!JO5</f>
        <v>19132.05</v>
      </c>
      <c r="G30" s="388">
        <f>PIERNA!JP5</f>
        <v>21</v>
      </c>
      <c r="H30" s="604">
        <f>PIERNA!JQ5</f>
        <v>19056.099999999999</v>
      </c>
      <c r="I30" s="689">
        <f>PIERNA!I30</f>
        <v>75.950000000000728</v>
      </c>
      <c r="J30" s="764" t="s">
        <v>439</v>
      </c>
      <c r="K30" s="751">
        <v>12001</v>
      </c>
      <c r="L30" s="765" t="s">
        <v>494</v>
      </c>
      <c r="M30" s="752">
        <v>27840</v>
      </c>
      <c r="N30" s="766" t="s">
        <v>552</v>
      </c>
      <c r="O30" s="767">
        <v>2116431</v>
      </c>
      <c r="P30" s="768"/>
      <c r="Q30" s="521">
        <f>44053.78*19.69</f>
        <v>867418.92820000008</v>
      </c>
      <c r="R30" s="769" t="s">
        <v>386</v>
      </c>
      <c r="S30" s="65">
        <f>Q30+M30+K30</f>
        <v>907259.92820000008</v>
      </c>
      <c r="T30" s="65">
        <f t="shared" si="1"/>
        <v>47.709947901197005</v>
      </c>
      <c r="W30" s="73"/>
      <c r="X30" s="73"/>
      <c r="Y30" s="170"/>
      <c r="Z30" s="171"/>
      <c r="AA30" s="170"/>
      <c r="AB30" s="170"/>
      <c r="AC30" s="170"/>
    </row>
    <row r="31" spans="1:29" s="152" customFormat="1" ht="32.25" customHeight="1" x14ac:dyDescent="0.25">
      <c r="A31" s="100">
        <v>28</v>
      </c>
      <c r="B31" s="270" t="str">
        <f>PIERNA!JU5</f>
        <v>SEABOARD FOODS</v>
      </c>
      <c r="C31" s="605" t="str">
        <f>PIERNA!JV5</f>
        <v>Seaboard</v>
      </c>
      <c r="D31" s="600" t="str">
        <f>PIERNA!JW5</f>
        <v>PED. 91143502</v>
      </c>
      <c r="E31" s="602">
        <f>PIERNA!JX5</f>
        <v>44912</v>
      </c>
      <c r="F31" s="603">
        <f>PIERNA!JY5</f>
        <v>19022.099999999999</v>
      </c>
      <c r="G31" s="388">
        <f>PIERNA!JZ5</f>
        <v>21</v>
      </c>
      <c r="H31" s="604">
        <f>PIERNA!KA5</f>
        <v>18972.900000000001</v>
      </c>
      <c r="I31" s="689">
        <f>PIERNA!I31</f>
        <v>49.19999999999709</v>
      </c>
      <c r="J31" s="764" t="s">
        <v>440</v>
      </c>
      <c r="K31" s="751">
        <v>12161</v>
      </c>
      <c r="L31" s="765" t="s">
        <v>495</v>
      </c>
      <c r="M31" s="752">
        <v>37120</v>
      </c>
      <c r="N31" s="766" t="s">
        <v>496</v>
      </c>
      <c r="O31" s="767">
        <v>2117526</v>
      </c>
      <c r="P31" s="768"/>
      <c r="Q31" s="521">
        <f>42267.19*19.88</f>
        <v>840271.73719999997</v>
      </c>
      <c r="R31" s="769" t="s">
        <v>488</v>
      </c>
      <c r="S31" s="65">
        <f t="shared" si="0"/>
        <v>889552.73719999997</v>
      </c>
      <c r="T31" s="65">
        <f t="shared" si="1"/>
        <v>46.985438557099862</v>
      </c>
      <c r="W31" s="73"/>
      <c r="X31" s="73"/>
      <c r="Y31" s="170"/>
      <c r="Z31" s="171"/>
      <c r="AA31" s="170"/>
      <c r="AB31" s="170"/>
      <c r="AC31" s="170"/>
    </row>
    <row r="32" spans="1:29" s="152" customFormat="1" ht="28.5" customHeight="1" x14ac:dyDescent="0.25">
      <c r="A32" s="100">
        <v>29</v>
      </c>
      <c r="B32" s="270" t="str">
        <f>PIERNA!KE5</f>
        <v>SEABOARD FOODS</v>
      </c>
      <c r="C32" s="270" t="str">
        <f>PIERNA!KF5</f>
        <v>Seaboard</v>
      </c>
      <c r="D32" s="932" t="str">
        <f>PIERNA!KG5</f>
        <v>PED. 91307670</v>
      </c>
      <c r="E32" s="933">
        <f>PIERNA!KH5</f>
        <v>44915</v>
      </c>
      <c r="F32" s="603">
        <f>PIERNA!KI5</f>
        <v>19011.71</v>
      </c>
      <c r="G32" s="388">
        <f>PIERNA!KJ5</f>
        <v>21</v>
      </c>
      <c r="H32" s="604">
        <f>PIERNA!H32</f>
        <v>19014.5</v>
      </c>
      <c r="I32" s="689">
        <f>PIERNA!I32</f>
        <v>-2.7900000000008731</v>
      </c>
      <c r="J32" s="764" t="s">
        <v>446</v>
      </c>
      <c r="K32" s="751">
        <v>12161</v>
      </c>
      <c r="L32" s="765" t="s">
        <v>552</v>
      </c>
      <c r="M32" s="752">
        <v>37120</v>
      </c>
      <c r="N32" s="766" t="s">
        <v>553</v>
      </c>
      <c r="O32" s="767">
        <v>2118200</v>
      </c>
      <c r="P32" s="768"/>
      <c r="Q32" s="521">
        <f>41167.67*19.88</f>
        <v>818413.27959999989</v>
      </c>
      <c r="R32" s="769" t="s">
        <v>488</v>
      </c>
      <c r="S32" s="65">
        <f>Q32+M32+K32+P32</f>
        <v>867694.27959999989</v>
      </c>
      <c r="T32" s="65">
        <f t="shared" ref="T32:T41" si="8">S32/H32+0.1</f>
        <v>45.73329456993347</v>
      </c>
      <c r="W32" s="73"/>
      <c r="X32" s="73"/>
      <c r="Y32" s="170"/>
      <c r="Z32" s="171"/>
      <c r="AA32" s="170"/>
      <c r="AB32" s="170"/>
      <c r="AC32" s="170"/>
    </row>
    <row r="33" spans="1:29" s="152" customFormat="1" ht="28.5" customHeight="1" x14ac:dyDescent="0.25">
      <c r="A33" s="100">
        <v>30</v>
      </c>
      <c r="B33" s="446" t="str">
        <f>PIERNA!KO5</f>
        <v>TYSON FRESH MEAT</v>
      </c>
      <c r="C33" s="270" t="str">
        <f>PIERNA!KP5</f>
        <v xml:space="preserve">I  B P </v>
      </c>
      <c r="D33" s="932" t="str">
        <f>PIERNA!KQ5</f>
        <v>PED. 91354477</v>
      </c>
      <c r="E33" s="933">
        <f>PIERNA!KR5</f>
        <v>44915</v>
      </c>
      <c r="F33" s="606">
        <f>PIERNA!KS5</f>
        <v>18789.09</v>
      </c>
      <c r="G33" s="607">
        <f>PIERNA!KT5</f>
        <v>20</v>
      </c>
      <c r="H33" s="604">
        <f>PIERNA!KU5</f>
        <v>18755.48</v>
      </c>
      <c r="I33" s="690">
        <f>PIERNA!I33</f>
        <v>33.610000000000582</v>
      </c>
      <c r="J33" s="764" t="s">
        <v>447</v>
      </c>
      <c r="K33" s="691">
        <v>11151</v>
      </c>
      <c r="L33" s="765" t="s">
        <v>552</v>
      </c>
      <c r="M33" s="752">
        <v>37120</v>
      </c>
      <c r="N33" s="766" t="s">
        <v>553</v>
      </c>
      <c r="O33" s="767">
        <v>1238364</v>
      </c>
      <c r="P33" s="785"/>
      <c r="Q33" s="521">
        <f>41312.79*19.71</f>
        <v>814275.09090000007</v>
      </c>
      <c r="R33" s="769" t="s">
        <v>491</v>
      </c>
      <c r="S33" s="65">
        <f>Q33+M33+K33+P33</f>
        <v>862546.09090000007</v>
      </c>
      <c r="T33" s="65">
        <f t="shared" si="8"/>
        <v>46.08901712459506</v>
      </c>
      <c r="W33" s="73"/>
      <c r="X33" s="73"/>
      <c r="Y33" s="170"/>
      <c r="Z33" s="171"/>
      <c r="AA33" s="170"/>
      <c r="AB33" s="170"/>
      <c r="AC33" s="170"/>
    </row>
    <row r="34" spans="1:29" s="152" customFormat="1" ht="28.5" customHeight="1" x14ac:dyDescent="0.25">
      <c r="A34" s="100">
        <v>31</v>
      </c>
      <c r="B34" s="270" t="str">
        <f>PIERNA!B34</f>
        <v>SEABOARD FOODS</v>
      </c>
      <c r="C34" s="377" t="str">
        <f>PIERNA!C34</f>
        <v>Seaboard</v>
      </c>
      <c r="D34" s="600" t="str">
        <f>PIERNA!D34</f>
        <v>PED. 91409199</v>
      </c>
      <c r="E34" s="602">
        <f>PIERNA!E34</f>
        <v>44916</v>
      </c>
      <c r="F34" s="606">
        <f>PIERNA!F34</f>
        <v>19050.21</v>
      </c>
      <c r="G34" s="607">
        <f>PIERNA!G34</f>
        <v>21</v>
      </c>
      <c r="H34" s="604">
        <f>PIERNA!H34</f>
        <v>18981.900000000001</v>
      </c>
      <c r="I34" s="689">
        <f>PIERNA!I34</f>
        <v>68.309999999997672</v>
      </c>
      <c r="J34" s="764" t="s">
        <v>448</v>
      </c>
      <c r="K34" s="751">
        <v>12001</v>
      </c>
      <c r="L34" s="765" t="s">
        <v>553</v>
      </c>
      <c r="M34" s="752">
        <v>37120</v>
      </c>
      <c r="N34" s="766" t="s">
        <v>554</v>
      </c>
      <c r="O34" s="770">
        <v>2118754</v>
      </c>
      <c r="P34" s="768"/>
      <c r="Q34" s="522">
        <f>41098.92*19.88</f>
        <v>817046.52959999989</v>
      </c>
      <c r="R34" s="771" t="s">
        <v>488</v>
      </c>
      <c r="S34" s="65">
        <f>Q34+M34+K34+P34</f>
        <v>866167.52959999989</v>
      </c>
      <c r="T34" s="65">
        <f t="shared" si="8"/>
        <v>45.731234470732637</v>
      </c>
      <c r="W34" s="73"/>
      <c r="X34" s="73"/>
      <c r="Y34" s="170"/>
      <c r="Z34" s="171"/>
      <c r="AA34" s="170"/>
      <c r="AB34" s="170"/>
      <c r="AC34" s="170"/>
    </row>
    <row r="35" spans="1:29" s="152" customFormat="1" ht="28.5" customHeight="1" x14ac:dyDescent="0.25">
      <c r="A35" s="100">
        <v>32</v>
      </c>
      <c r="B35" s="270" t="str">
        <f>PIERNA!B35</f>
        <v>TYSON FRESH MEAT</v>
      </c>
      <c r="C35" s="377" t="str">
        <f>PIERNA!C35</f>
        <v xml:space="preserve"> I B P</v>
      </c>
      <c r="D35" s="600" t="str">
        <f>PIERNA!D35</f>
        <v>PED. 91408419</v>
      </c>
      <c r="E35" s="602">
        <f>PIERNA!E35</f>
        <v>44916</v>
      </c>
      <c r="F35" s="606">
        <f>PIERNA!F35</f>
        <v>18670.64</v>
      </c>
      <c r="G35" s="608">
        <f>PIERNA!G35</f>
        <v>20</v>
      </c>
      <c r="H35" s="604">
        <f>PIERNA!H35</f>
        <v>18728.29</v>
      </c>
      <c r="I35" s="689">
        <f>PIERNA!I35</f>
        <v>-57.650000000001455</v>
      </c>
      <c r="J35" s="764" t="s">
        <v>449</v>
      </c>
      <c r="K35" s="751">
        <v>11151</v>
      </c>
      <c r="L35" s="765" t="s">
        <v>553</v>
      </c>
      <c r="M35" s="752">
        <v>37120</v>
      </c>
      <c r="N35" s="766" t="s">
        <v>554</v>
      </c>
      <c r="O35" s="770">
        <v>1239758</v>
      </c>
      <c r="P35" s="785"/>
      <c r="Q35" s="385">
        <f>40653.15*19.67</f>
        <v>799647.46050000004</v>
      </c>
      <c r="R35" s="769" t="s">
        <v>459</v>
      </c>
      <c r="S35" s="65">
        <f>Q35+M35+K35</f>
        <v>847918.46050000004</v>
      </c>
      <c r="T35" s="65">
        <f t="shared" si="8"/>
        <v>45.374740005627849</v>
      </c>
      <c r="W35" s="73"/>
      <c r="X35" s="73"/>
      <c r="Y35" s="170"/>
      <c r="Z35" s="171"/>
      <c r="AA35" s="170"/>
      <c r="AB35" s="170"/>
      <c r="AC35" s="170"/>
    </row>
    <row r="36" spans="1:29" s="152" customFormat="1" ht="28.5" customHeight="1" x14ac:dyDescent="0.25">
      <c r="A36" s="100">
        <v>33</v>
      </c>
      <c r="B36" s="270" t="str">
        <f>PIERNA!B36</f>
        <v>SEABOARD FOODS</v>
      </c>
      <c r="C36" s="377" t="str">
        <f>PIERNA!C36</f>
        <v>Seaboard</v>
      </c>
      <c r="D36" s="600" t="str">
        <f>PIERNA!D36</f>
        <v>PED. 91479897</v>
      </c>
      <c r="E36" s="602">
        <f>PIERNA!E36</f>
        <v>44917</v>
      </c>
      <c r="F36" s="606">
        <f>PIERNA!F36</f>
        <v>18579.03</v>
      </c>
      <c r="G36" s="608">
        <f>PIERNA!G36</f>
        <v>21</v>
      </c>
      <c r="H36" s="604">
        <f>PIERNA!H36</f>
        <v>18686.400000000001</v>
      </c>
      <c r="I36" s="689">
        <f>PIERNA!I36</f>
        <v>-107.37000000000262</v>
      </c>
      <c r="J36" s="764" t="s">
        <v>450</v>
      </c>
      <c r="K36" s="751">
        <v>11151</v>
      </c>
      <c r="L36" s="765" t="s">
        <v>554</v>
      </c>
      <c r="M36" s="752">
        <v>37120</v>
      </c>
      <c r="N36" s="772" t="s">
        <v>555</v>
      </c>
      <c r="O36" s="770">
        <v>2118201</v>
      </c>
      <c r="P36" s="785"/>
      <c r="Q36" s="385">
        <f>40458.59*19.62</f>
        <v>793797.53579999995</v>
      </c>
      <c r="R36" s="766" t="s">
        <v>489</v>
      </c>
      <c r="S36" s="65">
        <f t="shared" ref="S36:S39" si="9">Q36+M36+K36</f>
        <v>842068.53579999995</v>
      </c>
      <c r="T36" s="65">
        <f t="shared" si="8"/>
        <v>45.163176203013954</v>
      </c>
      <c r="W36" s="73"/>
      <c r="X36" s="73"/>
      <c r="Y36" s="170"/>
      <c r="Z36" s="171"/>
      <c r="AA36" s="170"/>
      <c r="AB36" s="170"/>
      <c r="AC36" s="170"/>
    </row>
    <row r="37" spans="1:29" s="152" customFormat="1" ht="28.5" customHeight="1" x14ac:dyDescent="0.25">
      <c r="A37" s="100">
        <v>34</v>
      </c>
      <c r="B37" s="270" t="str">
        <f>PIERNA!B37</f>
        <v>SEABOARD FOODS</v>
      </c>
      <c r="C37" s="377" t="str">
        <f>PIERNA!C37</f>
        <v>Seaboard</v>
      </c>
      <c r="D37" s="594" t="str">
        <f>PIERNA!D37</f>
        <v>PED. 91408800</v>
      </c>
      <c r="E37" s="595">
        <f>PIERNA!E37</f>
        <v>44917</v>
      </c>
      <c r="F37" s="596">
        <f>PIERNA!F37</f>
        <v>19089.29</v>
      </c>
      <c r="G37" s="376">
        <f>PIERNA!G37</f>
        <v>21</v>
      </c>
      <c r="H37" s="409">
        <f>PIERNA!H37</f>
        <v>19014.3</v>
      </c>
      <c r="I37" s="689">
        <f>PIERNA!I37</f>
        <v>74.990000000001601</v>
      </c>
      <c r="J37" s="764" t="s">
        <v>451</v>
      </c>
      <c r="K37" s="751">
        <v>10101</v>
      </c>
      <c r="L37" s="765" t="s">
        <v>553</v>
      </c>
      <c r="M37" s="752">
        <v>37120</v>
      </c>
      <c r="N37" s="766" t="s">
        <v>554</v>
      </c>
      <c r="O37" s="774">
        <v>2118756</v>
      </c>
      <c r="P37" s="768"/>
      <c r="Q37" s="521">
        <f>41169.63*19.62</f>
        <v>807748.14060000004</v>
      </c>
      <c r="R37" s="766" t="s">
        <v>461</v>
      </c>
      <c r="S37" s="65">
        <f>Q37+M37+K37</f>
        <v>854969.14060000004</v>
      </c>
      <c r="T37" s="65">
        <f t="shared" si="8"/>
        <v>45.064534092761768</v>
      </c>
      <c r="W37" s="73"/>
      <c r="X37" s="73"/>
      <c r="Y37" s="170"/>
      <c r="Z37" s="171"/>
      <c r="AA37" s="170"/>
      <c r="AB37" s="170"/>
      <c r="AC37" s="170"/>
    </row>
    <row r="38" spans="1:29" s="152" customFormat="1" ht="28.5" customHeight="1" thickBot="1" x14ac:dyDescent="0.3">
      <c r="A38" s="100">
        <v>35</v>
      </c>
      <c r="B38" s="270" t="str">
        <f>PIERNA!B38</f>
        <v>TYSON FRESH MEAT</v>
      </c>
      <c r="C38" s="377" t="str">
        <f>PIERNA!C38</f>
        <v xml:space="preserve">I B P </v>
      </c>
      <c r="D38" s="440" t="str">
        <f>PIERNA!D38</f>
        <v>PED. 91478998</v>
      </c>
      <c r="E38" s="595">
        <f>PIERNA!E38</f>
        <v>44917</v>
      </c>
      <c r="F38" s="609">
        <f>PIERNA!F38</f>
        <v>18357.23</v>
      </c>
      <c r="G38" s="376">
        <f>PIERNA!G38</f>
        <v>20</v>
      </c>
      <c r="H38" s="408">
        <f>PIERNA!H38</f>
        <v>18390.810000000001</v>
      </c>
      <c r="I38" s="689">
        <f>PIERNA!I38</f>
        <v>-33.580000000001746</v>
      </c>
      <c r="J38" s="786" t="s">
        <v>452</v>
      </c>
      <c r="K38" s="751">
        <v>10101</v>
      </c>
      <c r="L38" s="787" t="s">
        <v>554</v>
      </c>
      <c r="M38" s="752">
        <v>37120</v>
      </c>
      <c r="N38" s="766" t="s">
        <v>555</v>
      </c>
      <c r="O38" s="774">
        <v>1243711</v>
      </c>
      <c r="P38" s="768"/>
      <c r="Q38" s="521">
        <f>39717.88*19.495</f>
        <v>774300.07059999998</v>
      </c>
      <c r="R38" s="769" t="s">
        <v>542</v>
      </c>
      <c r="S38" s="65">
        <f t="shared" si="9"/>
        <v>821521.07059999998</v>
      </c>
      <c r="T38" s="65">
        <f t="shared" si="8"/>
        <v>44.770195092005189</v>
      </c>
      <c r="W38" s="73"/>
      <c r="X38" s="73"/>
      <c r="Y38" s="170"/>
      <c r="Z38" s="171"/>
      <c r="AA38" s="170"/>
      <c r="AB38" s="170"/>
      <c r="AC38" s="170"/>
    </row>
    <row r="39" spans="1:29" s="152" customFormat="1" ht="27" customHeight="1" x14ac:dyDescent="0.25">
      <c r="A39" s="100">
        <v>36</v>
      </c>
      <c r="B39" s="75" t="str">
        <f>PIERNA!B39</f>
        <v>SEABOARD FOODS</v>
      </c>
      <c r="C39" s="148" t="str">
        <f>PIERNA!C39</f>
        <v>Seaboard</v>
      </c>
      <c r="D39" s="126" t="str">
        <f>PIERNA!D39</f>
        <v>PED. 91552977</v>
      </c>
      <c r="E39" s="134">
        <f>PIERNA!E39</f>
        <v>44918</v>
      </c>
      <c r="F39" s="160">
        <f>PIERNA!F39</f>
        <v>19059.93</v>
      </c>
      <c r="G39" s="100">
        <f>PIERNA!G39</f>
        <v>21</v>
      </c>
      <c r="H39" s="105">
        <f>PIERNA!H39</f>
        <v>19064.400000000001</v>
      </c>
      <c r="I39" s="105">
        <f>PIERNA!I39</f>
        <v>-4.4700000000011642</v>
      </c>
      <c r="J39" s="788" t="s">
        <v>453</v>
      </c>
      <c r="K39" s="385">
        <v>12161</v>
      </c>
      <c r="L39" s="787" t="s">
        <v>555</v>
      </c>
      <c r="M39" s="752">
        <v>37120</v>
      </c>
      <c r="N39" s="766" t="s">
        <v>556</v>
      </c>
      <c r="O39" s="767">
        <v>2120376</v>
      </c>
      <c r="P39" s="768"/>
      <c r="Q39" s="521">
        <f>40079.81*19.84</f>
        <v>795183.43039999995</v>
      </c>
      <c r="R39" s="769" t="s">
        <v>490</v>
      </c>
      <c r="S39" s="65">
        <f t="shared" si="9"/>
        <v>844464.43039999995</v>
      </c>
      <c r="T39" s="65">
        <f t="shared" si="8"/>
        <v>44.395358385262583</v>
      </c>
      <c r="W39" s="73"/>
      <c r="X39" s="73"/>
      <c r="Y39" s="170"/>
      <c r="Z39" s="171"/>
      <c r="AA39" s="170"/>
      <c r="AB39" s="170"/>
      <c r="AC39" s="170"/>
    </row>
    <row r="40" spans="1:29" s="152" customFormat="1" ht="27" customHeight="1" x14ac:dyDescent="0.25">
      <c r="A40" s="100">
        <v>37</v>
      </c>
      <c r="B40" s="75" t="str">
        <f>PIERNA!B40</f>
        <v>SEABOARD FOODS</v>
      </c>
      <c r="C40" s="148" t="str">
        <f>PIERNA!C40</f>
        <v>Seaboard</v>
      </c>
      <c r="D40" s="126" t="str">
        <f>PIERNA!D40</f>
        <v>PED. 91548406</v>
      </c>
      <c r="E40" s="134">
        <f>PIERNA!E40</f>
        <v>44918</v>
      </c>
      <c r="F40" s="160">
        <f>PIERNA!F40</f>
        <v>19147.78</v>
      </c>
      <c r="G40" s="100">
        <f>PIERNA!G40</f>
        <v>21</v>
      </c>
      <c r="H40" s="105">
        <f>PIERNA!H40</f>
        <v>19183.3</v>
      </c>
      <c r="I40" s="105">
        <f>PIERNA!I40</f>
        <v>-35.520000000000437</v>
      </c>
      <c r="J40" s="725" t="s">
        <v>454</v>
      </c>
      <c r="K40" s="752">
        <v>12001</v>
      </c>
      <c r="L40" s="765" t="s">
        <v>555</v>
      </c>
      <c r="M40" s="752">
        <v>37120</v>
      </c>
      <c r="N40" s="766" t="s">
        <v>556</v>
      </c>
      <c r="O40" s="767">
        <v>2120377</v>
      </c>
      <c r="P40" s="768"/>
      <c r="Q40" s="521">
        <f>40329.65*19.84</f>
        <v>800140.25600000005</v>
      </c>
      <c r="R40" s="769" t="s">
        <v>490</v>
      </c>
      <c r="S40" s="65">
        <f>Q40+M40+K40+P40</f>
        <v>849261.25600000005</v>
      </c>
      <c r="T40" s="65">
        <f t="shared" si="8"/>
        <v>44.37086351149177</v>
      </c>
      <c r="W40" s="73"/>
      <c r="X40" s="73"/>
      <c r="Y40" s="170"/>
      <c r="Z40" s="171"/>
      <c r="AA40" s="170"/>
      <c r="AB40" s="170"/>
      <c r="AC40" s="170"/>
    </row>
    <row r="41" spans="1:29" s="152" customFormat="1" ht="27" customHeight="1" x14ac:dyDescent="0.25">
      <c r="A41" s="100">
        <v>38</v>
      </c>
      <c r="B41" s="75" t="str">
        <f>PIERNA!B41</f>
        <v>SEABOARD FOODS</v>
      </c>
      <c r="C41" s="148" t="str">
        <f>PIERNA!C41</f>
        <v>Seaboard</v>
      </c>
      <c r="D41" s="126" t="str">
        <f>PIERNA!D41</f>
        <v>PED. 91443107</v>
      </c>
      <c r="E41" s="134">
        <f>PIERNA!E41</f>
        <v>44918</v>
      </c>
      <c r="F41" s="160">
        <f>PIERNA!F41</f>
        <v>19184.419999999998</v>
      </c>
      <c r="G41" s="100">
        <f>PIERNA!G41</f>
        <v>21</v>
      </c>
      <c r="H41" s="105">
        <f>PIERNA!H41</f>
        <v>19224.099999999999</v>
      </c>
      <c r="I41" s="105">
        <f>PIERNA!I41</f>
        <v>-39.680000000000291</v>
      </c>
      <c r="J41" s="725" t="s">
        <v>522</v>
      </c>
      <c r="K41" s="385">
        <v>12161</v>
      </c>
      <c r="L41" s="765" t="s">
        <v>553</v>
      </c>
      <c r="M41" s="752">
        <v>27840</v>
      </c>
      <c r="N41" s="766" t="s">
        <v>557</v>
      </c>
      <c r="O41" s="767">
        <v>2118755</v>
      </c>
      <c r="P41" s="768"/>
      <c r="Q41" s="521">
        <f>41623.36*19.62</f>
        <v>816650.3232000001</v>
      </c>
      <c r="R41" s="769" t="s">
        <v>461</v>
      </c>
      <c r="S41" s="65">
        <f>Q41+M41+K41+P41</f>
        <v>856651.3232000001</v>
      </c>
      <c r="T41" s="65">
        <f t="shared" si="8"/>
        <v>44.661322673103044</v>
      </c>
      <c r="W41" s="73"/>
      <c r="X41" s="73"/>
      <c r="Y41" s="170"/>
      <c r="AA41" s="170"/>
      <c r="AB41" s="170"/>
      <c r="AC41" s="170"/>
    </row>
    <row r="42" spans="1:29" s="152" customFormat="1" ht="27" customHeight="1" x14ac:dyDescent="0.25">
      <c r="A42" s="100">
        <v>39</v>
      </c>
      <c r="B42" s="75" t="str">
        <f>PIERNA!B42</f>
        <v>SEABOARD FOODS</v>
      </c>
      <c r="C42" s="479" t="str">
        <f>PIERNA!C42</f>
        <v>Seaboard</v>
      </c>
      <c r="D42" s="166" t="str">
        <f>PIERNA!D42</f>
        <v>PED. 91548649</v>
      </c>
      <c r="E42" s="134">
        <f>PIERNA!E42</f>
        <v>44919</v>
      </c>
      <c r="F42" s="445">
        <f>PIERNA!F42</f>
        <v>19113.990000000002</v>
      </c>
      <c r="G42" s="100">
        <f>PIERNA!G42</f>
        <v>21</v>
      </c>
      <c r="H42" s="368">
        <f>PIERNA!H42</f>
        <v>19033.599999999999</v>
      </c>
      <c r="I42" s="105">
        <f>PIERNA!I42</f>
        <v>80.390000000003056</v>
      </c>
      <c r="J42" s="725" t="s">
        <v>523</v>
      </c>
      <c r="K42" s="752">
        <v>12151</v>
      </c>
      <c r="L42" s="765" t="s">
        <v>554</v>
      </c>
      <c r="M42" s="752">
        <v>27840</v>
      </c>
      <c r="N42" s="766" t="s">
        <v>557</v>
      </c>
      <c r="O42" s="767">
        <v>2118757</v>
      </c>
      <c r="P42" s="768"/>
      <c r="Q42" s="521">
        <f>41001.07*19.825</f>
        <v>812846.21274999995</v>
      </c>
      <c r="R42" s="769" t="s">
        <v>463</v>
      </c>
      <c r="S42" s="65">
        <f t="shared" ref="S42:S59" si="10">Q42+M42+K42</f>
        <v>852837.21274999995</v>
      </c>
      <c r="T42" s="65">
        <f t="shared" ref="T42:T71" si="11">S42/H42+0.1</f>
        <v>44.906931571011263</v>
      </c>
      <c r="W42" s="73"/>
      <c r="X42" s="73"/>
      <c r="Y42" s="170"/>
      <c r="AA42" s="170"/>
      <c r="AB42" s="170"/>
      <c r="AC42" s="170"/>
    </row>
    <row r="43" spans="1:29" s="152" customFormat="1" ht="27" customHeight="1" x14ac:dyDescent="0.25">
      <c r="A43" s="100">
        <v>40</v>
      </c>
      <c r="B43" s="75" t="str">
        <f>PIERNA!B43</f>
        <v>SEABOARD FOODS</v>
      </c>
      <c r="C43" s="148" t="str">
        <f>PIERNA!C43</f>
        <v>Seaboard</v>
      </c>
      <c r="D43" s="224" t="str">
        <f>PIERNA!D43</f>
        <v>PED. 91534162</v>
      </c>
      <c r="E43" s="134">
        <f>PIERNA!E43</f>
        <v>44919</v>
      </c>
      <c r="F43" s="445">
        <f>PIERNA!F43</f>
        <v>19299.72</v>
      </c>
      <c r="G43" s="100">
        <f>PIERNA!G43</f>
        <v>21</v>
      </c>
      <c r="H43" s="368">
        <f>PIERNA!H43</f>
        <v>19242.3</v>
      </c>
      <c r="I43" s="105">
        <f>PIERNA!I43</f>
        <v>57.420000000001892</v>
      </c>
      <c r="J43" s="725" t="s">
        <v>524</v>
      </c>
      <c r="K43" s="752">
        <v>11151</v>
      </c>
      <c r="L43" s="765" t="s">
        <v>556</v>
      </c>
      <c r="M43" s="752">
        <v>37120</v>
      </c>
      <c r="N43" s="766" t="s">
        <v>556</v>
      </c>
      <c r="O43" s="767">
        <v>2120378</v>
      </c>
      <c r="P43" s="768"/>
      <c r="Q43" s="521">
        <f>39456.7*19.785</f>
        <v>780650.80949999997</v>
      </c>
      <c r="R43" s="769" t="s">
        <v>458</v>
      </c>
      <c r="S43" s="65">
        <f t="shared" si="10"/>
        <v>828921.80949999997</v>
      </c>
      <c r="T43" s="65">
        <f>S43/H43+0.1</f>
        <v>43.178104462564249</v>
      </c>
    </row>
    <row r="44" spans="1:29" s="152" customFormat="1" ht="27" customHeight="1" x14ac:dyDescent="0.25">
      <c r="A44" s="100">
        <v>41</v>
      </c>
      <c r="B44" s="75" t="str">
        <f>PIERNA!B44</f>
        <v>SEABOARD FOODS</v>
      </c>
      <c r="C44" s="148" t="str">
        <f>PIERNA!C44</f>
        <v>Seaboard</v>
      </c>
      <c r="D44" s="166" t="str">
        <f>PIERNA!D44</f>
        <v>PED. 91509926</v>
      </c>
      <c r="E44" s="134">
        <f>PIERNA!E44</f>
        <v>44921</v>
      </c>
      <c r="F44" s="445">
        <f>PIERNA!F44</f>
        <v>19182.900000000001</v>
      </c>
      <c r="G44" s="100">
        <f>PIERNA!G44</f>
        <v>21</v>
      </c>
      <c r="H44" s="368">
        <f>PIERNA!H44</f>
        <v>19238</v>
      </c>
      <c r="I44" s="105">
        <f>PIERNA!I44</f>
        <v>-55.099999999998545</v>
      </c>
      <c r="J44" s="274" t="s">
        <v>563</v>
      </c>
      <c r="K44" s="381">
        <v>11151</v>
      </c>
      <c r="L44" s="591" t="s">
        <v>554</v>
      </c>
      <c r="M44" s="752">
        <v>27840</v>
      </c>
      <c r="N44" s="772" t="s">
        <v>557</v>
      </c>
      <c r="O44" s="384">
        <v>2119673</v>
      </c>
      <c r="P44" s="383"/>
      <c r="Q44" s="385">
        <f>41440.77*19.825</f>
        <v>821563.26524999994</v>
      </c>
      <c r="R44" s="1144" t="s">
        <v>463</v>
      </c>
      <c r="S44" s="65">
        <f>Q44+M44+K44</f>
        <v>860554.26524999994</v>
      </c>
      <c r="T44" s="65">
        <f t="shared" si="11"/>
        <v>44.832002560037424</v>
      </c>
    </row>
    <row r="45" spans="1:29" s="152" customFormat="1" ht="27" customHeight="1" x14ac:dyDescent="0.25">
      <c r="A45" s="100">
        <v>42</v>
      </c>
      <c r="B45" s="75" t="str">
        <f>PIERNA!B45</f>
        <v>SEABOARD FOODS</v>
      </c>
      <c r="C45" s="148" t="str">
        <f>PIERNA!C45</f>
        <v>Seaboard</v>
      </c>
      <c r="D45" s="166" t="str">
        <f>PIERNA!D45</f>
        <v>PED. 91773391</v>
      </c>
      <c r="E45" s="134">
        <f>PIERNA!E45</f>
        <v>44924</v>
      </c>
      <c r="F45" s="445">
        <f>PIERNA!F45</f>
        <v>18823.7</v>
      </c>
      <c r="G45" s="100">
        <f>PIERNA!G45</f>
        <v>21</v>
      </c>
      <c r="H45" s="368">
        <f>PIERNA!H45</f>
        <v>18878.87</v>
      </c>
      <c r="I45" s="105">
        <f>PIERNA!I45</f>
        <v>-55.169999999998254</v>
      </c>
      <c r="J45" s="274" t="s">
        <v>532</v>
      </c>
      <c r="K45" s="381">
        <v>12001</v>
      </c>
      <c r="L45" s="591" t="s">
        <v>558</v>
      </c>
      <c r="M45" s="381">
        <v>37120</v>
      </c>
      <c r="N45" s="592" t="s">
        <v>559</v>
      </c>
      <c r="O45" s="384">
        <v>2121338</v>
      </c>
      <c r="P45" s="383"/>
      <c r="Q45" s="385">
        <f>41121.55*19.755</f>
        <v>812356.22025000001</v>
      </c>
      <c r="R45" s="1144" t="s">
        <v>551</v>
      </c>
      <c r="S45" s="65">
        <f>Q45+M45+K45</f>
        <v>861477.22025000001</v>
      </c>
      <c r="T45" s="65">
        <f t="shared" si="11"/>
        <v>45.731821197455147</v>
      </c>
    </row>
    <row r="46" spans="1:29" s="152" customFormat="1" ht="27" customHeight="1" x14ac:dyDescent="0.25">
      <c r="A46" s="100">
        <v>43</v>
      </c>
      <c r="B46" s="75" t="str">
        <f>PIERNA!B46</f>
        <v>SEABOARD FOODS</v>
      </c>
      <c r="C46" s="148" t="str">
        <f>PIERNA!C46</f>
        <v>Seaboard</v>
      </c>
      <c r="D46" s="166" t="str">
        <f>PIERNA!D46</f>
        <v>PED. 91773084</v>
      </c>
      <c r="E46" s="134">
        <f>PIERNA!E46</f>
        <v>44924</v>
      </c>
      <c r="F46" s="445">
        <f>PIERNA!F46</f>
        <v>19110.349999999999</v>
      </c>
      <c r="G46" s="100">
        <f>PIERNA!G46</f>
        <v>21</v>
      </c>
      <c r="H46" s="368">
        <f>PIERNA!H46</f>
        <v>19235.099999999999</v>
      </c>
      <c r="I46" s="105">
        <f>PIERNA!I46</f>
        <v>-124.75</v>
      </c>
      <c r="J46" s="274" t="s">
        <v>533</v>
      </c>
      <c r="K46" s="381">
        <v>12151</v>
      </c>
      <c r="L46" s="591" t="s">
        <v>558</v>
      </c>
      <c r="M46" s="381">
        <v>37120</v>
      </c>
      <c r="N46" s="592" t="s">
        <v>559</v>
      </c>
      <c r="O46" s="384">
        <v>2121710</v>
      </c>
      <c r="P46" s="383"/>
      <c r="Q46" s="385">
        <f>41897.13*19.755</f>
        <v>827677.80314999993</v>
      </c>
      <c r="R46" s="1144" t="s">
        <v>547</v>
      </c>
      <c r="S46" s="65">
        <f>Q46+M46+K46</f>
        <v>876948.80314999993</v>
      </c>
      <c r="T46" s="65">
        <f t="shared" si="11"/>
        <v>45.691070654688566</v>
      </c>
    </row>
    <row r="47" spans="1:29" s="152" customFormat="1" ht="27" customHeight="1" x14ac:dyDescent="0.25">
      <c r="A47" s="100">
        <v>44</v>
      </c>
      <c r="B47" s="75" t="str">
        <f>PIERNA!B47</f>
        <v>TYSON FRESH MEAT</v>
      </c>
      <c r="C47" s="148" t="str">
        <f>PIERNA!C47</f>
        <v xml:space="preserve">I B P </v>
      </c>
      <c r="D47" s="166" t="str">
        <f>PIERNA!D47</f>
        <v>PED. 91773083</v>
      </c>
      <c r="E47" s="134">
        <f>PIERNA!E47</f>
        <v>44924</v>
      </c>
      <c r="F47" s="445">
        <f>PIERNA!F47</f>
        <v>18781.439999999999</v>
      </c>
      <c r="G47" s="100">
        <f>PIERNA!G47</f>
        <v>20</v>
      </c>
      <c r="H47" s="368">
        <f>PIERNA!H47</f>
        <v>18793.14</v>
      </c>
      <c r="I47" s="105">
        <f>PIERNA!I47</f>
        <v>-11.700000000000728</v>
      </c>
      <c r="J47" s="274" t="s">
        <v>534</v>
      </c>
      <c r="K47" s="381">
        <v>11151</v>
      </c>
      <c r="L47" s="591" t="s">
        <v>558</v>
      </c>
      <c r="M47" s="578">
        <v>37120</v>
      </c>
      <c r="N47" s="592" t="s">
        <v>559</v>
      </c>
      <c r="O47" s="387">
        <v>1251040</v>
      </c>
      <c r="P47" s="383"/>
      <c r="Q47" s="385">
        <f>41038.39*19.385</f>
        <v>795529.19015000004</v>
      </c>
      <c r="R47" s="1144" t="s">
        <v>544</v>
      </c>
      <c r="S47" s="65">
        <f>Q47+M47+K47</f>
        <v>843800.19015000004</v>
      </c>
      <c r="T47" s="65">
        <f>S47/H47</f>
        <v>44.899372332138221</v>
      </c>
    </row>
    <row r="48" spans="1:29" s="152" customFormat="1" ht="27" customHeight="1" x14ac:dyDescent="0.25">
      <c r="A48" s="100">
        <v>45</v>
      </c>
      <c r="B48" s="75" t="str">
        <f>PIERNA!B48</f>
        <v>SEABOARD FOODS</v>
      </c>
      <c r="C48" s="148" t="str">
        <f>PIERNA!C48</f>
        <v>Seaboard</v>
      </c>
      <c r="D48" s="166" t="str">
        <f>PIERNA!D48</f>
        <v>PED. 91898611</v>
      </c>
      <c r="E48" s="134">
        <f>PIERNA!E48</f>
        <v>44925</v>
      </c>
      <c r="F48" s="445">
        <f>PIERNA!F48</f>
        <v>17876.36</v>
      </c>
      <c r="G48" s="100">
        <f>PIERNA!G48</f>
        <v>20</v>
      </c>
      <c r="H48" s="368">
        <f>PIERNA!H48</f>
        <v>17920.8</v>
      </c>
      <c r="I48" s="105">
        <f>PIERNA!I48</f>
        <v>-44.43999999999869</v>
      </c>
      <c r="J48" s="274" t="s">
        <v>539</v>
      </c>
      <c r="K48" s="381">
        <v>12161</v>
      </c>
      <c r="L48" s="591" t="s">
        <v>559</v>
      </c>
      <c r="M48" s="579">
        <v>37120</v>
      </c>
      <c r="N48" s="592" t="s">
        <v>560</v>
      </c>
      <c r="O48" s="384">
        <v>2122567</v>
      </c>
      <c r="P48" s="383"/>
      <c r="Q48" s="385">
        <f>39019.09*19.4</f>
        <v>756970.3459999999</v>
      </c>
      <c r="R48" s="1144" t="s">
        <v>542</v>
      </c>
      <c r="S48" s="65">
        <f>Q48+M48+K48</f>
        <v>806251.3459999999</v>
      </c>
      <c r="T48" s="65">
        <f t="shared" ref="T48:T65" si="12">S48/H48</f>
        <v>44.989696107316632</v>
      </c>
    </row>
    <row r="49" spans="1:20" s="152" customFormat="1" ht="27" customHeight="1" x14ac:dyDescent="0.25">
      <c r="A49" s="100">
        <v>46</v>
      </c>
      <c r="B49" s="75" t="str">
        <f>PIERNA!QT5</f>
        <v>SEABOARD FOODS</v>
      </c>
      <c r="C49" s="148" t="str">
        <f>PIERNA!QU5</f>
        <v>Seaboard</v>
      </c>
      <c r="D49" s="166" t="str">
        <f>PIERNA!D49</f>
        <v>PED. 91934532</v>
      </c>
      <c r="E49" s="134">
        <f>PIERNA!E49</f>
        <v>44926</v>
      </c>
      <c r="F49" s="445">
        <f>PIERNA!F49</f>
        <v>18047.189999999999</v>
      </c>
      <c r="G49" s="100">
        <f>PIERNA!G49</f>
        <v>20</v>
      </c>
      <c r="H49" s="368">
        <f>PIERNA!H49</f>
        <v>18100.400000000001</v>
      </c>
      <c r="I49" s="105">
        <f>PIERNA!I49</f>
        <v>-53.210000000002765</v>
      </c>
      <c r="J49" s="274" t="s">
        <v>540</v>
      </c>
      <c r="K49" s="381">
        <v>16951</v>
      </c>
      <c r="L49" s="591" t="s">
        <v>560</v>
      </c>
      <c r="M49" s="579">
        <v>37120</v>
      </c>
      <c r="N49" s="592" t="s">
        <v>561</v>
      </c>
      <c r="O49" s="384">
        <v>2122566</v>
      </c>
      <c r="P49" s="383"/>
      <c r="Q49" s="385">
        <f>39410.18*19.755</f>
        <v>778548.10589999997</v>
      </c>
      <c r="R49" s="1144" t="s">
        <v>547</v>
      </c>
      <c r="S49" s="65">
        <f t="shared" ref="S49:S53" si="13">Q49+M49+K49</f>
        <v>832619.10589999997</v>
      </c>
      <c r="T49" s="65">
        <f t="shared" si="12"/>
        <v>46.000038999138134</v>
      </c>
    </row>
    <row r="50" spans="1:20" s="152" customFormat="1" ht="29.25" customHeight="1" x14ac:dyDescent="0.25">
      <c r="A50" s="100">
        <v>47</v>
      </c>
      <c r="B50" s="75" t="str">
        <f>PIERNA!RD5</f>
        <v>SEABOARD FOODS</v>
      </c>
      <c r="C50" s="148" t="str">
        <f>PIERNA!RE5</f>
        <v>Seaboard</v>
      </c>
      <c r="D50" s="166" t="str">
        <f>PIERNA!D50</f>
        <v>PED. 92055233</v>
      </c>
      <c r="E50" s="134">
        <f>PIERNA!E50</f>
        <v>44930</v>
      </c>
      <c r="F50" s="445">
        <f>PIERNA!F50</f>
        <v>18918.5</v>
      </c>
      <c r="G50" s="100">
        <f>PIERNA!G50</f>
        <v>21</v>
      </c>
      <c r="H50" s="368">
        <f>PIERNA!H50</f>
        <v>18778.7</v>
      </c>
      <c r="I50" s="105">
        <f>PIERNA!I50</f>
        <v>139.79999999999927</v>
      </c>
      <c r="J50" s="1215" t="s">
        <v>917</v>
      </c>
      <c r="K50" s="381">
        <v>11424</v>
      </c>
      <c r="L50" s="1478" t="s">
        <v>960</v>
      </c>
      <c r="M50" s="579">
        <v>37120</v>
      </c>
      <c r="N50" s="592" t="s">
        <v>961</v>
      </c>
      <c r="O50" s="1218">
        <v>2123690</v>
      </c>
      <c r="P50" s="383"/>
      <c r="Q50" s="903">
        <f>39582.54*19.495</f>
        <v>771661.61730000004</v>
      </c>
      <c r="R50" s="1219" t="s">
        <v>542</v>
      </c>
      <c r="S50" s="65">
        <f t="shared" si="13"/>
        <v>820205.61730000004</v>
      </c>
      <c r="T50" s="65">
        <f t="shared" si="12"/>
        <v>43.677443981745277</v>
      </c>
    </row>
    <row r="51" spans="1:20" s="152" customFormat="1" ht="29.25" customHeight="1" x14ac:dyDescent="0.25">
      <c r="A51" s="100">
        <v>48</v>
      </c>
      <c r="B51" s="75" t="str">
        <f>PIERNA!B51</f>
        <v xml:space="preserve">SEABOARD FOODS </v>
      </c>
      <c r="C51" s="148" t="str">
        <f>PIERNA!C51</f>
        <v>Seaboard</v>
      </c>
      <c r="D51" s="166" t="str">
        <f>PIERNA!D51</f>
        <v>PED. 92055235</v>
      </c>
      <c r="E51" s="134">
        <f>PIERNA!E51</f>
        <v>44930</v>
      </c>
      <c r="F51" s="445">
        <f>PIERNA!F51</f>
        <v>19030.25</v>
      </c>
      <c r="G51" s="100">
        <f>PIERNA!G51</f>
        <v>21</v>
      </c>
      <c r="H51" s="368">
        <f>PIERNA!H51</f>
        <v>18913.900000000001</v>
      </c>
      <c r="I51" s="105">
        <f>PIERNA!I51</f>
        <v>116.34999999999854</v>
      </c>
      <c r="J51" s="1215" t="s">
        <v>918</v>
      </c>
      <c r="K51" s="381">
        <v>12424</v>
      </c>
      <c r="L51" s="1478" t="s">
        <v>960</v>
      </c>
      <c r="M51" s="579">
        <v>37120</v>
      </c>
      <c r="N51" s="592" t="s">
        <v>961</v>
      </c>
      <c r="O51" s="1218">
        <v>2123691</v>
      </c>
      <c r="P51" s="580"/>
      <c r="Q51" s="903">
        <f>39867.46*19.495</f>
        <v>777216.13270000007</v>
      </c>
      <c r="R51" s="1219" t="s">
        <v>542</v>
      </c>
      <c r="S51" s="65">
        <f t="shared" si="13"/>
        <v>826760.13270000007</v>
      </c>
      <c r="T51" s="65">
        <f t="shared" si="12"/>
        <v>43.711774552049022</v>
      </c>
    </row>
    <row r="52" spans="1:20" s="152" customFormat="1" ht="29.25" customHeight="1" x14ac:dyDescent="0.25">
      <c r="A52" s="100">
        <v>49</v>
      </c>
      <c r="B52" s="75" t="str">
        <f>PIERNA!B50</f>
        <v>SEABOARD FOODS</v>
      </c>
      <c r="C52" s="148" t="str">
        <f>PIERNA!C50</f>
        <v>Seaboard</v>
      </c>
      <c r="D52" s="166" t="str">
        <f>PIERNA!D52</f>
        <v>PED. 92055028</v>
      </c>
      <c r="E52" s="134">
        <f>PIERNA!E52</f>
        <v>44930</v>
      </c>
      <c r="F52" s="445">
        <f>PIERNA!F52</f>
        <v>18644.88</v>
      </c>
      <c r="G52" s="100">
        <f>PIERNA!G52</f>
        <v>20</v>
      </c>
      <c r="H52" s="368">
        <f>PIERNA!H52</f>
        <v>18697.88</v>
      </c>
      <c r="I52" s="105">
        <f>PIERNA!I52</f>
        <v>-53</v>
      </c>
      <c r="J52" s="1215" t="s">
        <v>919</v>
      </c>
      <c r="K52" s="381">
        <v>10124</v>
      </c>
      <c r="L52" s="1478" t="s">
        <v>960</v>
      </c>
      <c r="M52" s="579">
        <v>37120</v>
      </c>
      <c r="N52" s="592" t="s">
        <v>961</v>
      </c>
      <c r="O52" s="1218">
        <v>1259424</v>
      </c>
      <c r="P52" s="383"/>
      <c r="Q52" s="385">
        <f>39103.19*19.345</f>
        <v>756451.21054999996</v>
      </c>
      <c r="R52" s="1477" t="s">
        <v>928</v>
      </c>
      <c r="S52" s="65">
        <f t="shared" si="13"/>
        <v>803695.21054999996</v>
      </c>
      <c r="T52" s="65">
        <f t="shared" si="12"/>
        <v>42.983226470059705</v>
      </c>
    </row>
    <row r="53" spans="1:20" s="152" customFormat="1" ht="29.25" customHeight="1" x14ac:dyDescent="0.25">
      <c r="A53" s="100">
        <v>50</v>
      </c>
      <c r="B53" s="75" t="str">
        <f>PIERNA!SH5</f>
        <v>TYSON FRESH MEAT</v>
      </c>
      <c r="C53" s="148" t="str">
        <f>PIERNA!SI5</f>
        <v xml:space="preserve">I B P </v>
      </c>
      <c r="D53" s="166" t="str">
        <f>PIERNA!SJ5</f>
        <v>PED. 92094650</v>
      </c>
      <c r="E53" s="134">
        <f>PIERNA!SK5</f>
        <v>44931</v>
      </c>
      <c r="F53" s="445">
        <f>PIERNA!SL5</f>
        <v>18440.98</v>
      </c>
      <c r="G53" s="100">
        <f>PIERNA!SM5</f>
        <v>20</v>
      </c>
      <c r="H53" s="368">
        <f>PIERNA!SN5</f>
        <v>18520.990000000002</v>
      </c>
      <c r="I53" s="105">
        <f>PIERNA!I53</f>
        <v>-80.010000000002037</v>
      </c>
      <c r="J53" s="1215" t="s">
        <v>920</v>
      </c>
      <c r="K53" s="381">
        <v>12424</v>
      </c>
      <c r="L53" s="591" t="s">
        <v>961</v>
      </c>
      <c r="M53" s="579">
        <v>37120</v>
      </c>
      <c r="N53" s="592" t="s">
        <v>962</v>
      </c>
      <c r="O53" s="1218">
        <v>1260647</v>
      </c>
      <c r="P53" s="383"/>
      <c r="Q53" s="385">
        <f>39161.97*19.36</f>
        <v>758175.73919999995</v>
      </c>
      <c r="R53" s="1144" t="s">
        <v>959</v>
      </c>
      <c r="S53" s="65">
        <f t="shared" si="13"/>
        <v>807719.73919999995</v>
      </c>
      <c r="T53" s="65">
        <f t="shared" si="12"/>
        <v>43.611045586655997</v>
      </c>
    </row>
    <row r="54" spans="1:20" s="152" customFormat="1" ht="29.25" customHeight="1" x14ac:dyDescent="0.25">
      <c r="A54" s="100">
        <v>51</v>
      </c>
      <c r="B54" s="75" t="str">
        <f>PIERNA!SR5</f>
        <v>SEABOARD FOODS</v>
      </c>
      <c r="C54" s="148" t="str">
        <f>PIERNA!SS5</f>
        <v>Seaboard</v>
      </c>
      <c r="D54" s="166" t="str">
        <f>PIERNA!D53</f>
        <v>PED. 92094650</v>
      </c>
      <c r="E54" s="134">
        <f>PIERNA!E53</f>
        <v>44931</v>
      </c>
      <c r="F54" s="445">
        <f>PIERNA!F53</f>
        <v>18440.98</v>
      </c>
      <c r="G54" s="100">
        <f>PIERNA!G53</f>
        <v>20</v>
      </c>
      <c r="H54" s="368">
        <f>PIERNA!H53</f>
        <v>18520.990000000002</v>
      </c>
      <c r="I54" s="105">
        <f>PIERNA!I54</f>
        <v>119.51000000000204</v>
      </c>
      <c r="J54" s="1215" t="s">
        <v>921</v>
      </c>
      <c r="K54" s="381">
        <v>10124</v>
      </c>
      <c r="L54" s="591" t="s">
        <v>961</v>
      </c>
      <c r="M54" s="579">
        <v>27840</v>
      </c>
      <c r="N54" s="592" t="s">
        <v>965</v>
      </c>
      <c r="O54" s="1218">
        <v>2123692</v>
      </c>
      <c r="P54" s="383"/>
      <c r="Q54" s="903">
        <f>40442.54*19.435</f>
        <v>786000.76489999995</v>
      </c>
      <c r="R54" s="1220" t="s">
        <v>549</v>
      </c>
      <c r="S54" s="65">
        <f t="shared" si="10"/>
        <v>823964.76489999995</v>
      </c>
      <c r="T54" s="65">
        <f t="shared" si="12"/>
        <v>44.488159914777768</v>
      </c>
    </row>
    <row r="55" spans="1:20" s="152" customFormat="1" ht="29.25" customHeight="1" x14ac:dyDescent="0.25">
      <c r="A55" s="100">
        <v>52</v>
      </c>
      <c r="B55" s="75" t="str">
        <f>PIERNA!TB5</f>
        <v>SEABOARD FOODS</v>
      </c>
      <c r="C55" s="148" t="str">
        <f>PIERNA!TC5</f>
        <v>Seaboard</v>
      </c>
      <c r="D55" s="215" t="str">
        <f>PIERNA!TD5</f>
        <v>PED. 92195156</v>
      </c>
      <c r="E55" s="134">
        <f>PIERNA!TE5</f>
        <v>44933</v>
      </c>
      <c r="F55" s="448">
        <f>PIERNA!TF5</f>
        <v>19001.259999999998</v>
      </c>
      <c r="G55" s="100">
        <f>PIERNA!TG5</f>
        <v>21</v>
      </c>
      <c r="H55" s="368">
        <f>PIERNA!TH5</f>
        <v>19027.2</v>
      </c>
      <c r="I55" s="105">
        <f>PIERNA!I55</f>
        <v>-25.940000000002328</v>
      </c>
      <c r="J55" s="1215" t="s">
        <v>922</v>
      </c>
      <c r="K55" s="381">
        <v>10124</v>
      </c>
      <c r="L55" s="591" t="s">
        <v>964</v>
      </c>
      <c r="M55" s="579">
        <v>37120</v>
      </c>
      <c r="N55" s="592" t="s">
        <v>963</v>
      </c>
      <c r="O55" s="1218">
        <v>2124980</v>
      </c>
      <c r="P55" s="383"/>
      <c r="Q55" s="903">
        <f>39141.68*19.45</f>
        <v>761305.67599999998</v>
      </c>
      <c r="R55" s="1220" t="s">
        <v>544</v>
      </c>
      <c r="S55" s="65">
        <f t="shared" si="10"/>
        <v>808549.67599999998</v>
      </c>
      <c r="T55" s="65">
        <f t="shared" si="12"/>
        <v>42.494411999663633</v>
      </c>
    </row>
    <row r="56" spans="1:20" s="152" customFormat="1" x14ac:dyDescent="0.25">
      <c r="A56" s="100">
        <v>53</v>
      </c>
      <c r="B56" s="75">
        <f>PIERNA!TL5</f>
        <v>0</v>
      </c>
      <c r="C56" s="148">
        <f>PIERNA!TM5</f>
        <v>0</v>
      </c>
      <c r="D56" s="166">
        <f>PIERNA!TN5</f>
        <v>0</v>
      </c>
      <c r="E56" s="134">
        <f>PIERNA!TO5</f>
        <v>0</v>
      </c>
      <c r="F56" s="445">
        <f>PIERNA!TP5</f>
        <v>0</v>
      </c>
      <c r="G56" s="100">
        <f>PIERNA!TQ5</f>
        <v>0</v>
      </c>
      <c r="H56" s="368">
        <f>PIERNA!TR5</f>
        <v>0</v>
      </c>
      <c r="I56" s="105">
        <f>PIERNA!I56</f>
        <v>0</v>
      </c>
      <c r="J56" s="274"/>
      <c r="K56" s="381"/>
      <c r="L56" s="591"/>
      <c r="M56" s="579"/>
      <c r="N56" s="592"/>
      <c r="O56" s="384"/>
      <c r="P56" s="383"/>
      <c r="Q56" s="385"/>
      <c r="R56" s="653"/>
      <c r="S56" s="65">
        <f t="shared" si="10"/>
        <v>0</v>
      </c>
      <c r="T56" s="65" t="e">
        <f t="shared" si="12"/>
        <v>#DIV/0!</v>
      </c>
    </row>
    <row r="57" spans="1:20" s="152" customFormat="1" x14ac:dyDescent="0.25">
      <c r="A57" s="100">
        <v>54</v>
      </c>
      <c r="B57" s="130">
        <f>PIERNA!B57</f>
        <v>0</v>
      </c>
      <c r="C57" s="148">
        <f>PIERNA!C57</f>
        <v>0</v>
      </c>
      <c r="D57" s="166">
        <f>PIERNA!D57</f>
        <v>0</v>
      </c>
      <c r="E57" s="134">
        <f>PIERNA!E57</f>
        <v>0</v>
      </c>
      <c r="F57" s="445">
        <f>PIERNA!F57</f>
        <v>0</v>
      </c>
      <c r="G57" s="163">
        <f>PIERNA!G57</f>
        <v>0</v>
      </c>
      <c r="H57" s="368">
        <f>PIERNA!H57</f>
        <v>0</v>
      </c>
      <c r="I57" s="105">
        <f>PIERNA!I57</f>
        <v>0</v>
      </c>
      <c r="J57" s="274"/>
      <c r="K57" s="381"/>
      <c r="L57" s="591"/>
      <c r="M57" s="579"/>
      <c r="N57" s="592"/>
      <c r="O57" s="384"/>
      <c r="P57" s="383"/>
      <c r="Q57" s="385"/>
      <c r="R57" s="653"/>
      <c r="S57" s="65">
        <f t="shared" si="10"/>
        <v>0</v>
      </c>
      <c r="T57" s="65" t="e">
        <f t="shared" si="12"/>
        <v>#DIV/0!</v>
      </c>
    </row>
    <row r="58" spans="1:20" s="152" customFormat="1" x14ac:dyDescent="0.25">
      <c r="A58" s="100">
        <v>55</v>
      </c>
      <c r="B58" s="75">
        <f>PIERNA!B58</f>
        <v>0</v>
      </c>
      <c r="C58" s="148">
        <f>PIERNA!C58</f>
        <v>0</v>
      </c>
      <c r="D58" s="166">
        <f>PIERNA!D58</f>
        <v>0</v>
      </c>
      <c r="E58" s="134">
        <f>PIERNA!E58</f>
        <v>0</v>
      </c>
      <c r="F58" s="445">
        <f>PIERNA!F58</f>
        <v>0</v>
      </c>
      <c r="G58" s="100">
        <f>PIERNA!G58</f>
        <v>0</v>
      </c>
      <c r="H58" s="368">
        <f>PIERNA!H58</f>
        <v>0</v>
      </c>
      <c r="I58" s="105">
        <f>PIERNA!I58</f>
        <v>0</v>
      </c>
      <c r="J58" s="274"/>
      <c r="K58" s="381"/>
      <c r="L58" s="591"/>
      <c r="M58" s="579"/>
      <c r="N58" s="592"/>
      <c r="O58" s="384"/>
      <c r="P58" s="383"/>
      <c r="Q58" s="385"/>
      <c r="R58" s="653"/>
      <c r="S58" s="65">
        <f t="shared" si="10"/>
        <v>0</v>
      </c>
      <c r="T58" s="65" t="e">
        <f t="shared" si="12"/>
        <v>#DIV/0!</v>
      </c>
    </row>
    <row r="59" spans="1:20" s="152" customFormat="1" x14ac:dyDescent="0.25">
      <c r="A59" s="100">
        <v>56</v>
      </c>
      <c r="B59" s="75">
        <f>PIERNA!B59</f>
        <v>0</v>
      </c>
      <c r="C59" s="148">
        <f>PIERNA!C59</f>
        <v>0</v>
      </c>
      <c r="D59" s="166">
        <f>PIERNA!D59</f>
        <v>0</v>
      </c>
      <c r="E59" s="134">
        <f>PIERNA!E59</f>
        <v>0</v>
      </c>
      <c r="F59" s="445">
        <f>PIERNA!F59</f>
        <v>0</v>
      </c>
      <c r="G59" s="100">
        <f>PIERNA!G59</f>
        <v>0</v>
      </c>
      <c r="H59" s="368">
        <f>PIERNA!H59</f>
        <v>0</v>
      </c>
      <c r="I59" s="105">
        <f>PIERNA!I59</f>
        <v>0</v>
      </c>
      <c r="J59" s="274"/>
      <c r="K59" s="381"/>
      <c r="L59" s="591"/>
      <c r="M59" s="579"/>
      <c r="N59" s="592"/>
      <c r="O59" s="384"/>
      <c r="P59" s="383"/>
      <c r="Q59" s="385"/>
      <c r="R59" s="653"/>
      <c r="S59" s="65">
        <f t="shared" si="10"/>
        <v>0</v>
      </c>
      <c r="T59" s="65" t="e">
        <f t="shared" si="12"/>
        <v>#DIV/0!</v>
      </c>
    </row>
    <row r="60" spans="1:20" s="152" customFormat="1" x14ac:dyDescent="0.25">
      <c r="A60" s="100">
        <v>57</v>
      </c>
      <c r="B60" s="75">
        <f>PIERNA!B60</f>
        <v>0</v>
      </c>
      <c r="C60" s="148">
        <f>PIERNA!UX5</f>
        <v>0</v>
      </c>
      <c r="D60" s="166">
        <f>PIERNA!D60</f>
        <v>0</v>
      </c>
      <c r="E60" s="134">
        <f>PIERNA!E60</f>
        <v>0</v>
      </c>
      <c r="F60" s="445">
        <f>PIERNA!F60</f>
        <v>0</v>
      </c>
      <c r="G60" s="100">
        <f>PIERNA!G60</f>
        <v>0</v>
      </c>
      <c r="H60" s="368">
        <f>PIERNA!H60</f>
        <v>0</v>
      </c>
      <c r="I60" s="105">
        <f>PIERNA!I60</f>
        <v>0</v>
      </c>
      <c r="J60" s="274"/>
      <c r="K60" s="581"/>
      <c r="L60" s="646"/>
      <c r="M60" s="579"/>
      <c r="N60" s="592"/>
      <c r="O60" s="384"/>
      <c r="P60" s="383"/>
      <c r="Q60" s="385"/>
      <c r="R60" s="653"/>
      <c r="S60" s="65">
        <f>Q60+M60+L60</f>
        <v>0</v>
      </c>
      <c r="T60" s="65" t="e">
        <f t="shared" si="12"/>
        <v>#DIV/0!</v>
      </c>
    </row>
    <row r="61" spans="1:20" s="152" customFormat="1" x14ac:dyDescent="0.25">
      <c r="A61" s="100">
        <v>58</v>
      </c>
      <c r="B61" s="75">
        <f>PIERNA!B61</f>
        <v>0</v>
      </c>
      <c r="C61" s="148">
        <f>PIERNA!C61</f>
        <v>0</v>
      </c>
      <c r="D61" s="166">
        <f>PIERNA!D61</f>
        <v>0</v>
      </c>
      <c r="E61" s="134">
        <f>PIERNA!E61</f>
        <v>0</v>
      </c>
      <c r="F61" s="445">
        <f>PIERNA!F61</f>
        <v>0</v>
      </c>
      <c r="G61" s="100">
        <f>PIERNA!G61</f>
        <v>0</v>
      </c>
      <c r="H61" s="368">
        <f>PIERNA!H61</f>
        <v>0</v>
      </c>
      <c r="I61" s="105">
        <f>PIERNA!I61</f>
        <v>0</v>
      </c>
      <c r="J61" s="274"/>
      <c r="K61" s="381"/>
      <c r="L61" s="591"/>
      <c r="M61" s="579"/>
      <c r="N61" s="592"/>
      <c r="O61" s="384"/>
      <c r="P61" s="383"/>
      <c r="Q61" s="385"/>
      <c r="R61" s="653"/>
      <c r="S61" s="65">
        <f t="shared" ref="S61:S71" si="14">Q61+M61+K61</f>
        <v>0</v>
      </c>
      <c r="T61" s="65" t="e">
        <f t="shared" si="12"/>
        <v>#DIV/0!</v>
      </c>
    </row>
    <row r="62" spans="1:20" s="152" customFormat="1" x14ac:dyDescent="0.25">
      <c r="A62" s="100">
        <v>59</v>
      </c>
      <c r="B62" s="75">
        <f>PIERNA!B62</f>
        <v>0</v>
      </c>
      <c r="C62" s="148">
        <f>PIERNA!C62</f>
        <v>0</v>
      </c>
      <c r="D62" s="166">
        <f>PIERNA!D62</f>
        <v>0</v>
      </c>
      <c r="E62" s="134">
        <f>PIERNA!F62</f>
        <v>0</v>
      </c>
      <c r="F62" s="445">
        <f>PIERNA!F62</f>
        <v>0</v>
      </c>
      <c r="G62" s="161">
        <f>PIERNA!G62</f>
        <v>0</v>
      </c>
      <c r="H62" s="368">
        <f>PIERNA!H62</f>
        <v>0</v>
      </c>
      <c r="I62" s="105">
        <f>PIERNA!I62</f>
        <v>0</v>
      </c>
      <c r="J62" s="274"/>
      <c r="K62" s="381"/>
      <c r="L62" s="591"/>
      <c r="M62" s="579"/>
      <c r="N62" s="592"/>
      <c r="O62" s="384"/>
      <c r="P62" s="383"/>
      <c r="Q62" s="385"/>
      <c r="R62" s="653"/>
      <c r="S62" s="65">
        <f t="shared" si="14"/>
        <v>0</v>
      </c>
      <c r="T62" s="65" t="e">
        <f t="shared" si="12"/>
        <v>#DIV/0!</v>
      </c>
    </row>
    <row r="63" spans="1:20" s="152" customFormat="1" x14ac:dyDescent="0.25">
      <c r="A63" s="100">
        <v>60</v>
      </c>
      <c r="B63" s="75">
        <f>PIERNA!B63</f>
        <v>0</v>
      </c>
      <c r="C63" s="148">
        <f>PIERNA!C62</f>
        <v>0</v>
      </c>
      <c r="D63" s="166">
        <f>PIERNA!D62</f>
        <v>0</v>
      </c>
      <c r="E63" s="134">
        <f>PIERNA!E63</f>
        <v>0</v>
      </c>
      <c r="F63" s="445">
        <f>PIERNA!F63</f>
        <v>0</v>
      </c>
      <c r="G63" s="161">
        <f>PIERNA!G63</f>
        <v>0</v>
      </c>
      <c r="H63" s="368">
        <f>PIERNA!H63</f>
        <v>0</v>
      </c>
      <c r="I63" s="105">
        <f>PIERNA!I63</f>
        <v>0</v>
      </c>
      <c r="J63" s="274"/>
      <c r="K63" s="381"/>
      <c r="L63" s="591"/>
      <c r="M63" s="579"/>
      <c r="N63" s="592"/>
      <c r="O63" s="384"/>
      <c r="P63" s="383"/>
      <c r="Q63" s="385"/>
      <c r="R63" s="653"/>
      <c r="S63" s="65">
        <f t="shared" si="14"/>
        <v>0</v>
      </c>
      <c r="T63" s="65" t="e">
        <f t="shared" si="12"/>
        <v>#DIV/0!</v>
      </c>
    </row>
    <row r="64" spans="1:20" s="152" customFormat="1" x14ac:dyDescent="0.25">
      <c r="A64" s="100"/>
      <c r="B64" s="75">
        <f>PIERNA!B64</f>
        <v>0</v>
      </c>
      <c r="C64" s="148">
        <f>PIERNA!C64</f>
        <v>0</v>
      </c>
      <c r="D64" s="166">
        <f>PIERNA!D64</f>
        <v>0</v>
      </c>
      <c r="E64" s="134">
        <f>PIERNA!E64</f>
        <v>0</v>
      </c>
      <c r="F64" s="445">
        <f>PIERNA!F64</f>
        <v>0</v>
      </c>
      <c r="G64" s="161">
        <f>PIERNA!G64</f>
        <v>0</v>
      </c>
      <c r="H64" s="368">
        <f>PIERNA!H64</f>
        <v>0</v>
      </c>
      <c r="I64" s="105">
        <f>PIERNA!I64</f>
        <v>0</v>
      </c>
      <c r="J64" s="274"/>
      <c r="K64" s="381"/>
      <c r="L64" s="591"/>
      <c r="M64" s="579"/>
      <c r="N64" s="592"/>
      <c r="O64" s="384"/>
      <c r="P64" s="383"/>
      <c r="Q64" s="385"/>
      <c r="R64" s="653"/>
      <c r="S64" s="65">
        <f t="shared" si="14"/>
        <v>0</v>
      </c>
      <c r="T64" s="65" t="e">
        <f t="shared" si="12"/>
        <v>#DIV/0!</v>
      </c>
    </row>
    <row r="65" spans="1:20" s="152" customFormat="1" x14ac:dyDescent="0.25">
      <c r="A65" s="100"/>
      <c r="B65" s="75">
        <f>PIERNA!B65</f>
        <v>0</v>
      </c>
      <c r="C65" s="148">
        <f>PIERNA!C65</f>
        <v>0</v>
      </c>
      <c r="D65" s="166">
        <f>PIERNA!D65</f>
        <v>0</v>
      </c>
      <c r="E65" s="134">
        <f>PIERNA!E65</f>
        <v>0</v>
      </c>
      <c r="F65" s="445">
        <f>PIERNA!F65</f>
        <v>0</v>
      </c>
      <c r="G65" s="161">
        <f>PIERNA!G65</f>
        <v>0</v>
      </c>
      <c r="H65" s="368">
        <f>PIERNA!H65</f>
        <v>0</v>
      </c>
      <c r="I65" s="105">
        <f>PIERNA!I65</f>
        <v>0</v>
      </c>
      <c r="J65" s="274"/>
      <c r="K65" s="381"/>
      <c r="L65" s="591"/>
      <c r="M65" s="579"/>
      <c r="N65" s="592"/>
      <c r="O65" s="384"/>
      <c r="P65" s="383"/>
      <c r="Q65" s="385"/>
      <c r="R65" s="653"/>
      <c r="S65" s="65">
        <f t="shared" si="14"/>
        <v>0</v>
      </c>
      <c r="T65" s="65" t="e">
        <f t="shared" si="12"/>
        <v>#DIV/0!</v>
      </c>
    </row>
    <row r="66" spans="1:20" s="152" customFormat="1" x14ac:dyDescent="0.25">
      <c r="A66" s="100"/>
      <c r="B66" s="75">
        <f>PIERNA!B61</f>
        <v>0</v>
      </c>
      <c r="C66" s="148">
        <f>PIERNA!C61</f>
        <v>0</v>
      </c>
      <c r="D66" s="166">
        <f>PIERNA!D61</f>
        <v>0</v>
      </c>
      <c r="E66" s="134">
        <f>PIERNA!E61</f>
        <v>0</v>
      </c>
      <c r="F66" s="445">
        <f>PIERNA!F61</f>
        <v>0</v>
      </c>
      <c r="G66" s="161">
        <f>PIERNA!G61</f>
        <v>0</v>
      </c>
      <c r="H66" s="368">
        <f>PIERNA!H61</f>
        <v>0</v>
      </c>
      <c r="I66" s="105">
        <f>PIERNA!I66</f>
        <v>0</v>
      </c>
      <c r="J66" s="274"/>
      <c r="K66" s="381"/>
      <c r="L66" s="591"/>
      <c r="M66" s="579"/>
      <c r="N66" s="592"/>
      <c r="O66" s="384"/>
      <c r="P66" s="383"/>
      <c r="Q66" s="385"/>
      <c r="R66" s="653"/>
      <c r="S66" s="65">
        <f t="shared" si="14"/>
        <v>0</v>
      </c>
      <c r="T66" s="65" t="e">
        <f t="shared" si="11"/>
        <v>#DIV/0!</v>
      </c>
    </row>
    <row r="67" spans="1:20" s="152" customFormat="1" x14ac:dyDescent="0.25">
      <c r="A67" s="100"/>
      <c r="B67" s="75">
        <f>PIERNA!B62</f>
        <v>0</v>
      </c>
      <c r="C67" s="148">
        <f>PIERNA!C62</f>
        <v>0</v>
      </c>
      <c r="D67" s="166">
        <f>PIERNA!D62</f>
        <v>0</v>
      </c>
      <c r="E67" s="134">
        <f>PIERNA!E62</f>
        <v>0</v>
      </c>
      <c r="F67" s="445">
        <f>PIERNA!F62</f>
        <v>0</v>
      </c>
      <c r="G67" s="161">
        <f>PIERNA!G62</f>
        <v>0</v>
      </c>
      <c r="H67" s="368">
        <f>PIERNA!H62</f>
        <v>0</v>
      </c>
      <c r="I67" s="105">
        <f>PIERNA!I67</f>
        <v>0</v>
      </c>
      <c r="J67" s="274"/>
      <c r="K67" s="381"/>
      <c r="L67" s="591"/>
      <c r="M67" s="579"/>
      <c r="N67" s="592"/>
      <c r="O67" s="384"/>
      <c r="P67" s="383"/>
      <c r="Q67" s="385"/>
      <c r="R67" s="653"/>
      <c r="S67" s="65">
        <f t="shared" si="14"/>
        <v>0</v>
      </c>
      <c r="T67" s="65" t="e">
        <f t="shared" si="11"/>
        <v>#DIV/0!</v>
      </c>
    </row>
    <row r="68" spans="1:20" s="152" customFormat="1" x14ac:dyDescent="0.25">
      <c r="A68" s="100"/>
      <c r="B68" s="131">
        <f>PIERNA!B63</f>
        <v>0</v>
      </c>
      <c r="C68" s="148">
        <f>PIERNA!C63</f>
        <v>0</v>
      </c>
      <c r="D68" s="101">
        <f>PIERNA!D63</f>
        <v>0</v>
      </c>
      <c r="E68" s="134">
        <f>PIERNA!E63</f>
        <v>0</v>
      </c>
      <c r="F68" s="445">
        <f>PIERNA!F63</f>
        <v>0</v>
      </c>
      <c r="G68" s="161">
        <f>PIERNA!G63</f>
        <v>0</v>
      </c>
      <c r="H68" s="368">
        <f>PIERNA!H63</f>
        <v>0</v>
      </c>
      <c r="I68" s="105">
        <f>PIERNA!I68</f>
        <v>0</v>
      </c>
      <c r="J68" s="274"/>
      <c r="K68" s="381"/>
      <c r="L68" s="591"/>
      <c r="M68" s="579"/>
      <c r="N68" s="592"/>
      <c r="O68" s="384"/>
      <c r="P68" s="383"/>
      <c r="Q68" s="385"/>
      <c r="R68" s="653"/>
      <c r="S68" s="65">
        <f t="shared" si="14"/>
        <v>0</v>
      </c>
      <c r="T68" s="65" t="e">
        <f t="shared" si="11"/>
        <v>#DIV/0!</v>
      </c>
    </row>
    <row r="69" spans="1:20" s="152" customFormat="1" x14ac:dyDescent="0.25">
      <c r="A69" s="100"/>
      <c r="B69" s="75">
        <f>PIERNA!B64</f>
        <v>0</v>
      </c>
      <c r="C69" s="148">
        <f>PIERNA!C64</f>
        <v>0</v>
      </c>
      <c r="D69" s="101">
        <f>PIERNA!D64</f>
        <v>0</v>
      </c>
      <c r="E69" s="134">
        <f>PIERNA!E64</f>
        <v>0</v>
      </c>
      <c r="F69" s="445">
        <f>PIERNA!F64</f>
        <v>0</v>
      </c>
      <c r="G69" s="161">
        <f>PIERNA!G64</f>
        <v>0</v>
      </c>
      <c r="H69" s="368">
        <f>PIERNA!H64</f>
        <v>0</v>
      </c>
      <c r="I69" s="105">
        <f>PIERNA!I69</f>
        <v>0</v>
      </c>
      <c r="J69" s="274"/>
      <c r="K69" s="381"/>
      <c r="L69" s="591"/>
      <c r="M69" s="579"/>
      <c r="N69" s="592"/>
      <c r="O69" s="384"/>
      <c r="P69" s="383"/>
      <c r="Q69" s="385"/>
      <c r="R69" s="653"/>
      <c r="S69" s="65">
        <f t="shared" si="14"/>
        <v>0</v>
      </c>
      <c r="T69" s="65" t="e">
        <f t="shared" si="11"/>
        <v>#DIV/0!</v>
      </c>
    </row>
    <row r="70" spans="1:20" s="152" customFormat="1" ht="15" hidden="1" customHeight="1" x14ac:dyDescent="0.25">
      <c r="A70" s="100">
        <v>62</v>
      </c>
      <c r="B70" s="75">
        <f>PIERNA!B65</f>
        <v>0</v>
      </c>
      <c r="C70" s="148">
        <f>PIERNA!C65</f>
        <v>0</v>
      </c>
      <c r="D70" s="101">
        <f>PIERNA!D65</f>
        <v>0</v>
      </c>
      <c r="E70" s="134">
        <f>PIERNA!E65</f>
        <v>0</v>
      </c>
      <c r="F70" s="445">
        <f>PIERNA!F65</f>
        <v>0</v>
      </c>
      <c r="G70" s="161">
        <f>PIERNA!G65</f>
        <v>0</v>
      </c>
      <c r="H70" s="368">
        <f>PIERNA!H65</f>
        <v>0</v>
      </c>
      <c r="I70" s="105">
        <f>PIERNA!I70</f>
        <v>0</v>
      </c>
      <c r="J70" s="440"/>
      <c r="K70" s="381"/>
      <c r="L70" s="591"/>
      <c r="M70" s="579"/>
      <c r="N70" s="592"/>
      <c r="O70" s="384"/>
      <c r="P70" s="383"/>
      <c r="Q70" s="385"/>
      <c r="R70" s="653"/>
      <c r="S70" s="65">
        <f t="shared" si="14"/>
        <v>0</v>
      </c>
      <c r="T70" s="65" t="e">
        <f t="shared" si="11"/>
        <v>#DIV/0!</v>
      </c>
    </row>
    <row r="71" spans="1:20" s="152" customFormat="1" ht="15" hidden="1" customHeight="1" x14ac:dyDescent="0.25">
      <c r="A71" s="100">
        <v>63</v>
      </c>
      <c r="B71" s="75">
        <f>PIERNA!B66</f>
        <v>0</v>
      </c>
      <c r="C71" s="148">
        <f>PIERNA!C66</f>
        <v>0</v>
      </c>
      <c r="D71" s="101">
        <f>PIERNA!D66</f>
        <v>0</v>
      </c>
      <c r="E71" s="134">
        <f>PIERNA!E66</f>
        <v>0</v>
      </c>
      <c r="F71" s="445">
        <f>PIERNA!F66</f>
        <v>0</v>
      </c>
      <c r="G71" s="161">
        <f>PIERNA!G66</f>
        <v>0</v>
      </c>
      <c r="H71" s="368">
        <f>PIERNA!H66</f>
        <v>0</v>
      </c>
      <c r="I71" s="105">
        <f>PIERNA!I71</f>
        <v>0</v>
      </c>
      <c r="J71" s="440"/>
      <c r="K71" s="381"/>
      <c r="L71" s="591"/>
      <c r="M71" s="579"/>
      <c r="N71" s="592"/>
      <c r="O71" s="384"/>
      <c r="P71" s="383"/>
      <c r="Q71" s="385"/>
      <c r="R71" s="653"/>
      <c r="S71" s="65">
        <f t="shared" si="14"/>
        <v>0</v>
      </c>
      <c r="T71" s="65" t="e">
        <f t="shared" si="11"/>
        <v>#DIV/0!</v>
      </c>
    </row>
    <row r="72" spans="1:20" s="152" customFormat="1" ht="15" hidden="1" customHeight="1" x14ac:dyDescent="0.25">
      <c r="A72" s="100">
        <v>64</v>
      </c>
      <c r="B72" s="75">
        <f>PIERNA!B67</f>
        <v>0</v>
      </c>
      <c r="C72" s="148">
        <f>PIERNA!C67</f>
        <v>0</v>
      </c>
      <c r="D72" s="101">
        <f>PIERNA!D67</f>
        <v>0</v>
      </c>
      <c r="E72" s="134">
        <f>PIERNA!E67</f>
        <v>0</v>
      </c>
      <c r="F72" s="445">
        <f>PIERNA!F67</f>
        <v>0</v>
      </c>
      <c r="G72" s="161">
        <f>PIERNA!G67</f>
        <v>0</v>
      </c>
      <c r="H72" s="368">
        <f>PIERNA!H67</f>
        <v>0</v>
      </c>
      <c r="I72" s="105">
        <f>PIERNA!I72</f>
        <v>0</v>
      </c>
      <c r="J72" s="440"/>
      <c r="K72" s="381"/>
      <c r="L72" s="591"/>
      <c r="M72" s="579"/>
      <c r="N72" s="592"/>
      <c r="O72" s="384"/>
      <c r="P72" s="383"/>
      <c r="Q72" s="385"/>
      <c r="R72" s="653"/>
      <c r="S72" s="65">
        <f t="shared" ref="S72:S116" si="15">Q72+M72+K72</f>
        <v>0</v>
      </c>
      <c r="T72" s="65" t="e">
        <f t="shared" ref="T72:T95" si="16">S72/H72+0.1</f>
        <v>#DIV/0!</v>
      </c>
    </row>
    <row r="73" spans="1:20" s="152" customFormat="1" ht="15" hidden="1" customHeight="1" x14ac:dyDescent="0.25">
      <c r="A73" s="100">
        <v>65</v>
      </c>
      <c r="B73" s="75">
        <f>PIERNA!B68</f>
        <v>0</v>
      </c>
      <c r="C73" s="148">
        <f>PIERNA!C68</f>
        <v>0</v>
      </c>
      <c r="D73" s="101">
        <f>PIERNA!D68</f>
        <v>0</v>
      </c>
      <c r="E73" s="134">
        <f>PIERNA!E68</f>
        <v>0</v>
      </c>
      <c r="F73" s="445">
        <f>PIERNA!F68</f>
        <v>0</v>
      </c>
      <c r="G73" s="161">
        <f>PIERNA!G68</f>
        <v>0</v>
      </c>
      <c r="H73" s="368">
        <f>PIERNA!H68</f>
        <v>0</v>
      </c>
      <c r="I73" s="105">
        <f>PIERNA!I73</f>
        <v>0</v>
      </c>
      <c r="J73" s="440"/>
      <c r="K73" s="381"/>
      <c r="L73" s="591"/>
      <c r="M73" s="579"/>
      <c r="N73" s="592"/>
      <c r="O73" s="384"/>
      <c r="P73" s="383"/>
      <c r="Q73" s="385"/>
      <c r="R73" s="653"/>
      <c r="S73" s="65">
        <f t="shared" si="15"/>
        <v>0</v>
      </c>
      <c r="T73" s="65" t="e">
        <f t="shared" si="16"/>
        <v>#DIV/0!</v>
      </c>
    </row>
    <row r="74" spans="1:20" s="152" customFormat="1" ht="15" hidden="1" customHeight="1" x14ac:dyDescent="0.25">
      <c r="A74" s="100">
        <v>66</v>
      </c>
      <c r="B74" s="75">
        <f>PIERNA!B69</f>
        <v>0</v>
      </c>
      <c r="C74" s="148">
        <f>PIERNA!C69</f>
        <v>0</v>
      </c>
      <c r="D74" s="101">
        <f>PIERNA!D69</f>
        <v>0</v>
      </c>
      <c r="E74" s="134">
        <f>PIERNA!E69</f>
        <v>0</v>
      </c>
      <c r="F74" s="445">
        <f>PIERNA!F69</f>
        <v>0</v>
      </c>
      <c r="G74" s="161">
        <f>PIERNA!G69</f>
        <v>0</v>
      </c>
      <c r="H74" s="368">
        <f>PIERNA!H69</f>
        <v>0</v>
      </c>
      <c r="I74" s="105">
        <f>PIERNA!I74</f>
        <v>0</v>
      </c>
      <c r="J74" s="440"/>
      <c r="K74" s="381"/>
      <c r="L74" s="591"/>
      <c r="M74" s="579"/>
      <c r="N74" s="592"/>
      <c r="O74" s="384"/>
      <c r="P74" s="383"/>
      <c r="Q74" s="385"/>
      <c r="R74" s="653"/>
      <c r="S74" s="65">
        <f t="shared" si="15"/>
        <v>0</v>
      </c>
      <c r="T74" s="65" t="e">
        <f t="shared" si="16"/>
        <v>#DIV/0!</v>
      </c>
    </row>
    <row r="75" spans="1:20" s="152" customFormat="1" ht="15" hidden="1" customHeight="1" x14ac:dyDescent="0.25">
      <c r="A75" s="100">
        <v>67</v>
      </c>
      <c r="B75" s="75">
        <f>PIERNA!B70</f>
        <v>0</v>
      </c>
      <c r="C75" s="148">
        <f>PIERNA!C70</f>
        <v>0</v>
      </c>
      <c r="D75" s="101">
        <f>PIERNA!D70</f>
        <v>0</v>
      </c>
      <c r="E75" s="134">
        <f>PIERNA!E70</f>
        <v>0</v>
      </c>
      <c r="F75" s="445">
        <f>PIERNA!F70</f>
        <v>0</v>
      </c>
      <c r="G75" s="161">
        <f>PIERNA!G70</f>
        <v>0</v>
      </c>
      <c r="H75" s="368">
        <f>PIERNA!H70</f>
        <v>0</v>
      </c>
      <c r="I75" s="105">
        <f>PIERNA!I75</f>
        <v>0</v>
      </c>
      <c r="J75" s="440"/>
      <c r="K75" s="381"/>
      <c r="L75" s="591"/>
      <c r="M75" s="579"/>
      <c r="N75" s="592"/>
      <c r="O75" s="384"/>
      <c r="P75" s="383"/>
      <c r="Q75" s="385"/>
      <c r="R75" s="653"/>
      <c r="S75" s="65">
        <f t="shared" si="15"/>
        <v>0</v>
      </c>
      <c r="T75" s="65" t="e">
        <f t="shared" si="16"/>
        <v>#DIV/0!</v>
      </c>
    </row>
    <row r="76" spans="1:20" s="152" customFormat="1" ht="15" hidden="1" customHeight="1" x14ac:dyDescent="0.25">
      <c r="A76" s="100">
        <v>68</v>
      </c>
      <c r="B76" s="130">
        <f>PIERNA!B71</f>
        <v>0</v>
      </c>
      <c r="C76" s="148">
        <f>PIERNA!C71</f>
        <v>0</v>
      </c>
      <c r="D76" s="101">
        <f>PIERNA!D71</f>
        <v>0</v>
      </c>
      <c r="E76" s="134">
        <f>PIERNA!E71</f>
        <v>0</v>
      </c>
      <c r="F76" s="445">
        <f>PIERNA!F71</f>
        <v>0</v>
      </c>
      <c r="G76" s="161">
        <f>PIERNA!G71</f>
        <v>0</v>
      </c>
      <c r="H76" s="368">
        <f>PIERNA!H71</f>
        <v>0</v>
      </c>
      <c r="I76" s="105">
        <f>PIERNA!I76</f>
        <v>0</v>
      </c>
      <c r="J76" s="440"/>
      <c r="K76" s="381"/>
      <c r="L76" s="591"/>
      <c r="M76" s="579"/>
      <c r="N76" s="592"/>
      <c r="O76" s="384"/>
      <c r="P76" s="383"/>
      <c r="Q76" s="385"/>
      <c r="R76" s="653"/>
      <c r="S76" s="65">
        <f t="shared" si="15"/>
        <v>0</v>
      </c>
      <c r="T76" s="65" t="e">
        <f t="shared" si="16"/>
        <v>#DIV/0!</v>
      </c>
    </row>
    <row r="77" spans="1:20" s="152" customFormat="1" ht="15" hidden="1" customHeight="1" x14ac:dyDescent="0.25">
      <c r="A77" s="100">
        <v>69</v>
      </c>
      <c r="B77" s="75">
        <f>PIERNA!B72</f>
        <v>0</v>
      </c>
      <c r="C77" s="148">
        <f>PIERNA!C72</f>
        <v>0</v>
      </c>
      <c r="D77" s="101">
        <f>PIERNA!D72</f>
        <v>0</v>
      </c>
      <c r="E77" s="134">
        <f>PIERNA!E72</f>
        <v>0</v>
      </c>
      <c r="F77" s="445">
        <f>PIERNA!F72</f>
        <v>0</v>
      </c>
      <c r="G77" s="161">
        <f>PIERNA!G72</f>
        <v>0</v>
      </c>
      <c r="H77" s="368">
        <f>PIERNA!H72</f>
        <v>0</v>
      </c>
      <c r="I77" s="105">
        <f>PIERNA!I77</f>
        <v>0</v>
      </c>
      <c r="J77" s="440"/>
      <c r="K77" s="381"/>
      <c r="L77" s="591"/>
      <c r="M77" s="579"/>
      <c r="N77" s="592"/>
      <c r="O77" s="384"/>
      <c r="P77" s="383"/>
      <c r="Q77" s="385"/>
      <c r="R77" s="653"/>
      <c r="S77" s="65">
        <f t="shared" si="15"/>
        <v>0</v>
      </c>
      <c r="T77" s="65" t="e">
        <f t="shared" si="16"/>
        <v>#DIV/0!</v>
      </c>
    </row>
    <row r="78" spans="1:20" s="152" customFormat="1" ht="15" hidden="1" customHeight="1" x14ac:dyDescent="0.25">
      <c r="A78" s="100">
        <v>70</v>
      </c>
      <c r="B78" s="75">
        <f>PIERNA!B73</f>
        <v>0</v>
      </c>
      <c r="C78" s="148">
        <f>PIERNA!C73</f>
        <v>0</v>
      </c>
      <c r="D78" s="101">
        <f>PIERNA!D73</f>
        <v>0</v>
      </c>
      <c r="E78" s="134">
        <f>PIERNA!E73</f>
        <v>0</v>
      </c>
      <c r="F78" s="445">
        <f>PIERNA!F73</f>
        <v>0</v>
      </c>
      <c r="G78" s="161">
        <f>PIERNA!G73</f>
        <v>0</v>
      </c>
      <c r="H78" s="368">
        <f>PIERNA!H73</f>
        <v>0</v>
      </c>
      <c r="I78" s="105">
        <f>PIERNA!I78</f>
        <v>0</v>
      </c>
      <c r="J78" s="440"/>
      <c r="K78" s="381"/>
      <c r="L78" s="591"/>
      <c r="M78" s="579"/>
      <c r="N78" s="592"/>
      <c r="O78" s="384"/>
      <c r="P78" s="383"/>
      <c r="Q78" s="385"/>
      <c r="R78" s="653"/>
      <c r="S78" s="65">
        <f t="shared" si="15"/>
        <v>0</v>
      </c>
      <c r="T78" s="65" t="e">
        <f t="shared" si="16"/>
        <v>#DIV/0!</v>
      </c>
    </row>
    <row r="79" spans="1:20" s="152" customFormat="1" ht="15" hidden="1" customHeight="1" x14ac:dyDescent="0.25">
      <c r="A79" s="100">
        <v>71</v>
      </c>
      <c r="B79" s="75">
        <f>PIERNA!B74</f>
        <v>0</v>
      </c>
      <c r="C79" s="148">
        <f>PIERNA!C74</f>
        <v>0</v>
      </c>
      <c r="D79" s="101">
        <f>PIERNA!D74</f>
        <v>0</v>
      </c>
      <c r="E79" s="134">
        <f>PIERNA!E74</f>
        <v>0</v>
      </c>
      <c r="F79" s="445">
        <f>PIERNA!F74</f>
        <v>0</v>
      </c>
      <c r="G79" s="161">
        <f>PIERNA!G74</f>
        <v>0</v>
      </c>
      <c r="H79" s="368">
        <f>PIERNA!H74</f>
        <v>0</v>
      </c>
      <c r="I79" s="105">
        <f>PIERNA!I79</f>
        <v>0</v>
      </c>
      <c r="J79" s="440"/>
      <c r="K79" s="381"/>
      <c r="L79" s="591"/>
      <c r="M79" s="579"/>
      <c r="N79" s="592"/>
      <c r="O79" s="384"/>
      <c r="P79" s="383"/>
      <c r="Q79" s="385"/>
      <c r="R79" s="653"/>
      <c r="S79" s="65">
        <f t="shared" si="15"/>
        <v>0</v>
      </c>
      <c r="T79" s="65" t="e">
        <f t="shared" si="16"/>
        <v>#DIV/0!</v>
      </c>
    </row>
    <row r="80" spans="1:20" s="152" customFormat="1" ht="15" hidden="1" customHeight="1" x14ac:dyDescent="0.25">
      <c r="A80" s="100">
        <v>72</v>
      </c>
      <c r="B80" s="75">
        <f>PIERNA!B75</f>
        <v>0</v>
      </c>
      <c r="C80" s="148">
        <f>PIERNA!C75</f>
        <v>0</v>
      </c>
      <c r="D80" s="101">
        <f>PIERNA!D75</f>
        <v>0</v>
      </c>
      <c r="E80" s="134">
        <f>PIERNA!E75</f>
        <v>0</v>
      </c>
      <c r="F80" s="445">
        <f>PIERNA!F75</f>
        <v>0</v>
      </c>
      <c r="G80" s="161">
        <f>PIERNA!G75</f>
        <v>0</v>
      </c>
      <c r="H80" s="368">
        <f>PIERNA!H75</f>
        <v>0</v>
      </c>
      <c r="I80" s="105">
        <f>PIERNA!I80</f>
        <v>0</v>
      </c>
      <c r="J80" s="440"/>
      <c r="K80" s="381"/>
      <c r="L80" s="591"/>
      <c r="M80" s="579"/>
      <c r="N80" s="592"/>
      <c r="O80" s="384"/>
      <c r="P80" s="383"/>
      <c r="Q80" s="385"/>
      <c r="R80" s="653"/>
      <c r="S80" s="65">
        <f t="shared" si="15"/>
        <v>0</v>
      </c>
      <c r="T80" s="65" t="e">
        <f t="shared" si="16"/>
        <v>#DIV/0!</v>
      </c>
    </row>
    <row r="81" spans="1:20" s="152" customFormat="1" ht="15" hidden="1" customHeight="1" x14ac:dyDescent="0.25">
      <c r="A81" s="100">
        <v>73</v>
      </c>
      <c r="B81" s="75">
        <f>PIERNA!B76</f>
        <v>0</v>
      </c>
      <c r="C81" s="148">
        <f>PIERNA!C76</f>
        <v>0</v>
      </c>
      <c r="D81" s="101">
        <f>PIERNA!D76</f>
        <v>0</v>
      </c>
      <c r="E81" s="134">
        <f>PIERNA!E76</f>
        <v>0</v>
      </c>
      <c r="F81" s="445">
        <f>PIERNA!F76</f>
        <v>0</v>
      </c>
      <c r="G81" s="161">
        <f>PIERNA!G76</f>
        <v>0</v>
      </c>
      <c r="H81" s="368">
        <f>PIERNA!H76</f>
        <v>0</v>
      </c>
      <c r="I81" s="105">
        <f>PIERNA!I81</f>
        <v>0</v>
      </c>
      <c r="J81" s="440"/>
      <c r="K81" s="381"/>
      <c r="L81" s="591"/>
      <c r="M81" s="579"/>
      <c r="N81" s="592"/>
      <c r="O81" s="384"/>
      <c r="P81" s="383"/>
      <c r="Q81" s="385"/>
      <c r="R81" s="653"/>
      <c r="S81" s="65">
        <f t="shared" si="15"/>
        <v>0</v>
      </c>
      <c r="T81" s="65" t="e">
        <f t="shared" si="16"/>
        <v>#DIV/0!</v>
      </c>
    </row>
    <row r="82" spans="1:20" s="152" customFormat="1" ht="15" hidden="1" customHeight="1" x14ac:dyDescent="0.25">
      <c r="A82" s="100">
        <v>74</v>
      </c>
      <c r="B82" s="75">
        <f>PIERNA!B77</f>
        <v>0</v>
      </c>
      <c r="C82" s="148">
        <f>PIERNA!C77</f>
        <v>0</v>
      </c>
      <c r="D82" s="101">
        <f>PIERNA!D77</f>
        <v>0</v>
      </c>
      <c r="E82" s="134">
        <f>PIERNA!E77</f>
        <v>0</v>
      </c>
      <c r="F82" s="445">
        <f>PIERNA!F77</f>
        <v>0</v>
      </c>
      <c r="G82" s="161">
        <f>PIERNA!G77</f>
        <v>0</v>
      </c>
      <c r="H82" s="368">
        <f>PIERNA!H77</f>
        <v>0</v>
      </c>
      <c r="I82" s="105">
        <f>PIERNA!I82</f>
        <v>0</v>
      </c>
      <c r="J82" s="440"/>
      <c r="K82" s="381"/>
      <c r="L82" s="591"/>
      <c r="M82" s="579"/>
      <c r="N82" s="592"/>
      <c r="O82" s="384"/>
      <c r="P82" s="383"/>
      <c r="Q82" s="385"/>
      <c r="R82" s="653"/>
      <c r="S82" s="65">
        <f t="shared" si="15"/>
        <v>0</v>
      </c>
      <c r="T82" s="65" t="e">
        <f t="shared" si="16"/>
        <v>#DIV/0!</v>
      </c>
    </row>
    <row r="83" spans="1:20" s="152" customFormat="1" ht="15" hidden="1" customHeight="1" x14ac:dyDescent="0.25">
      <c r="A83" s="100">
        <v>75</v>
      </c>
      <c r="B83" s="75">
        <f>PIERNA!B78</f>
        <v>0</v>
      </c>
      <c r="C83" s="148">
        <f>PIERNA!C78</f>
        <v>0</v>
      </c>
      <c r="D83" s="101">
        <f>PIERNA!D78</f>
        <v>0</v>
      </c>
      <c r="E83" s="134">
        <f>PIERNA!E78</f>
        <v>0</v>
      </c>
      <c r="F83" s="445">
        <f>PIERNA!F78</f>
        <v>0</v>
      </c>
      <c r="G83" s="161">
        <f>PIERNA!G78</f>
        <v>0</v>
      </c>
      <c r="H83" s="368">
        <f>PIERNA!H78</f>
        <v>0</v>
      </c>
      <c r="I83" s="105">
        <f>PIERNA!I83</f>
        <v>0</v>
      </c>
      <c r="J83" s="440"/>
      <c r="K83" s="381"/>
      <c r="L83" s="591"/>
      <c r="M83" s="579"/>
      <c r="N83" s="592"/>
      <c r="O83" s="384"/>
      <c r="P83" s="383"/>
      <c r="Q83" s="385"/>
      <c r="R83" s="653"/>
      <c r="S83" s="65">
        <f t="shared" si="15"/>
        <v>0</v>
      </c>
      <c r="T83" s="65" t="e">
        <f t="shared" si="16"/>
        <v>#DIV/0!</v>
      </c>
    </row>
    <row r="84" spans="1:20" s="152" customFormat="1" ht="15" hidden="1" customHeight="1" x14ac:dyDescent="0.25">
      <c r="A84" s="100">
        <v>76</v>
      </c>
      <c r="B84" s="75">
        <f>PIERNA!B79</f>
        <v>0</v>
      </c>
      <c r="C84" s="148">
        <f>PIERNA!C79</f>
        <v>0</v>
      </c>
      <c r="D84" s="101">
        <f>PIERNA!D79</f>
        <v>0</v>
      </c>
      <c r="E84" s="134">
        <f>PIERNA!E79</f>
        <v>0</v>
      </c>
      <c r="F84" s="445">
        <f>PIERNA!F79</f>
        <v>0</v>
      </c>
      <c r="G84" s="161">
        <f>PIERNA!G79</f>
        <v>0</v>
      </c>
      <c r="H84" s="368">
        <f>PIERNA!H79</f>
        <v>0</v>
      </c>
      <c r="I84" s="105">
        <f>PIERNA!I84</f>
        <v>0</v>
      </c>
      <c r="J84" s="440"/>
      <c r="K84" s="381"/>
      <c r="L84" s="591"/>
      <c r="M84" s="579"/>
      <c r="N84" s="592"/>
      <c r="O84" s="384"/>
      <c r="P84" s="383"/>
      <c r="Q84" s="385"/>
      <c r="R84" s="653"/>
      <c r="S84" s="65">
        <f t="shared" si="15"/>
        <v>0</v>
      </c>
      <c r="T84" s="65" t="e">
        <f t="shared" si="16"/>
        <v>#DIV/0!</v>
      </c>
    </row>
    <row r="85" spans="1:20" s="152" customFormat="1" ht="15" hidden="1" customHeight="1" x14ac:dyDescent="0.25">
      <c r="A85" s="100">
        <v>77</v>
      </c>
      <c r="B85" s="75">
        <f>PIERNA!B80</f>
        <v>0</v>
      </c>
      <c r="C85" s="148">
        <f>PIERNA!C80</f>
        <v>0</v>
      </c>
      <c r="D85" s="101">
        <f>PIERNA!D80</f>
        <v>0</v>
      </c>
      <c r="E85" s="134">
        <f>PIERNA!E80</f>
        <v>0</v>
      </c>
      <c r="F85" s="445">
        <f>PIERNA!F80</f>
        <v>0</v>
      </c>
      <c r="G85" s="161">
        <f>PIERNA!G80</f>
        <v>0</v>
      </c>
      <c r="H85" s="368">
        <f>PIERNA!H80</f>
        <v>0</v>
      </c>
      <c r="I85" s="105">
        <f>PIERNA!I85</f>
        <v>0</v>
      </c>
      <c r="J85" s="440"/>
      <c r="K85" s="381"/>
      <c r="L85" s="591"/>
      <c r="M85" s="579"/>
      <c r="N85" s="592"/>
      <c r="O85" s="384"/>
      <c r="P85" s="383"/>
      <c r="Q85" s="385"/>
      <c r="R85" s="653"/>
      <c r="S85" s="65">
        <f t="shared" si="15"/>
        <v>0</v>
      </c>
      <c r="T85" s="65" t="e">
        <f t="shared" si="16"/>
        <v>#DIV/0!</v>
      </c>
    </row>
    <row r="86" spans="1:20" s="152" customFormat="1" ht="15" hidden="1" customHeight="1" x14ac:dyDescent="0.25">
      <c r="A86" s="100">
        <v>78</v>
      </c>
      <c r="B86" s="75">
        <f>PIERNA!B81</f>
        <v>0</v>
      </c>
      <c r="C86" s="148">
        <f>PIERNA!C81</f>
        <v>0</v>
      </c>
      <c r="D86" s="101">
        <f>PIERNA!D81</f>
        <v>0</v>
      </c>
      <c r="E86" s="134">
        <f>PIERNA!E81</f>
        <v>0</v>
      </c>
      <c r="F86" s="445">
        <f>PIERNA!F81</f>
        <v>0</v>
      </c>
      <c r="G86" s="161">
        <f>PIERNA!G81</f>
        <v>0</v>
      </c>
      <c r="H86" s="368">
        <f>PIERNA!H81</f>
        <v>0</v>
      </c>
      <c r="I86" s="105">
        <f>PIERNA!I86</f>
        <v>0</v>
      </c>
      <c r="J86" s="440"/>
      <c r="K86" s="381"/>
      <c r="L86" s="591"/>
      <c r="M86" s="579"/>
      <c r="N86" s="592"/>
      <c r="O86" s="384"/>
      <c r="P86" s="383"/>
      <c r="Q86" s="385"/>
      <c r="R86" s="653"/>
      <c r="S86" s="65">
        <f t="shared" si="15"/>
        <v>0</v>
      </c>
      <c r="T86" s="65" t="e">
        <f t="shared" si="16"/>
        <v>#DIV/0!</v>
      </c>
    </row>
    <row r="87" spans="1:20" s="152" customFormat="1" ht="15" hidden="1" customHeight="1" x14ac:dyDescent="0.25">
      <c r="A87" s="100">
        <v>79</v>
      </c>
      <c r="B87" s="75">
        <f>PIERNA!B82</f>
        <v>0</v>
      </c>
      <c r="C87" s="148">
        <f>PIERNA!C82</f>
        <v>0</v>
      </c>
      <c r="D87" s="101">
        <f>PIERNA!D82</f>
        <v>0</v>
      </c>
      <c r="E87" s="134">
        <f>PIERNA!E82</f>
        <v>0</v>
      </c>
      <c r="F87" s="445">
        <f>PIERNA!F82</f>
        <v>0</v>
      </c>
      <c r="G87" s="161">
        <f>PIERNA!G82</f>
        <v>0</v>
      </c>
      <c r="H87" s="368">
        <f>PIERNA!H82</f>
        <v>0</v>
      </c>
      <c r="I87" s="105">
        <f>PIERNA!I87</f>
        <v>0</v>
      </c>
      <c r="J87" s="440"/>
      <c r="K87" s="381"/>
      <c r="L87" s="591"/>
      <c r="M87" s="579"/>
      <c r="N87" s="592"/>
      <c r="O87" s="384"/>
      <c r="P87" s="383"/>
      <c r="Q87" s="385"/>
      <c r="R87" s="653"/>
      <c r="S87" s="65">
        <f t="shared" si="15"/>
        <v>0</v>
      </c>
      <c r="T87" s="65" t="e">
        <f t="shared" si="16"/>
        <v>#DIV/0!</v>
      </c>
    </row>
    <row r="88" spans="1:20" s="152" customFormat="1" ht="15" hidden="1" customHeight="1" x14ac:dyDescent="0.25">
      <c r="A88" s="100">
        <v>80</v>
      </c>
      <c r="B88" s="75">
        <f>PIERNA!B83</f>
        <v>0</v>
      </c>
      <c r="C88" s="148">
        <f>PIERNA!C83</f>
        <v>0</v>
      </c>
      <c r="D88" s="101">
        <f>PIERNA!D83</f>
        <v>0</v>
      </c>
      <c r="E88" s="134">
        <f>PIERNA!E83</f>
        <v>0</v>
      </c>
      <c r="F88" s="445">
        <f>PIERNA!F83</f>
        <v>0</v>
      </c>
      <c r="G88" s="161">
        <f>PIERNA!G83</f>
        <v>0</v>
      </c>
      <c r="H88" s="368">
        <f>PIERNA!H83</f>
        <v>0</v>
      </c>
      <c r="I88" s="105">
        <f>PIERNA!I88</f>
        <v>0</v>
      </c>
      <c r="J88" s="440"/>
      <c r="K88" s="381"/>
      <c r="L88" s="591"/>
      <c r="M88" s="579"/>
      <c r="N88" s="592"/>
      <c r="O88" s="384"/>
      <c r="P88" s="383"/>
      <c r="Q88" s="385"/>
      <c r="R88" s="653"/>
      <c r="S88" s="65">
        <f t="shared" si="15"/>
        <v>0</v>
      </c>
      <c r="T88" s="65" t="e">
        <f t="shared" si="16"/>
        <v>#DIV/0!</v>
      </c>
    </row>
    <row r="89" spans="1:20" s="152" customFormat="1" ht="15" hidden="1" customHeight="1" x14ac:dyDescent="0.25">
      <c r="A89" s="100">
        <v>81</v>
      </c>
      <c r="B89" s="75">
        <f>PIERNA!B84</f>
        <v>0</v>
      </c>
      <c r="C89" s="148">
        <f>PIERNA!C84</f>
        <v>0</v>
      </c>
      <c r="D89" s="101">
        <f>PIERNA!D84</f>
        <v>0</v>
      </c>
      <c r="E89" s="134">
        <f>PIERNA!E84</f>
        <v>0</v>
      </c>
      <c r="F89" s="445">
        <f>PIERNA!F84</f>
        <v>0</v>
      </c>
      <c r="G89" s="161">
        <f>PIERNA!G84</f>
        <v>0</v>
      </c>
      <c r="H89" s="368">
        <f>PIERNA!H84</f>
        <v>0</v>
      </c>
      <c r="I89" s="105">
        <f>PIERNA!I89</f>
        <v>0</v>
      </c>
      <c r="J89" s="440"/>
      <c r="K89" s="381"/>
      <c r="L89" s="591"/>
      <c r="M89" s="579"/>
      <c r="N89" s="592"/>
      <c r="O89" s="384"/>
      <c r="P89" s="383"/>
      <c r="Q89" s="385"/>
      <c r="R89" s="653"/>
      <c r="S89" s="65">
        <f t="shared" si="15"/>
        <v>0</v>
      </c>
      <c r="T89" s="65" t="e">
        <f t="shared" si="16"/>
        <v>#DIV/0!</v>
      </c>
    </row>
    <row r="90" spans="1:20" s="152" customFormat="1" ht="15" hidden="1" customHeight="1" x14ac:dyDescent="0.25">
      <c r="A90" s="100">
        <v>82</v>
      </c>
      <c r="B90" s="75">
        <f>PIERNA!B85</f>
        <v>0</v>
      </c>
      <c r="C90" s="148">
        <f>PIERNA!C85</f>
        <v>0</v>
      </c>
      <c r="D90" s="101">
        <f>PIERNA!D85</f>
        <v>0</v>
      </c>
      <c r="E90" s="134">
        <f>PIERNA!E85</f>
        <v>0</v>
      </c>
      <c r="F90" s="445">
        <f>PIERNA!F85</f>
        <v>0</v>
      </c>
      <c r="G90" s="161">
        <f>PIERNA!G85</f>
        <v>0</v>
      </c>
      <c r="H90" s="368">
        <f>PIERNA!H85</f>
        <v>0</v>
      </c>
      <c r="I90" s="105">
        <f>PIERNA!I90</f>
        <v>0</v>
      </c>
      <c r="J90" s="440"/>
      <c r="K90" s="381"/>
      <c r="L90" s="591"/>
      <c r="M90" s="579"/>
      <c r="N90" s="592"/>
      <c r="O90" s="384"/>
      <c r="P90" s="383"/>
      <c r="Q90" s="385"/>
      <c r="R90" s="653"/>
      <c r="S90" s="65">
        <f t="shared" si="15"/>
        <v>0</v>
      </c>
      <c r="T90" s="65" t="e">
        <f t="shared" si="16"/>
        <v>#DIV/0!</v>
      </c>
    </row>
    <row r="91" spans="1:20" s="152" customFormat="1" ht="15" hidden="1" customHeight="1" x14ac:dyDescent="0.25">
      <c r="A91" s="100">
        <v>83</v>
      </c>
      <c r="B91" s="75">
        <f>PIERNA!B86</f>
        <v>0</v>
      </c>
      <c r="C91" s="148">
        <f>PIERNA!C86</f>
        <v>0</v>
      </c>
      <c r="D91" s="101">
        <f>PIERNA!D86</f>
        <v>0</v>
      </c>
      <c r="E91" s="134">
        <f>PIERNA!E86</f>
        <v>0</v>
      </c>
      <c r="F91" s="445">
        <f>PIERNA!F86</f>
        <v>0</v>
      </c>
      <c r="G91" s="161">
        <f>PIERNA!G86</f>
        <v>0</v>
      </c>
      <c r="H91" s="368">
        <f>PIERNA!H86</f>
        <v>0</v>
      </c>
      <c r="I91" s="105">
        <f>PIERNA!I91</f>
        <v>0</v>
      </c>
      <c r="J91" s="440"/>
      <c r="K91" s="381"/>
      <c r="L91" s="591"/>
      <c r="M91" s="579"/>
      <c r="N91" s="592"/>
      <c r="O91" s="384"/>
      <c r="P91" s="383"/>
      <c r="Q91" s="385"/>
      <c r="R91" s="653"/>
      <c r="S91" s="65">
        <f t="shared" si="15"/>
        <v>0</v>
      </c>
      <c r="T91" s="65" t="e">
        <f t="shared" si="16"/>
        <v>#DIV/0!</v>
      </c>
    </row>
    <row r="92" spans="1:20" s="152" customFormat="1" ht="15" hidden="1" customHeight="1" x14ac:dyDescent="0.25">
      <c r="A92" s="100">
        <v>84</v>
      </c>
      <c r="B92" s="75">
        <f>PIERNA!B87</f>
        <v>0</v>
      </c>
      <c r="C92" s="148">
        <f>PIERNA!C87</f>
        <v>0</v>
      </c>
      <c r="D92" s="101">
        <f>PIERNA!D87</f>
        <v>0</v>
      </c>
      <c r="E92" s="134">
        <f>PIERNA!E87</f>
        <v>0</v>
      </c>
      <c r="F92" s="445">
        <f>PIERNA!F87</f>
        <v>0</v>
      </c>
      <c r="G92" s="161">
        <f>PIERNA!G87</f>
        <v>0</v>
      </c>
      <c r="H92" s="368">
        <f>PIERNA!H87</f>
        <v>0</v>
      </c>
      <c r="I92" s="105">
        <f>PIERNA!I92</f>
        <v>0</v>
      </c>
      <c r="J92" s="440"/>
      <c r="K92" s="381"/>
      <c r="L92" s="591"/>
      <c r="M92" s="579"/>
      <c r="N92" s="592"/>
      <c r="O92" s="384"/>
      <c r="P92" s="383"/>
      <c r="Q92" s="385"/>
      <c r="R92" s="653"/>
      <c r="S92" s="65">
        <f t="shared" si="15"/>
        <v>0</v>
      </c>
      <c r="T92" s="65" t="e">
        <f t="shared" si="16"/>
        <v>#DIV/0!</v>
      </c>
    </row>
    <row r="93" spans="1:20" s="152" customFormat="1" ht="15" hidden="1" customHeight="1" x14ac:dyDescent="0.25">
      <c r="A93" s="100">
        <v>85</v>
      </c>
      <c r="B93" s="75">
        <f>PIERNA!B88</f>
        <v>0</v>
      </c>
      <c r="C93" s="148">
        <f>PIERNA!C88</f>
        <v>0</v>
      </c>
      <c r="D93" s="101">
        <f>PIERNA!D88</f>
        <v>0</v>
      </c>
      <c r="E93" s="134">
        <f>PIERNA!E88</f>
        <v>0</v>
      </c>
      <c r="F93" s="445">
        <f>PIERNA!F88</f>
        <v>0</v>
      </c>
      <c r="G93" s="161">
        <f>PIERNA!G88</f>
        <v>0</v>
      </c>
      <c r="H93" s="368">
        <f>PIERNA!H88</f>
        <v>0</v>
      </c>
      <c r="I93" s="105">
        <f>PIERNA!I93</f>
        <v>0</v>
      </c>
      <c r="J93" s="440"/>
      <c r="K93" s="381"/>
      <c r="L93" s="591"/>
      <c r="M93" s="579"/>
      <c r="N93" s="592"/>
      <c r="O93" s="384"/>
      <c r="P93" s="383"/>
      <c r="Q93" s="385"/>
      <c r="R93" s="653"/>
      <c r="S93" s="65">
        <f t="shared" si="15"/>
        <v>0</v>
      </c>
      <c r="T93" s="65" t="e">
        <f t="shared" si="16"/>
        <v>#DIV/0!</v>
      </c>
    </row>
    <row r="94" spans="1:20" s="152" customFormat="1" ht="15.75" x14ac:dyDescent="0.25">
      <c r="A94" s="100"/>
      <c r="B94" s="61"/>
      <c r="C94" s="172"/>
      <c r="D94" s="101"/>
      <c r="E94" s="134"/>
      <c r="F94" s="445"/>
      <c r="G94" s="161"/>
      <c r="H94" s="368"/>
      <c r="I94" s="105">
        <f>PIERNA!I94</f>
        <v>0</v>
      </c>
      <c r="J94" s="274"/>
      <c r="K94" s="582"/>
      <c r="L94" s="591"/>
      <c r="M94" s="579"/>
      <c r="N94" s="592"/>
      <c r="O94" s="384"/>
      <c r="P94" s="383"/>
      <c r="Q94" s="385"/>
      <c r="R94" s="653"/>
      <c r="S94" s="65">
        <f t="shared" si="15"/>
        <v>0</v>
      </c>
      <c r="T94" s="65" t="e">
        <f t="shared" si="16"/>
        <v>#DIV/0!</v>
      </c>
    </row>
    <row r="95" spans="1:20" s="152" customFormat="1" x14ac:dyDescent="0.25">
      <c r="A95" s="100"/>
      <c r="B95" s="75"/>
      <c r="C95" s="148"/>
      <c r="D95" s="101"/>
      <c r="E95" s="134"/>
      <c r="F95" s="445"/>
      <c r="G95" s="161"/>
      <c r="H95" s="368"/>
      <c r="I95" s="105">
        <f>PIERNA!I95</f>
        <v>0</v>
      </c>
      <c r="J95" s="440"/>
      <c r="K95" s="381"/>
      <c r="L95" s="591"/>
      <c r="M95" s="381"/>
      <c r="N95" s="592"/>
      <c r="O95" s="384"/>
      <c r="P95" s="383"/>
      <c r="Q95" s="385"/>
      <c r="R95" s="653"/>
      <c r="S95" s="65">
        <f t="shared" si="15"/>
        <v>0</v>
      </c>
      <c r="T95" s="65" t="e">
        <f t="shared" si="16"/>
        <v>#DIV/0!</v>
      </c>
    </row>
    <row r="96" spans="1:20" s="152" customFormat="1" x14ac:dyDescent="0.25">
      <c r="A96" s="100"/>
      <c r="B96" s="75"/>
      <c r="C96" s="148"/>
      <c r="D96" s="101"/>
      <c r="E96" s="134"/>
      <c r="F96" s="445"/>
      <c r="G96" s="161"/>
      <c r="H96" s="368"/>
      <c r="I96" s="105"/>
      <c r="J96" s="440"/>
      <c r="K96" s="381"/>
      <c r="L96" s="591"/>
      <c r="M96" s="381"/>
      <c r="N96" s="592"/>
      <c r="O96" s="384"/>
      <c r="P96" s="383"/>
      <c r="Q96" s="385"/>
      <c r="R96" s="653"/>
      <c r="S96" s="65">
        <f t="shared" si="15"/>
        <v>0</v>
      </c>
      <c r="T96" s="170" t="e">
        <f t="shared" ref="T96:T109" si="17">S96/H96</f>
        <v>#DIV/0!</v>
      </c>
    </row>
    <row r="97" spans="1:20" s="152" customFormat="1" x14ac:dyDescent="0.25">
      <c r="A97" s="100"/>
      <c r="B97" s="75"/>
      <c r="C97" s="148"/>
      <c r="D97" s="101"/>
      <c r="E97" s="134"/>
      <c r="F97" s="445"/>
      <c r="G97" s="161"/>
      <c r="H97" s="368"/>
      <c r="I97" s="105"/>
      <c r="J97" s="440"/>
      <c r="K97" s="381"/>
      <c r="L97" s="591"/>
      <c r="M97" s="381"/>
      <c r="N97" s="592"/>
      <c r="O97" s="462"/>
      <c r="P97" s="462"/>
      <c r="Q97" s="520"/>
      <c r="R97" s="654"/>
      <c r="S97" s="65">
        <f t="shared" si="15"/>
        <v>0</v>
      </c>
      <c r="T97" s="170" t="e">
        <f t="shared" si="17"/>
        <v>#DIV/0!</v>
      </c>
    </row>
    <row r="98" spans="1:20" s="152" customFormat="1" x14ac:dyDescent="0.25">
      <c r="A98" s="100"/>
      <c r="B98" s="75"/>
      <c r="C98" s="148"/>
      <c r="D98" s="101"/>
      <c r="E98" s="134"/>
      <c r="F98" s="445"/>
      <c r="G98" s="161"/>
      <c r="H98" s="368"/>
      <c r="I98" s="105"/>
      <c r="J98" s="440"/>
      <c r="K98" s="381"/>
      <c r="L98" s="591"/>
      <c r="M98" s="381"/>
      <c r="N98" s="592"/>
      <c r="O98" s="795"/>
      <c r="P98" s="795"/>
      <c r="Q98" s="889"/>
      <c r="R98" s="802"/>
      <c r="S98" s="65"/>
      <c r="T98" s="170"/>
    </row>
    <row r="99" spans="1:20" s="152" customFormat="1" ht="26.25" customHeight="1" x14ac:dyDescent="0.25">
      <c r="A99" s="100">
        <v>61</v>
      </c>
      <c r="B99" s="891" t="s">
        <v>352</v>
      </c>
      <c r="C99" s="794" t="s">
        <v>71</v>
      </c>
      <c r="D99" s="1244"/>
      <c r="E99" s="1034">
        <v>44893</v>
      </c>
      <c r="F99" s="1028">
        <v>2810.63</v>
      </c>
      <c r="G99" s="794">
        <v>94</v>
      </c>
      <c r="H99" s="1029">
        <v>2810.63</v>
      </c>
      <c r="I99" s="466">
        <f>H99-F99</f>
        <v>0</v>
      </c>
      <c r="J99" s="958"/>
      <c r="K99" s="752"/>
      <c r="L99" s="765"/>
      <c r="M99" s="752"/>
      <c r="N99" s="959"/>
      <c r="O99" s="762"/>
      <c r="P99" s="756"/>
      <c r="Q99" s="1030"/>
      <c r="R99" s="1031"/>
      <c r="S99" s="65">
        <f>Q99+M99+K99</f>
        <v>0</v>
      </c>
      <c r="T99" s="170">
        <f>S99/H99</f>
        <v>0</v>
      </c>
    </row>
    <row r="100" spans="1:20" s="152" customFormat="1" ht="34.5" customHeight="1" x14ac:dyDescent="0.25">
      <c r="A100" s="100">
        <v>62</v>
      </c>
      <c r="B100" s="407" t="s">
        <v>80</v>
      </c>
      <c r="C100" s="1032" t="s">
        <v>177</v>
      </c>
      <c r="D100" s="1033"/>
      <c r="E100" s="1035">
        <v>44894</v>
      </c>
      <c r="F100" s="1057">
        <v>248.57</v>
      </c>
      <c r="G100" s="1058">
        <v>21</v>
      </c>
      <c r="H100" s="1036">
        <v>248.57</v>
      </c>
      <c r="I100" s="466">
        <f>H100-F100</f>
        <v>0</v>
      </c>
      <c r="J100" s="958"/>
      <c r="K100" s="752"/>
      <c r="L100" s="765"/>
      <c r="M100" s="752"/>
      <c r="N100" s="959"/>
      <c r="O100" s="1077" t="s">
        <v>381</v>
      </c>
      <c r="P100" s="756"/>
      <c r="Q100" s="520">
        <v>21128.45</v>
      </c>
      <c r="R100" s="1082" t="s">
        <v>382</v>
      </c>
      <c r="S100" s="65">
        <f>Q100+M100+K100</f>
        <v>21128.45</v>
      </c>
      <c r="T100" s="170">
        <f>S100/H100</f>
        <v>85</v>
      </c>
    </row>
    <row r="101" spans="1:20" s="152" customFormat="1" ht="44.25" thickBot="1" x14ac:dyDescent="0.3">
      <c r="A101" s="100">
        <v>63</v>
      </c>
      <c r="B101" s="1109" t="s">
        <v>467</v>
      </c>
      <c r="C101" s="1107" t="s">
        <v>483</v>
      </c>
      <c r="D101" s="1033" t="s">
        <v>484</v>
      </c>
      <c r="E101" s="1035">
        <v>44896</v>
      </c>
      <c r="F101" s="1057">
        <f>74.1+62.32+77.38+71.36</f>
        <v>285.15999999999997</v>
      </c>
      <c r="G101" s="1058"/>
      <c r="H101" s="1036">
        <v>285.16000000000003</v>
      </c>
      <c r="I101" s="466">
        <f t="shared" ref="I101:I102" si="18">H101-F101</f>
        <v>0</v>
      </c>
      <c r="J101" s="958"/>
      <c r="K101" s="752"/>
      <c r="L101" s="765"/>
      <c r="M101" s="752"/>
      <c r="N101" s="959"/>
      <c r="O101" s="1099" t="s">
        <v>485</v>
      </c>
      <c r="P101" s="1088"/>
      <c r="Q101" s="1091">
        <f>74.1*38+62.32*78+77.38*90+71.36*110</f>
        <v>22490.559999999998</v>
      </c>
      <c r="R101" s="1108" t="s">
        <v>462</v>
      </c>
      <c r="S101" s="65">
        <f>Q101+M101+K101</f>
        <v>22490.559999999998</v>
      </c>
      <c r="T101" s="170">
        <f>S101/H101</f>
        <v>78.869967737410562</v>
      </c>
    </row>
    <row r="102" spans="1:20" s="152" customFormat="1" ht="27" customHeight="1" x14ac:dyDescent="0.25">
      <c r="A102" s="100">
        <v>64</v>
      </c>
      <c r="B102" s="1327" t="s">
        <v>80</v>
      </c>
      <c r="C102" s="897" t="s">
        <v>178</v>
      </c>
      <c r="D102" s="274"/>
      <c r="E102" s="892">
        <v>44897</v>
      </c>
      <c r="F102" s="894">
        <v>1004.87</v>
      </c>
      <c r="G102" s="890">
        <v>84</v>
      </c>
      <c r="H102" s="894">
        <v>1004.87</v>
      </c>
      <c r="I102" s="466">
        <f t="shared" si="18"/>
        <v>0</v>
      </c>
      <c r="J102" s="961"/>
      <c r="K102" s="752"/>
      <c r="L102" s="962"/>
      <c r="M102" s="752"/>
      <c r="N102" s="1063"/>
      <c r="O102" s="1329" t="s">
        <v>355</v>
      </c>
      <c r="P102" s="1084"/>
      <c r="Q102" s="1081">
        <v>99482.13</v>
      </c>
      <c r="R102" s="1269" t="s">
        <v>461</v>
      </c>
      <c r="S102" s="65">
        <f t="shared" ref="S102:S105" si="19">Q102+M102+K102</f>
        <v>99482.13</v>
      </c>
      <c r="T102" s="170">
        <f t="shared" ref="T102:T105" si="20">S102/H102</f>
        <v>99</v>
      </c>
    </row>
    <row r="103" spans="1:20" s="152" customFormat="1" ht="32.25" customHeight="1" thickBot="1" x14ac:dyDescent="0.3">
      <c r="A103" s="100">
        <v>65</v>
      </c>
      <c r="B103" s="1328"/>
      <c r="C103" s="1037" t="s">
        <v>177</v>
      </c>
      <c r="D103" s="1244"/>
      <c r="E103" s="1027">
        <v>44897</v>
      </c>
      <c r="F103" s="1028">
        <v>106.18</v>
      </c>
      <c r="G103" s="794">
        <v>9</v>
      </c>
      <c r="H103" s="1029">
        <v>106.18</v>
      </c>
      <c r="I103" s="466">
        <f t="shared" ref="I103:I141" si="21">H103-F103</f>
        <v>0</v>
      </c>
      <c r="J103" s="960"/>
      <c r="K103" s="963"/>
      <c r="L103" s="964"/>
      <c r="M103" s="752"/>
      <c r="N103" s="1063"/>
      <c r="O103" s="1330"/>
      <c r="P103" s="1084"/>
      <c r="Q103" s="1081">
        <v>9025.2999999999993</v>
      </c>
      <c r="R103" s="1270"/>
      <c r="S103" s="65">
        <f t="shared" si="19"/>
        <v>9025.2999999999993</v>
      </c>
      <c r="T103" s="170">
        <f t="shared" si="20"/>
        <v>84.999999999999986</v>
      </c>
    </row>
    <row r="104" spans="1:20" s="152" customFormat="1" ht="42.75" x14ac:dyDescent="0.25">
      <c r="A104" s="100">
        <v>66</v>
      </c>
      <c r="B104" s="1095" t="s">
        <v>467</v>
      </c>
      <c r="C104" s="1098" t="s">
        <v>473</v>
      </c>
      <c r="D104" s="1244" t="s">
        <v>468</v>
      </c>
      <c r="E104" s="1027">
        <v>44897</v>
      </c>
      <c r="F104" s="1028">
        <v>7423.12</v>
      </c>
      <c r="G104" s="794">
        <v>8</v>
      </c>
      <c r="H104" s="1029">
        <v>7423.12</v>
      </c>
      <c r="I104" s="466">
        <f t="shared" si="21"/>
        <v>0</v>
      </c>
      <c r="J104" s="960"/>
      <c r="K104" s="963"/>
      <c r="L104" s="964"/>
      <c r="M104" s="752"/>
      <c r="N104" s="1063"/>
      <c r="O104" s="1093" t="s">
        <v>469</v>
      </c>
      <c r="P104" s="1084"/>
      <c r="Q104" s="1081">
        <v>181867</v>
      </c>
      <c r="R104" s="1094" t="s">
        <v>462</v>
      </c>
      <c r="S104" s="65">
        <f t="shared" ref="S104" si="22">Q104+M104+K104</f>
        <v>181867</v>
      </c>
      <c r="T104" s="170">
        <f t="shared" ref="T104" si="23">S104/H104</f>
        <v>24.500075439976722</v>
      </c>
    </row>
    <row r="105" spans="1:20" s="152" customFormat="1" ht="33.75" customHeight="1" x14ac:dyDescent="0.25">
      <c r="A105" s="100">
        <v>67</v>
      </c>
      <c r="B105" s="1038" t="s">
        <v>97</v>
      </c>
      <c r="C105" s="890" t="s">
        <v>358</v>
      </c>
      <c r="D105" s="274"/>
      <c r="E105" s="892">
        <v>44898</v>
      </c>
      <c r="F105" s="894">
        <v>5008.4799999999996</v>
      </c>
      <c r="G105" s="890">
        <v>184</v>
      </c>
      <c r="H105" s="894">
        <v>5008.4799999999996</v>
      </c>
      <c r="I105" s="466">
        <f t="shared" si="21"/>
        <v>0</v>
      </c>
      <c r="J105" s="961"/>
      <c r="K105" s="752"/>
      <c r="L105" s="962"/>
      <c r="M105" s="752"/>
      <c r="N105" s="967"/>
      <c r="O105" s="1085" t="s">
        <v>455</v>
      </c>
      <c r="P105" s="1073" t="s">
        <v>456</v>
      </c>
      <c r="Q105" s="523">
        <v>443250.48</v>
      </c>
      <c r="R105" s="1083" t="s">
        <v>457</v>
      </c>
      <c r="S105" s="65">
        <f t="shared" si="19"/>
        <v>443250.48</v>
      </c>
      <c r="T105" s="170">
        <f t="shared" si="20"/>
        <v>88.5</v>
      </c>
    </row>
    <row r="106" spans="1:20" s="152" customFormat="1" ht="38.25" customHeight="1" thickBot="1" x14ac:dyDescent="0.3">
      <c r="A106" s="100">
        <v>68</v>
      </c>
      <c r="B106" s="1046" t="s">
        <v>176</v>
      </c>
      <c r="C106" s="890" t="s">
        <v>358</v>
      </c>
      <c r="D106" s="910"/>
      <c r="E106" s="892">
        <v>44900</v>
      </c>
      <c r="F106" s="894">
        <v>9016.44</v>
      </c>
      <c r="G106" s="890">
        <v>331</v>
      </c>
      <c r="H106" s="894">
        <v>9016.44</v>
      </c>
      <c r="I106" s="466">
        <f t="shared" si="21"/>
        <v>0</v>
      </c>
      <c r="J106" s="961"/>
      <c r="K106" s="752"/>
      <c r="L106" s="962"/>
      <c r="M106" s="752"/>
      <c r="N106" s="967"/>
      <c r="O106" s="757" t="s">
        <v>359</v>
      </c>
      <c r="P106" s="754"/>
      <c r="Q106" s="523">
        <v>775413.84</v>
      </c>
      <c r="R106" s="761" t="s">
        <v>457</v>
      </c>
      <c r="S106" s="65">
        <f t="shared" ref="S106:S108" si="24">Q106+M106+K106</f>
        <v>775413.84</v>
      </c>
      <c r="T106" s="170">
        <f t="shared" ref="T106:T108" si="25">S106/H106</f>
        <v>85.999999999999986</v>
      </c>
    </row>
    <row r="107" spans="1:20" s="152" customFormat="1" ht="28.5" customHeight="1" x14ac:dyDescent="0.25">
      <c r="A107" s="100">
        <v>69</v>
      </c>
      <c r="B107" s="1303" t="s">
        <v>370</v>
      </c>
      <c r="C107" s="1037" t="s">
        <v>43</v>
      </c>
      <c r="D107" s="1244"/>
      <c r="E107" s="1027">
        <v>44900</v>
      </c>
      <c r="F107" s="1028">
        <v>1502.74</v>
      </c>
      <c r="G107" s="794">
        <v>331</v>
      </c>
      <c r="H107" s="1029">
        <v>1502.74</v>
      </c>
      <c r="I107" s="466">
        <f t="shared" si="21"/>
        <v>0</v>
      </c>
      <c r="J107" s="958"/>
      <c r="K107" s="752"/>
      <c r="L107" s="962"/>
      <c r="M107" s="752"/>
      <c r="N107" s="966"/>
      <c r="O107" s="1306" t="s">
        <v>373</v>
      </c>
      <c r="P107" s="968"/>
      <c r="Q107" s="523">
        <v>66120.56</v>
      </c>
      <c r="R107" s="1300" t="s">
        <v>377</v>
      </c>
      <c r="S107" s="65">
        <f t="shared" si="24"/>
        <v>66120.56</v>
      </c>
      <c r="T107" s="170">
        <f t="shared" si="25"/>
        <v>44</v>
      </c>
    </row>
    <row r="108" spans="1:20" s="152" customFormat="1" ht="22.5" customHeight="1" x14ac:dyDescent="0.25">
      <c r="A108" s="100">
        <v>70</v>
      </c>
      <c r="B108" s="1304"/>
      <c r="C108" s="1045" t="s">
        <v>371</v>
      </c>
      <c r="D108" s="572"/>
      <c r="E108" s="892">
        <v>44900</v>
      </c>
      <c r="F108" s="894">
        <v>150</v>
      </c>
      <c r="G108" s="890">
        <v>15</v>
      </c>
      <c r="H108" s="894">
        <v>150</v>
      </c>
      <c r="I108" s="466">
        <f t="shared" si="21"/>
        <v>0</v>
      </c>
      <c r="J108" s="958"/>
      <c r="K108" s="752"/>
      <c r="L108" s="962"/>
      <c r="M108" s="752"/>
      <c r="N108" s="966"/>
      <c r="O108" s="1307"/>
      <c r="P108" s="968"/>
      <c r="Q108" s="523">
        <v>12750</v>
      </c>
      <c r="R108" s="1301"/>
      <c r="S108" s="65">
        <f t="shared" si="24"/>
        <v>12750</v>
      </c>
      <c r="T108" s="170">
        <f t="shared" si="25"/>
        <v>85</v>
      </c>
    </row>
    <row r="109" spans="1:20" s="152" customFormat="1" ht="28.5" customHeight="1" x14ac:dyDescent="0.25">
      <c r="A109" s="100">
        <v>71</v>
      </c>
      <c r="B109" s="1304"/>
      <c r="C109" s="897" t="s">
        <v>75</v>
      </c>
      <c r="D109" s="274"/>
      <c r="E109" s="892">
        <v>44900</v>
      </c>
      <c r="F109" s="894">
        <v>5</v>
      </c>
      <c r="G109" s="890">
        <v>1</v>
      </c>
      <c r="H109" s="894">
        <v>5</v>
      </c>
      <c r="I109" s="900">
        <f t="shared" si="21"/>
        <v>0</v>
      </c>
      <c r="J109" s="958"/>
      <c r="K109" s="752"/>
      <c r="L109" s="962"/>
      <c r="M109" s="752"/>
      <c r="N109" s="966"/>
      <c r="O109" s="1307"/>
      <c r="P109" s="752"/>
      <c r="Q109" s="523">
        <v>1500</v>
      </c>
      <c r="R109" s="1301"/>
      <c r="S109" s="65">
        <f t="shared" si="15"/>
        <v>1500</v>
      </c>
      <c r="T109" s="170">
        <f t="shared" si="17"/>
        <v>300</v>
      </c>
    </row>
    <row r="110" spans="1:20" s="152" customFormat="1" ht="28.5" customHeight="1" thickBot="1" x14ac:dyDescent="0.3">
      <c r="A110" s="100">
        <v>72</v>
      </c>
      <c r="B110" s="1305"/>
      <c r="C110" s="897" t="s">
        <v>372</v>
      </c>
      <c r="D110" s="274"/>
      <c r="E110" s="892">
        <v>44900</v>
      </c>
      <c r="F110" s="894">
        <v>20</v>
      </c>
      <c r="G110" s="890">
        <v>1</v>
      </c>
      <c r="H110" s="894">
        <v>20</v>
      </c>
      <c r="I110" s="408">
        <f t="shared" si="21"/>
        <v>0</v>
      </c>
      <c r="J110" s="958"/>
      <c r="K110" s="752"/>
      <c r="L110" s="962"/>
      <c r="M110" s="752"/>
      <c r="N110" s="966"/>
      <c r="O110" s="1308"/>
      <c r="P110" s="752"/>
      <c r="Q110" s="523">
        <v>4600</v>
      </c>
      <c r="R110" s="1302"/>
      <c r="S110" s="65">
        <f t="shared" ref="S110:S114" si="26">Q110+M110+K110</f>
        <v>4600</v>
      </c>
      <c r="T110" s="170">
        <f t="shared" ref="T110:T114" si="27">S110/H110</f>
        <v>230</v>
      </c>
    </row>
    <row r="111" spans="1:20" s="152" customFormat="1" ht="44.25" thickBot="1" x14ac:dyDescent="0.3">
      <c r="A111" s="100">
        <v>73</v>
      </c>
      <c r="B111" s="1106" t="s">
        <v>467</v>
      </c>
      <c r="C111" s="897" t="s">
        <v>480</v>
      </c>
      <c r="D111" s="910" t="s">
        <v>481</v>
      </c>
      <c r="E111" s="1104">
        <v>44901</v>
      </c>
      <c r="F111" s="894">
        <v>23628</v>
      </c>
      <c r="G111" s="890"/>
      <c r="H111" s="894">
        <v>23628</v>
      </c>
      <c r="I111" s="466">
        <f t="shared" si="21"/>
        <v>0</v>
      </c>
      <c r="J111" s="958"/>
      <c r="K111" s="752"/>
      <c r="L111" s="962"/>
      <c r="M111" s="752"/>
      <c r="N111" s="966"/>
      <c r="O111" s="1078" t="s">
        <v>482</v>
      </c>
      <c r="P111" s="1105"/>
      <c r="Q111" s="523">
        <v>23628</v>
      </c>
      <c r="R111" s="1076" t="s">
        <v>462</v>
      </c>
      <c r="S111" s="65">
        <f t="shared" si="26"/>
        <v>23628</v>
      </c>
      <c r="T111" s="170">
        <f t="shared" si="27"/>
        <v>1</v>
      </c>
    </row>
    <row r="112" spans="1:20" s="152" customFormat="1" ht="42.75" x14ac:dyDescent="0.25">
      <c r="A112" s="100">
        <v>74</v>
      </c>
      <c r="B112" s="1047" t="s">
        <v>179</v>
      </c>
      <c r="C112" s="908" t="s">
        <v>180</v>
      </c>
      <c r="D112" s="688"/>
      <c r="E112" s="803">
        <v>44902</v>
      </c>
      <c r="F112" s="893">
        <v>1984.8</v>
      </c>
      <c r="G112" s="675">
        <v>5</v>
      </c>
      <c r="H112" s="896">
        <v>1984.8</v>
      </c>
      <c r="I112" s="466">
        <f t="shared" ref="I112:I113" si="28">H112-F112</f>
        <v>0</v>
      </c>
      <c r="J112" s="958"/>
      <c r="K112" s="752"/>
      <c r="L112" s="962"/>
      <c r="M112" s="752">
        <v>4176</v>
      </c>
      <c r="N112" s="966" t="s">
        <v>546</v>
      </c>
      <c r="O112" s="1061" t="s">
        <v>378</v>
      </c>
      <c r="P112" s="1075"/>
      <c r="Q112" s="523">
        <f>150000+42336</f>
        <v>192336</v>
      </c>
      <c r="R112" s="761" t="s">
        <v>380</v>
      </c>
      <c r="S112" s="65">
        <f t="shared" si="26"/>
        <v>196512</v>
      </c>
      <c r="T112" s="170">
        <f t="shared" si="27"/>
        <v>99.008464328899635</v>
      </c>
    </row>
    <row r="113" spans="1:20" s="1102" customFormat="1" ht="43.5" customHeight="1" thickBot="1" x14ac:dyDescent="0.3">
      <c r="A113" s="100">
        <v>75</v>
      </c>
      <c r="B113" s="1103" t="s">
        <v>467</v>
      </c>
      <c r="C113" s="1037" t="s">
        <v>477</v>
      </c>
      <c r="D113" s="1244" t="s">
        <v>478</v>
      </c>
      <c r="E113" s="1027">
        <v>44902</v>
      </c>
      <c r="F113" s="1028">
        <v>272</v>
      </c>
      <c r="G113" s="794"/>
      <c r="H113" s="1029">
        <v>272</v>
      </c>
      <c r="I113" s="466">
        <f t="shared" si="28"/>
        <v>0</v>
      </c>
      <c r="J113" s="958"/>
      <c r="K113" s="752"/>
      <c r="L113" s="962"/>
      <c r="M113" s="752"/>
      <c r="N113" s="1063"/>
      <c r="O113" s="1099" t="s">
        <v>479</v>
      </c>
      <c r="P113" s="1100"/>
      <c r="Q113" s="1074">
        <v>34000</v>
      </c>
      <c r="R113" s="1101" t="s">
        <v>462</v>
      </c>
      <c r="S113" s="65">
        <f t="shared" ref="S113" si="29">Q113+M113+K113</f>
        <v>34000</v>
      </c>
      <c r="T113" s="170">
        <f t="shared" ref="T113" si="30">S113/H113</f>
        <v>125</v>
      </c>
    </row>
    <row r="114" spans="1:20" s="152" customFormat="1" ht="38.25" customHeight="1" x14ac:dyDescent="0.25">
      <c r="A114" s="100">
        <v>76</v>
      </c>
      <c r="B114" s="1331" t="s">
        <v>421</v>
      </c>
      <c r="C114" s="897" t="s">
        <v>77</v>
      </c>
      <c r="D114" s="274"/>
      <c r="E114" s="557">
        <v>44900</v>
      </c>
      <c r="F114" s="894">
        <v>1109.3900000000001</v>
      </c>
      <c r="G114" s="890">
        <v>40</v>
      </c>
      <c r="H114" s="894">
        <v>1109.3900000000001</v>
      </c>
      <c r="I114" s="466">
        <f t="shared" si="21"/>
        <v>0</v>
      </c>
      <c r="J114" s="958"/>
      <c r="K114" s="752"/>
      <c r="L114" s="962"/>
      <c r="M114" s="752"/>
      <c r="N114" s="1063"/>
      <c r="O114" s="1334">
        <v>19343</v>
      </c>
      <c r="P114" s="1312" t="s">
        <v>456</v>
      </c>
      <c r="Q114" s="1074">
        <v>99845.1</v>
      </c>
      <c r="R114" s="1309" t="s">
        <v>458</v>
      </c>
      <c r="S114" s="65">
        <f t="shared" si="26"/>
        <v>99845.1</v>
      </c>
      <c r="T114" s="170">
        <f t="shared" si="27"/>
        <v>90</v>
      </c>
    </row>
    <row r="115" spans="1:20" s="152" customFormat="1" ht="31.5" customHeight="1" x14ac:dyDescent="0.25">
      <c r="A115" s="100">
        <v>77</v>
      </c>
      <c r="B115" s="1332"/>
      <c r="C115" s="897" t="s">
        <v>422</v>
      </c>
      <c r="D115" s="274"/>
      <c r="E115" s="557">
        <v>44900</v>
      </c>
      <c r="F115" s="894">
        <v>3050.42</v>
      </c>
      <c r="G115" s="890">
        <v>115</v>
      </c>
      <c r="H115" s="894">
        <v>3050.42</v>
      </c>
      <c r="I115" s="466">
        <f t="shared" si="21"/>
        <v>0</v>
      </c>
      <c r="J115" s="958"/>
      <c r="K115" s="752"/>
      <c r="L115" s="965"/>
      <c r="M115" s="752"/>
      <c r="N115" s="1064"/>
      <c r="O115" s="1335"/>
      <c r="P115" s="1313"/>
      <c r="Q115" s="1074">
        <v>222680.66</v>
      </c>
      <c r="R115" s="1310"/>
      <c r="S115" s="65">
        <f t="shared" si="15"/>
        <v>222680.66</v>
      </c>
      <c r="T115" s="170">
        <f t="shared" ref="T115:T116" si="31">S115/H115</f>
        <v>73</v>
      </c>
    </row>
    <row r="116" spans="1:20" s="152" customFormat="1" ht="34.5" customHeight="1" thickBot="1" x14ac:dyDescent="0.3">
      <c r="A116" s="100">
        <v>78</v>
      </c>
      <c r="B116" s="1333"/>
      <c r="C116" s="897" t="s">
        <v>394</v>
      </c>
      <c r="D116" s="274"/>
      <c r="E116" s="557">
        <v>44900</v>
      </c>
      <c r="F116" s="894">
        <v>2944.1</v>
      </c>
      <c r="G116" s="890">
        <v>125</v>
      </c>
      <c r="H116" s="894">
        <v>2944.1</v>
      </c>
      <c r="I116" s="466">
        <f t="shared" si="21"/>
        <v>0</v>
      </c>
      <c r="J116" s="958"/>
      <c r="K116" s="752"/>
      <c r="L116" s="965"/>
      <c r="M116" s="752"/>
      <c r="N116" s="1064"/>
      <c r="O116" s="1336"/>
      <c r="P116" s="1314"/>
      <c r="Q116" s="1074">
        <v>247304.4</v>
      </c>
      <c r="R116" s="1311"/>
      <c r="S116" s="65">
        <f t="shared" si="15"/>
        <v>247304.4</v>
      </c>
      <c r="T116" s="170">
        <f t="shared" si="31"/>
        <v>84</v>
      </c>
    </row>
    <row r="117" spans="1:20" s="152" customFormat="1" ht="43.5" x14ac:dyDescent="0.25">
      <c r="A117" s="100">
        <v>79</v>
      </c>
      <c r="B117" s="1095" t="s">
        <v>467</v>
      </c>
      <c r="C117" s="897" t="s">
        <v>475</v>
      </c>
      <c r="D117" s="910" t="s">
        <v>474</v>
      </c>
      <c r="E117" s="557">
        <v>44902</v>
      </c>
      <c r="F117" s="894">
        <f>89.34+101.98+78.24+11.36+78.9+43.92+2.5+90.96</f>
        <v>497.20000000000005</v>
      </c>
      <c r="G117" s="890"/>
      <c r="H117" s="894">
        <v>497.2</v>
      </c>
      <c r="I117" s="466">
        <f t="shared" si="21"/>
        <v>0</v>
      </c>
      <c r="J117" s="958"/>
      <c r="K117" s="752"/>
      <c r="L117" s="965"/>
      <c r="M117" s="752"/>
      <c r="N117" s="1064"/>
      <c r="O117" s="1096" t="s">
        <v>476</v>
      </c>
      <c r="P117" s="1097"/>
      <c r="Q117" s="1074">
        <f>89.34*80+101.98*90+78.24*110+11.36*90+78.9*90+43.92*90+2.5*80+90.96*78</f>
        <v>44302.880000000005</v>
      </c>
      <c r="R117" s="1079" t="s">
        <v>462</v>
      </c>
      <c r="S117" s="65">
        <f t="shared" ref="S117" si="32">Q117+M117+K117</f>
        <v>44302.880000000005</v>
      </c>
      <c r="T117" s="170">
        <f t="shared" ref="T117" si="33">S117/H117</f>
        <v>89.10474658085279</v>
      </c>
    </row>
    <row r="118" spans="1:20" s="152" customFormat="1" ht="44.25" thickBot="1" x14ac:dyDescent="0.3">
      <c r="A118" s="100">
        <v>80</v>
      </c>
      <c r="B118" s="1095" t="s">
        <v>467</v>
      </c>
      <c r="C118" s="897" t="s">
        <v>472</v>
      </c>
      <c r="D118" s="910" t="s">
        <v>471</v>
      </c>
      <c r="E118" s="557">
        <v>44903</v>
      </c>
      <c r="F118" s="894">
        <f>14.78+87.72+20.76+112.18+123.34+78.74</f>
        <v>437.52</v>
      </c>
      <c r="G118" s="890"/>
      <c r="H118" s="894">
        <v>437.52</v>
      </c>
      <c r="I118" s="466">
        <f t="shared" si="21"/>
        <v>0</v>
      </c>
      <c r="J118" s="958"/>
      <c r="K118" s="752"/>
      <c r="L118" s="965"/>
      <c r="M118" s="752"/>
      <c r="N118" s="1064"/>
      <c r="O118" s="1096" t="s">
        <v>470</v>
      </c>
      <c r="P118" s="1097"/>
      <c r="Q118" s="1074">
        <f>14.78*90+87.72*80+20.76*80+112.18*90+123.34*90+78.74*110</f>
        <v>39866.800000000003</v>
      </c>
      <c r="R118" s="1079" t="s">
        <v>462</v>
      </c>
      <c r="S118" s="65">
        <f t="shared" ref="S118" si="34">Q118+M118+K118</f>
        <v>39866.800000000003</v>
      </c>
      <c r="T118" s="170">
        <f t="shared" ref="T118" si="35">S118/H118</f>
        <v>91.119948802340474</v>
      </c>
    </row>
    <row r="119" spans="1:20" s="152" customFormat="1" ht="47.25" customHeight="1" thickBot="1" x14ac:dyDescent="0.3">
      <c r="A119" s="100">
        <v>81</v>
      </c>
      <c r="B119" s="1066" t="s">
        <v>421</v>
      </c>
      <c r="C119" s="897" t="s">
        <v>426</v>
      </c>
      <c r="D119" s="910"/>
      <c r="E119" s="1067">
        <v>44905</v>
      </c>
      <c r="F119" s="894">
        <v>2835.98</v>
      </c>
      <c r="G119" s="890">
        <v>120</v>
      </c>
      <c r="H119" s="894">
        <v>2835.98</v>
      </c>
      <c r="I119" s="466">
        <f t="shared" si="21"/>
        <v>0</v>
      </c>
      <c r="J119" s="958"/>
      <c r="K119" s="752"/>
      <c r="L119" s="965"/>
      <c r="M119" s="752"/>
      <c r="N119" s="967"/>
      <c r="O119" s="1065">
        <v>19336</v>
      </c>
      <c r="P119" s="1080" t="s">
        <v>456</v>
      </c>
      <c r="Q119" s="523">
        <v>198518.6</v>
      </c>
      <c r="R119" s="753" t="s">
        <v>459</v>
      </c>
      <c r="S119" s="65">
        <f t="shared" ref="S119:S120" si="36">Q119+M119+K119</f>
        <v>198518.6</v>
      </c>
      <c r="T119" s="170">
        <f t="shared" ref="T119:T120" si="37">S119/H119</f>
        <v>70</v>
      </c>
    </row>
    <row r="120" spans="1:20" s="152" customFormat="1" ht="42.75" customHeight="1" thickTop="1" x14ac:dyDescent="0.25">
      <c r="A120" s="100">
        <v>82</v>
      </c>
      <c r="B120" s="1038" t="s">
        <v>370</v>
      </c>
      <c r="C120" s="890" t="s">
        <v>427</v>
      </c>
      <c r="D120" s="274"/>
      <c r="E120" s="892">
        <v>44907</v>
      </c>
      <c r="F120" s="894">
        <v>150</v>
      </c>
      <c r="G120" s="890">
        <v>15</v>
      </c>
      <c r="H120" s="894">
        <v>150</v>
      </c>
      <c r="I120" s="466">
        <f t="shared" si="21"/>
        <v>0</v>
      </c>
      <c r="J120" s="958"/>
      <c r="K120" s="752"/>
      <c r="L120" s="962"/>
      <c r="M120" s="752"/>
      <c r="N120" s="966"/>
      <c r="O120" s="763" t="s">
        <v>428</v>
      </c>
      <c r="P120" s="888"/>
      <c r="Q120" s="523">
        <v>15000</v>
      </c>
      <c r="R120" s="753" t="s">
        <v>488</v>
      </c>
      <c r="S120" s="65">
        <f t="shared" si="36"/>
        <v>15000</v>
      </c>
      <c r="T120" s="170">
        <f t="shared" si="37"/>
        <v>100</v>
      </c>
    </row>
    <row r="121" spans="1:20" s="152" customFormat="1" ht="42.75" customHeight="1" x14ac:dyDescent="0.25">
      <c r="A121" s="100">
        <v>83</v>
      </c>
      <c r="B121" s="1069" t="s">
        <v>97</v>
      </c>
      <c r="C121" s="890" t="s">
        <v>434</v>
      </c>
      <c r="D121" s="910"/>
      <c r="E121" s="1072">
        <v>44909</v>
      </c>
      <c r="F121" s="894">
        <v>5032.8</v>
      </c>
      <c r="G121" s="890">
        <v>166</v>
      </c>
      <c r="H121" s="894">
        <v>5029.8</v>
      </c>
      <c r="I121" s="700">
        <f t="shared" si="21"/>
        <v>-3</v>
      </c>
      <c r="J121" s="958"/>
      <c r="K121" s="752"/>
      <c r="L121" s="962"/>
      <c r="M121" s="752"/>
      <c r="N121" s="966"/>
      <c r="O121" s="1089" t="s">
        <v>545</v>
      </c>
      <c r="P121" s="1073" t="s">
        <v>456</v>
      </c>
      <c r="Q121" s="1225">
        <v>624067.19999999995</v>
      </c>
      <c r="R121" s="1092" t="s">
        <v>544</v>
      </c>
      <c r="S121" s="65">
        <f t="shared" ref="S121:S129" si="38">Q121+M121+K121</f>
        <v>624067.19999999995</v>
      </c>
      <c r="T121" s="170">
        <f t="shared" ref="T121:T129" si="39">S121/H121</f>
        <v>124.07395920314922</v>
      </c>
    </row>
    <row r="122" spans="1:20" s="152" customFormat="1" ht="42.75" customHeight="1" thickBot="1" x14ac:dyDescent="0.3">
      <c r="A122" s="100"/>
      <c r="B122" s="1109" t="s">
        <v>933</v>
      </c>
      <c r="C122" s="897" t="s">
        <v>934</v>
      </c>
      <c r="D122" s="1241" t="s">
        <v>954</v>
      </c>
      <c r="E122" s="1222">
        <v>44909</v>
      </c>
      <c r="F122" s="1071">
        <v>81636</v>
      </c>
      <c r="G122" s="890">
        <v>1</v>
      </c>
      <c r="H122" s="894">
        <v>81636</v>
      </c>
      <c r="I122" s="700">
        <f t="shared" si="21"/>
        <v>0</v>
      </c>
      <c r="J122" s="1252" t="s">
        <v>955</v>
      </c>
      <c r="K122" s="752"/>
      <c r="L122" s="962"/>
      <c r="M122" s="752"/>
      <c r="N122" s="1063"/>
      <c r="O122" s="1223" t="s">
        <v>936</v>
      </c>
      <c r="P122" s="1086"/>
      <c r="Q122" s="1227">
        <v>81636</v>
      </c>
      <c r="R122" s="1152" t="s">
        <v>925</v>
      </c>
      <c r="S122" s="65">
        <f t="shared" si="38"/>
        <v>81636</v>
      </c>
      <c r="T122" s="170">
        <f t="shared" si="39"/>
        <v>1</v>
      </c>
    </row>
    <row r="123" spans="1:20" s="152" customFormat="1" ht="51" customHeight="1" thickBot="1" x14ac:dyDescent="0.3">
      <c r="A123" s="100"/>
      <c r="B123" s="1109" t="s">
        <v>933</v>
      </c>
      <c r="C123" s="1239" t="s">
        <v>934</v>
      </c>
      <c r="D123" s="1242" t="s">
        <v>952</v>
      </c>
      <c r="E123" s="1222">
        <v>44910</v>
      </c>
      <c r="F123" s="1071">
        <v>60595</v>
      </c>
      <c r="G123" s="890">
        <v>1</v>
      </c>
      <c r="H123" s="894">
        <v>60595</v>
      </c>
      <c r="I123" s="700">
        <f t="shared" si="21"/>
        <v>0</v>
      </c>
      <c r="J123" s="1251" t="s">
        <v>953</v>
      </c>
      <c r="K123" s="752"/>
      <c r="L123" s="962"/>
      <c r="M123" s="752"/>
      <c r="N123" s="1063"/>
      <c r="O123" s="1223" t="s">
        <v>935</v>
      </c>
      <c r="P123" s="1086"/>
      <c r="Q123" s="1227">
        <v>60595</v>
      </c>
      <c r="R123" s="1228" t="s">
        <v>925</v>
      </c>
      <c r="S123" s="65">
        <f t="shared" si="38"/>
        <v>60595</v>
      </c>
      <c r="T123" s="170">
        <f t="shared" si="39"/>
        <v>1</v>
      </c>
    </row>
    <row r="124" spans="1:20" s="152" customFormat="1" ht="42.75" customHeight="1" thickTop="1" x14ac:dyDescent="0.25">
      <c r="A124" s="100"/>
      <c r="B124" s="1341" t="s">
        <v>933</v>
      </c>
      <c r="C124" s="1240" t="s">
        <v>937</v>
      </c>
      <c r="D124" s="1271" t="s">
        <v>950</v>
      </c>
      <c r="E124" s="1222">
        <v>44911</v>
      </c>
      <c r="F124" s="1071">
        <v>119.04</v>
      </c>
      <c r="G124" s="890">
        <v>1</v>
      </c>
      <c r="H124" s="894">
        <v>119.04</v>
      </c>
      <c r="I124" s="700">
        <f t="shared" si="21"/>
        <v>0</v>
      </c>
      <c r="J124" s="1273" t="s">
        <v>951</v>
      </c>
      <c r="K124" s="751"/>
      <c r="L124" s="962"/>
      <c r="M124" s="752"/>
      <c r="N124" s="1063"/>
      <c r="O124" s="1343" t="s">
        <v>939</v>
      </c>
      <c r="P124" s="1086"/>
      <c r="Q124" s="1226">
        <v>9523.2000000000007</v>
      </c>
      <c r="R124" s="1286" t="s">
        <v>925</v>
      </c>
      <c r="S124" s="65">
        <f t="shared" si="38"/>
        <v>9523.2000000000007</v>
      </c>
      <c r="T124" s="170">
        <f t="shared" si="39"/>
        <v>80</v>
      </c>
    </row>
    <row r="125" spans="1:20" s="152" customFormat="1" ht="42.75" customHeight="1" thickBot="1" x14ac:dyDescent="0.3">
      <c r="A125" s="100"/>
      <c r="B125" s="1342"/>
      <c r="C125" s="1240" t="s">
        <v>938</v>
      </c>
      <c r="D125" s="1272"/>
      <c r="E125" s="1222">
        <v>44911</v>
      </c>
      <c r="F125" s="1071">
        <v>265.12</v>
      </c>
      <c r="G125" s="890">
        <v>1</v>
      </c>
      <c r="H125" s="894">
        <v>265.12</v>
      </c>
      <c r="I125" s="700">
        <f t="shared" si="21"/>
        <v>0</v>
      </c>
      <c r="J125" s="1274"/>
      <c r="K125" s="751"/>
      <c r="L125" s="962"/>
      <c r="M125" s="752"/>
      <c r="N125" s="1063"/>
      <c r="O125" s="1344"/>
      <c r="P125" s="1086"/>
      <c r="Q125" s="1224">
        <v>29163.200000000001</v>
      </c>
      <c r="R125" s="1287"/>
      <c r="S125" s="65">
        <f t="shared" si="38"/>
        <v>29163.200000000001</v>
      </c>
      <c r="T125" s="170">
        <f t="shared" si="39"/>
        <v>110</v>
      </c>
    </row>
    <row r="126" spans="1:20" s="152" customFormat="1" ht="25.5" customHeight="1" x14ac:dyDescent="0.25">
      <c r="A126" s="100">
        <v>90</v>
      </c>
      <c r="B126" s="1288" t="s">
        <v>80</v>
      </c>
      <c r="C126" s="897" t="s">
        <v>178</v>
      </c>
      <c r="D126" s="1245"/>
      <c r="E126" s="1291">
        <v>44911</v>
      </c>
      <c r="F126" s="1071">
        <v>1008.29</v>
      </c>
      <c r="G126" s="890">
        <v>82</v>
      </c>
      <c r="H126" s="894">
        <v>1008.29</v>
      </c>
      <c r="I126" s="105">
        <f t="shared" ref="I126:I128" si="40">H126-F126</f>
        <v>0</v>
      </c>
      <c r="J126" s="1243"/>
      <c r="K126" s="752"/>
      <c r="L126" s="962"/>
      <c r="M126" s="752"/>
      <c r="N126" s="1063"/>
      <c r="O126" s="1294" t="s">
        <v>513</v>
      </c>
      <c r="P126" s="1088"/>
      <c r="Q126" s="1091">
        <v>99820.71</v>
      </c>
      <c r="R126" s="1297" t="s">
        <v>548</v>
      </c>
      <c r="S126" s="65">
        <f t="shared" si="38"/>
        <v>99820.71</v>
      </c>
      <c r="T126" s="170">
        <f t="shared" si="39"/>
        <v>99.000000000000014</v>
      </c>
    </row>
    <row r="127" spans="1:20" s="152" customFormat="1" ht="25.5" customHeight="1" x14ac:dyDescent="0.25">
      <c r="A127" s="100">
        <v>91</v>
      </c>
      <c r="B127" s="1289"/>
      <c r="C127" s="1122" t="s">
        <v>514</v>
      </c>
      <c r="D127" s="1125"/>
      <c r="E127" s="1292"/>
      <c r="F127" s="1123">
        <v>503.78</v>
      </c>
      <c r="G127" s="675">
        <v>42</v>
      </c>
      <c r="H127" s="896">
        <v>503.78</v>
      </c>
      <c r="I127" s="105">
        <f t="shared" si="40"/>
        <v>0</v>
      </c>
      <c r="J127" s="958"/>
      <c r="K127" s="752"/>
      <c r="L127" s="962"/>
      <c r="M127" s="752"/>
      <c r="N127" s="1063"/>
      <c r="O127" s="1295"/>
      <c r="P127" s="1088"/>
      <c r="Q127" s="1091">
        <v>47859.1</v>
      </c>
      <c r="R127" s="1298"/>
      <c r="S127" s="65">
        <f t="shared" si="38"/>
        <v>47859.1</v>
      </c>
      <c r="T127" s="170">
        <f t="shared" si="39"/>
        <v>95</v>
      </c>
    </row>
    <row r="128" spans="1:20" s="152" customFormat="1" ht="25.5" customHeight="1" thickBot="1" x14ac:dyDescent="0.3">
      <c r="A128" s="100">
        <v>92</v>
      </c>
      <c r="B128" s="1290"/>
      <c r="C128" s="1122" t="s">
        <v>177</v>
      </c>
      <c r="D128" s="1125"/>
      <c r="E128" s="1293"/>
      <c r="F128" s="1123">
        <v>508.54</v>
      </c>
      <c r="G128" s="675">
        <v>43</v>
      </c>
      <c r="H128" s="896">
        <v>508.54</v>
      </c>
      <c r="I128" s="105">
        <f t="shared" si="40"/>
        <v>0</v>
      </c>
      <c r="J128" s="958"/>
      <c r="K128" s="752"/>
      <c r="L128" s="962"/>
      <c r="M128" s="752"/>
      <c r="N128" s="1063"/>
      <c r="O128" s="1296"/>
      <c r="P128" s="1088"/>
      <c r="Q128" s="1091">
        <v>43225.9</v>
      </c>
      <c r="R128" s="1299"/>
      <c r="S128" s="65">
        <f t="shared" si="38"/>
        <v>43225.9</v>
      </c>
      <c r="T128" s="170">
        <f t="shared" si="39"/>
        <v>85</v>
      </c>
    </row>
    <row r="129" spans="1:20" s="152" customFormat="1" ht="42.75" customHeight="1" thickTop="1" x14ac:dyDescent="0.25">
      <c r="A129" s="100">
        <v>84</v>
      </c>
      <c r="B129" s="1337" t="s">
        <v>179</v>
      </c>
      <c r="C129" s="1068" t="s">
        <v>441</v>
      </c>
      <c r="D129" s="1070"/>
      <c r="E129" s="1339">
        <v>44914</v>
      </c>
      <c r="F129" s="1071">
        <v>59.25</v>
      </c>
      <c r="G129" s="890"/>
      <c r="H129" s="894">
        <v>59.25</v>
      </c>
      <c r="I129" s="700">
        <f t="shared" si="21"/>
        <v>0</v>
      </c>
      <c r="J129" s="958"/>
      <c r="K129" s="752"/>
      <c r="L129" s="962"/>
      <c r="M129" s="752"/>
      <c r="N129" s="1063"/>
      <c r="O129" s="1345" t="s">
        <v>465</v>
      </c>
      <c r="P129" s="1086"/>
      <c r="Q129" s="1081">
        <v>8235.75</v>
      </c>
      <c r="R129" s="1275" t="s">
        <v>466</v>
      </c>
      <c r="S129" s="65">
        <f t="shared" si="38"/>
        <v>8235.75</v>
      </c>
      <c r="T129" s="170">
        <f t="shared" si="39"/>
        <v>139</v>
      </c>
    </row>
    <row r="130" spans="1:20" s="152" customFormat="1" ht="35.25" customHeight="1" x14ac:dyDescent="0.25">
      <c r="A130" s="100">
        <v>85</v>
      </c>
      <c r="B130" s="1338"/>
      <c r="C130" s="897" t="s">
        <v>442</v>
      </c>
      <c r="D130" s="1246"/>
      <c r="E130" s="1340"/>
      <c r="F130" s="1071">
        <v>70.45</v>
      </c>
      <c r="G130" s="890"/>
      <c r="H130" s="894">
        <v>70.45</v>
      </c>
      <c r="I130" s="105">
        <f t="shared" si="21"/>
        <v>0</v>
      </c>
      <c r="J130" s="958"/>
      <c r="K130" s="752"/>
      <c r="L130" s="962"/>
      <c r="M130" s="752"/>
      <c r="N130" s="1063"/>
      <c r="O130" s="1319"/>
      <c r="P130" s="1087"/>
      <c r="Q130" s="1091">
        <v>9792.5499999999993</v>
      </c>
      <c r="R130" s="1276"/>
      <c r="S130" s="65">
        <f t="shared" ref="S130:S131" si="41">Q130+M130+K130</f>
        <v>9792.5499999999993</v>
      </c>
      <c r="T130" s="170">
        <f t="shared" ref="T130:T131" si="42">S130/H130</f>
        <v>138.99999999999997</v>
      </c>
    </row>
    <row r="131" spans="1:20" s="152" customFormat="1" ht="38.25" customHeight="1" x14ac:dyDescent="0.25">
      <c r="A131" s="100">
        <v>86</v>
      </c>
      <c r="B131" s="1338"/>
      <c r="C131" s="897" t="s">
        <v>442</v>
      </c>
      <c r="D131" s="1246"/>
      <c r="E131" s="1340"/>
      <c r="F131" s="1071">
        <v>38.5</v>
      </c>
      <c r="G131" s="890"/>
      <c r="H131" s="894">
        <v>38.5</v>
      </c>
      <c r="I131" s="105">
        <f t="shared" si="21"/>
        <v>0</v>
      </c>
      <c r="J131" s="958"/>
      <c r="K131" s="752"/>
      <c r="L131" s="962"/>
      <c r="M131" s="752"/>
      <c r="N131" s="1063"/>
      <c r="O131" s="1319"/>
      <c r="P131" s="1088"/>
      <c r="Q131" s="1091">
        <v>5197.5</v>
      </c>
      <c r="R131" s="1276"/>
      <c r="S131" s="65">
        <f t="shared" si="41"/>
        <v>5197.5</v>
      </c>
      <c r="T131" s="170">
        <f t="shared" si="42"/>
        <v>135</v>
      </c>
    </row>
    <row r="132" spans="1:20" s="152" customFormat="1" ht="38.25" customHeight="1" x14ac:dyDescent="0.25">
      <c r="A132" s="100">
        <v>87</v>
      </c>
      <c r="B132" s="1338"/>
      <c r="C132" s="897" t="s">
        <v>443</v>
      </c>
      <c r="D132" s="1246"/>
      <c r="E132" s="1340"/>
      <c r="F132" s="1071">
        <v>60.9</v>
      </c>
      <c r="G132" s="890"/>
      <c r="H132" s="894">
        <v>60.9</v>
      </c>
      <c r="I132" s="105">
        <f t="shared" si="21"/>
        <v>0</v>
      </c>
      <c r="J132" s="958"/>
      <c r="K132" s="752"/>
      <c r="L132" s="962"/>
      <c r="M132" s="752"/>
      <c r="N132" s="1063"/>
      <c r="O132" s="1319"/>
      <c r="P132" s="1088"/>
      <c r="Q132" s="1091">
        <v>8160.6</v>
      </c>
      <c r="R132" s="1276"/>
      <c r="S132" s="65">
        <f t="shared" ref="S132:S145" si="43">Q132+M132+K132</f>
        <v>8160.6</v>
      </c>
      <c r="T132" s="170">
        <f t="shared" ref="T132:T145" si="44">S132/H132</f>
        <v>134</v>
      </c>
    </row>
    <row r="133" spans="1:20" s="152" customFormat="1" ht="27.75" customHeight="1" x14ac:dyDescent="0.25">
      <c r="A133" s="100">
        <v>88</v>
      </c>
      <c r="B133" s="1338"/>
      <c r="C133" s="897" t="s">
        <v>444</v>
      </c>
      <c r="D133" s="1246"/>
      <c r="E133" s="1340"/>
      <c r="F133" s="1071">
        <v>105.55</v>
      </c>
      <c r="G133" s="890"/>
      <c r="H133" s="894">
        <v>105.55</v>
      </c>
      <c r="I133" s="105">
        <f t="shared" si="21"/>
        <v>0</v>
      </c>
      <c r="J133" s="958"/>
      <c r="K133" s="752"/>
      <c r="L133" s="962"/>
      <c r="M133" s="752"/>
      <c r="N133" s="1063"/>
      <c r="O133" s="1319"/>
      <c r="P133" s="1088"/>
      <c r="Q133" s="1091">
        <v>13615.95</v>
      </c>
      <c r="R133" s="1276"/>
      <c r="S133" s="65">
        <f t="shared" si="43"/>
        <v>13615.95</v>
      </c>
      <c r="T133" s="170">
        <f t="shared" si="44"/>
        <v>129</v>
      </c>
    </row>
    <row r="134" spans="1:20" s="152" customFormat="1" ht="31.5" customHeight="1" thickBot="1" x14ac:dyDescent="0.3">
      <c r="A134" s="100">
        <v>89</v>
      </c>
      <c r="B134" s="1338"/>
      <c r="C134" s="897" t="s">
        <v>445</v>
      </c>
      <c r="D134" s="1246"/>
      <c r="E134" s="1340"/>
      <c r="F134" s="1071">
        <v>120</v>
      </c>
      <c r="G134" s="890"/>
      <c r="H134" s="894">
        <v>120</v>
      </c>
      <c r="I134" s="105">
        <f t="shared" si="21"/>
        <v>0</v>
      </c>
      <c r="J134" s="958"/>
      <c r="K134" s="752"/>
      <c r="L134" s="962"/>
      <c r="M134" s="752"/>
      <c r="N134" s="1063"/>
      <c r="O134" s="1320"/>
      <c r="P134" s="1088"/>
      <c r="Q134" s="1091">
        <v>9480</v>
      </c>
      <c r="R134" s="1276"/>
      <c r="S134" s="65">
        <f t="shared" si="43"/>
        <v>9480</v>
      </c>
      <c r="T134" s="170">
        <f t="shared" si="44"/>
        <v>79</v>
      </c>
    </row>
    <row r="135" spans="1:20" s="152" customFormat="1" ht="44.25" thickTop="1" x14ac:dyDescent="0.25">
      <c r="A135" s="100">
        <v>90</v>
      </c>
      <c r="B135" s="1230" t="s">
        <v>933</v>
      </c>
      <c r="C135" s="897" t="s">
        <v>937</v>
      </c>
      <c r="D135" s="1070" t="s">
        <v>946</v>
      </c>
      <c r="E135" s="1231">
        <v>44914</v>
      </c>
      <c r="F135" s="1071">
        <v>216.9</v>
      </c>
      <c r="G135" s="890"/>
      <c r="H135" s="894">
        <v>216.9</v>
      </c>
      <c r="I135" s="105">
        <f t="shared" si="21"/>
        <v>0</v>
      </c>
      <c r="J135" s="1252" t="s">
        <v>947</v>
      </c>
      <c r="K135" s="752"/>
      <c r="L135" s="962"/>
      <c r="M135" s="752"/>
      <c r="N135" s="1063"/>
      <c r="O135" s="1090" t="s">
        <v>940</v>
      </c>
      <c r="P135" s="1088"/>
      <c r="Q135" s="1232">
        <v>17352</v>
      </c>
      <c r="R135" s="1152" t="s">
        <v>941</v>
      </c>
      <c r="S135" s="65">
        <f t="shared" si="43"/>
        <v>17352</v>
      </c>
      <c r="T135" s="170">
        <f t="shared" si="44"/>
        <v>80</v>
      </c>
    </row>
    <row r="136" spans="1:20" s="152" customFormat="1" ht="25.5" customHeight="1" x14ac:dyDescent="0.25">
      <c r="A136" s="100">
        <v>91</v>
      </c>
      <c r="B136" s="1230" t="s">
        <v>942</v>
      </c>
      <c r="C136" s="1122"/>
      <c r="D136" s="1125"/>
      <c r="E136" s="1231"/>
      <c r="F136" s="1123"/>
      <c r="G136" s="675"/>
      <c r="H136" s="896"/>
      <c r="I136" s="105">
        <f t="shared" si="21"/>
        <v>0</v>
      </c>
      <c r="J136" s="958"/>
      <c r="K136" s="752"/>
      <c r="L136" s="962"/>
      <c r="M136" s="752"/>
      <c r="N136" s="1063"/>
      <c r="O136" s="1229"/>
      <c r="P136" s="1088"/>
      <c r="Q136" s="1091"/>
      <c r="R136" s="753"/>
      <c r="S136" s="65">
        <f t="shared" si="43"/>
        <v>0</v>
      </c>
      <c r="T136" s="170" t="e">
        <f t="shared" si="44"/>
        <v>#DIV/0!</v>
      </c>
    </row>
    <row r="137" spans="1:20" s="152" customFormat="1" ht="25.5" customHeight="1" x14ac:dyDescent="0.25">
      <c r="A137" s="100">
        <v>92</v>
      </c>
      <c r="B137" s="1230" t="s">
        <v>942</v>
      </c>
      <c r="C137" s="1122"/>
      <c r="D137" s="1125"/>
      <c r="E137" s="1231"/>
      <c r="F137" s="1123"/>
      <c r="G137" s="675"/>
      <c r="H137" s="896"/>
      <c r="I137" s="105">
        <f t="shared" si="21"/>
        <v>0</v>
      </c>
      <c r="J137" s="958"/>
      <c r="K137" s="752"/>
      <c r="L137" s="962"/>
      <c r="M137" s="752"/>
      <c r="N137" s="1063"/>
      <c r="O137" s="1229"/>
      <c r="P137" s="1088"/>
      <c r="Q137" s="1091"/>
      <c r="R137" s="753"/>
      <c r="S137" s="65">
        <f t="shared" si="43"/>
        <v>0</v>
      </c>
      <c r="T137" s="170" t="e">
        <f t="shared" si="44"/>
        <v>#DIV/0!</v>
      </c>
    </row>
    <row r="138" spans="1:20" s="152" customFormat="1" ht="38.25" customHeight="1" x14ac:dyDescent="0.25">
      <c r="A138" s="100">
        <v>93</v>
      </c>
      <c r="B138" s="1315" t="s">
        <v>370</v>
      </c>
      <c r="C138" s="1122" t="s">
        <v>43</v>
      </c>
      <c r="D138" s="1247"/>
      <c r="E138" s="1317">
        <v>44914</v>
      </c>
      <c r="F138" s="1123">
        <v>1003.34</v>
      </c>
      <c r="G138" s="675">
        <v>22</v>
      </c>
      <c r="H138" s="893">
        <v>1003.34</v>
      </c>
      <c r="I138" s="105">
        <f t="shared" si="21"/>
        <v>0</v>
      </c>
      <c r="J138" s="958"/>
      <c r="K138" s="752"/>
      <c r="L138" s="962"/>
      <c r="M138" s="752"/>
      <c r="N138" s="1063"/>
      <c r="O138" s="1319" t="s">
        <v>515</v>
      </c>
      <c r="P138" s="1088"/>
      <c r="Q138" s="1150"/>
      <c r="R138" s="1151"/>
      <c r="S138" s="65">
        <f t="shared" si="43"/>
        <v>0</v>
      </c>
      <c r="T138" s="170">
        <f t="shared" si="44"/>
        <v>0</v>
      </c>
    </row>
    <row r="139" spans="1:20" s="152" customFormat="1" ht="38.25" customHeight="1" thickBot="1" x14ac:dyDescent="0.3">
      <c r="A139" s="100">
        <v>94</v>
      </c>
      <c r="B139" s="1316"/>
      <c r="C139" s="1122" t="s">
        <v>427</v>
      </c>
      <c r="D139" s="1125"/>
      <c r="E139" s="1318"/>
      <c r="F139" s="1123">
        <v>150</v>
      </c>
      <c r="G139" s="675">
        <v>15</v>
      </c>
      <c r="H139" s="893">
        <v>150</v>
      </c>
      <c r="I139" s="105">
        <f t="shared" si="21"/>
        <v>0</v>
      </c>
      <c r="J139" s="958"/>
      <c r="K139" s="752"/>
      <c r="L139" s="962"/>
      <c r="M139" s="752"/>
      <c r="N139" s="1063"/>
      <c r="O139" s="1320"/>
      <c r="P139" s="1088"/>
      <c r="Q139" s="1150"/>
      <c r="R139" s="1152"/>
      <c r="S139" s="65">
        <f t="shared" si="43"/>
        <v>0</v>
      </c>
      <c r="T139" s="170">
        <f t="shared" si="44"/>
        <v>0</v>
      </c>
    </row>
    <row r="140" spans="1:20" s="152" customFormat="1" ht="33" customHeight="1" thickTop="1" x14ac:dyDescent="0.25">
      <c r="A140" s="100">
        <v>95</v>
      </c>
      <c r="B140" s="1124" t="s">
        <v>516</v>
      </c>
      <c r="C140" s="793" t="s">
        <v>517</v>
      </c>
      <c r="D140" s="675"/>
      <c r="E140" s="803">
        <v>44915</v>
      </c>
      <c r="F140" s="893">
        <v>1063.33</v>
      </c>
      <c r="G140" s="675">
        <v>52</v>
      </c>
      <c r="H140" s="893">
        <v>1085.3399999999999</v>
      </c>
      <c r="I140" s="105">
        <f t="shared" si="21"/>
        <v>22.009999999999991</v>
      </c>
      <c r="J140" s="958"/>
      <c r="K140" s="752"/>
      <c r="L140" s="962"/>
      <c r="M140" s="752"/>
      <c r="N140" s="966"/>
      <c r="O140" s="1085">
        <v>1666</v>
      </c>
      <c r="P140" s="1143" t="s">
        <v>456</v>
      </c>
      <c r="Q140" s="520">
        <v>150992.85999999999</v>
      </c>
      <c r="R140" s="753" t="s">
        <v>542</v>
      </c>
      <c r="S140" s="65">
        <f t="shared" si="43"/>
        <v>150992.85999999999</v>
      </c>
      <c r="T140" s="170">
        <f t="shared" si="44"/>
        <v>139.12033095619805</v>
      </c>
    </row>
    <row r="141" spans="1:20" s="152" customFormat="1" ht="29.25" thickBot="1" x14ac:dyDescent="0.3">
      <c r="A141" s="100">
        <v>96</v>
      </c>
      <c r="B141" s="1127" t="s">
        <v>80</v>
      </c>
      <c r="C141" s="793" t="s">
        <v>81</v>
      </c>
      <c r="D141" s="688"/>
      <c r="E141" s="674">
        <v>44916</v>
      </c>
      <c r="F141" s="893">
        <v>511.68</v>
      </c>
      <c r="G141" s="675">
        <v>29</v>
      </c>
      <c r="H141" s="893">
        <v>511.68</v>
      </c>
      <c r="I141" s="105">
        <f t="shared" si="21"/>
        <v>0</v>
      </c>
      <c r="J141" s="440"/>
      <c r="K141" s="381"/>
      <c r="L141" s="646"/>
      <c r="M141" s="381"/>
      <c r="N141" s="969"/>
      <c r="O141" s="1131" t="s">
        <v>518</v>
      </c>
      <c r="P141" s="755"/>
      <c r="Q141" s="520">
        <v>18420.48</v>
      </c>
      <c r="R141" s="753" t="s">
        <v>549</v>
      </c>
      <c r="S141" s="65">
        <f t="shared" si="43"/>
        <v>18420.48</v>
      </c>
      <c r="T141" s="170">
        <f t="shared" si="44"/>
        <v>36</v>
      </c>
    </row>
    <row r="142" spans="1:20" s="152" customFormat="1" ht="35.25" customHeight="1" x14ac:dyDescent="0.25">
      <c r="A142" s="100">
        <v>97</v>
      </c>
      <c r="B142" s="1349" t="s">
        <v>97</v>
      </c>
      <c r="C142" s="1122" t="s">
        <v>519</v>
      </c>
      <c r="D142" s="675"/>
      <c r="E142" s="749">
        <v>44916</v>
      </c>
      <c r="F142" s="893">
        <v>524.9</v>
      </c>
      <c r="G142" s="675">
        <v>17</v>
      </c>
      <c r="H142" s="893">
        <v>524.9</v>
      </c>
      <c r="I142" s="105">
        <f t="shared" ref="I142:I146" si="45">H142-F142</f>
        <v>0</v>
      </c>
      <c r="J142" s="440"/>
      <c r="K142" s="381"/>
      <c r="L142" s="646"/>
      <c r="M142" s="381"/>
      <c r="N142" s="1130"/>
      <c r="O142" s="1351" t="s">
        <v>543</v>
      </c>
      <c r="P142" s="1263" t="s">
        <v>456</v>
      </c>
      <c r="Q142" s="520">
        <v>44616.5</v>
      </c>
      <c r="R142" s="1267" t="s">
        <v>544</v>
      </c>
      <c r="S142" s="65">
        <f t="shared" si="43"/>
        <v>44616.5</v>
      </c>
      <c r="T142" s="170">
        <f t="shared" si="44"/>
        <v>85</v>
      </c>
    </row>
    <row r="143" spans="1:20" s="152" customFormat="1" ht="30" customHeight="1" thickBot="1" x14ac:dyDescent="0.35">
      <c r="A143" s="100">
        <v>98</v>
      </c>
      <c r="B143" s="1350"/>
      <c r="C143" s="1126" t="s">
        <v>520</v>
      </c>
      <c r="D143" s="1248"/>
      <c r="E143" s="749">
        <v>44916</v>
      </c>
      <c r="F143" s="1129">
        <v>255.24</v>
      </c>
      <c r="G143" s="274">
        <v>10</v>
      </c>
      <c r="H143" s="895">
        <v>255.24</v>
      </c>
      <c r="I143" s="466">
        <f t="shared" si="45"/>
        <v>0</v>
      </c>
      <c r="J143" s="502"/>
      <c r="K143" s="381"/>
      <c r="L143" s="646"/>
      <c r="M143" s="381"/>
      <c r="N143" s="913"/>
      <c r="O143" s="1352"/>
      <c r="P143" s="1264"/>
      <c r="Q143" s="523">
        <v>20674.439999999999</v>
      </c>
      <c r="R143" s="1268"/>
      <c r="S143" s="65">
        <f t="shared" si="43"/>
        <v>20674.439999999999</v>
      </c>
      <c r="T143" s="170">
        <f t="shared" si="44"/>
        <v>80.999999999999986</v>
      </c>
    </row>
    <row r="144" spans="1:20" s="152" customFormat="1" ht="33" customHeight="1" x14ac:dyDescent="0.3">
      <c r="A144" s="100">
        <v>99</v>
      </c>
      <c r="B144" s="1128" t="s">
        <v>176</v>
      </c>
      <c r="C144" s="793" t="s">
        <v>101</v>
      </c>
      <c r="D144" s="572"/>
      <c r="E144" s="749">
        <v>44917</v>
      </c>
      <c r="F144" s="895">
        <v>3945.8</v>
      </c>
      <c r="G144" s="572">
        <v>4</v>
      </c>
      <c r="H144" s="895">
        <v>3945.8</v>
      </c>
      <c r="I144" s="339">
        <f t="shared" si="45"/>
        <v>0</v>
      </c>
      <c r="J144" s="441"/>
      <c r="K144" s="381"/>
      <c r="L144" s="646"/>
      <c r="M144" s="381"/>
      <c r="N144" s="969"/>
      <c r="O144" s="1132" t="s">
        <v>521</v>
      </c>
      <c r="P144" s="756"/>
      <c r="Q144" s="520">
        <v>97855.84</v>
      </c>
      <c r="R144" s="758" t="s">
        <v>550</v>
      </c>
      <c r="S144" s="65">
        <f t="shared" si="43"/>
        <v>97855.84</v>
      </c>
      <c r="T144" s="170">
        <f t="shared" si="44"/>
        <v>24.799999999999997</v>
      </c>
    </row>
    <row r="145" spans="1:20" s="152" customFormat="1" ht="42.75" x14ac:dyDescent="0.25">
      <c r="A145" s="100"/>
      <c r="B145" s="1233" t="s">
        <v>933</v>
      </c>
      <c r="C145" s="793" t="s">
        <v>934</v>
      </c>
      <c r="D145" s="1238" t="s">
        <v>948</v>
      </c>
      <c r="E145" s="1134">
        <v>44916</v>
      </c>
      <c r="F145" s="895">
        <v>121241</v>
      </c>
      <c r="G145" s="572">
        <v>1</v>
      </c>
      <c r="H145" s="895">
        <v>121241</v>
      </c>
      <c r="I145" s="339">
        <f t="shared" si="45"/>
        <v>0</v>
      </c>
      <c r="J145" s="610" t="s">
        <v>949</v>
      </c>
      <c r="K145" s="381"/>
      <c r="L145" s="646"/>
      <c r="M145" s="381"/>
      <c r="N145" s="969"/>
      <c r="O145" s="1234" t="s">
        <v>943</v>
      </c>
      <c r="P145" s="756"/>
      <c r="Q145" s="1150">
        <v>121241</v>
      </c>
      <c r="R145" s="1153" t="s">
        <v>925</v>
      </c>
      <c r="S145" s="65">
        <f t="shared" si="43"/>
        <v>121241</v>
      </c>
      <c r="T145" s="170">
        <f t="shared" si="44"/>
        <v>1</v>
      </c>
    </row>
    <row r="146" spans="1:20" s="152" customFormat="1" ht="33" customHeight="1" thickBot="1" x14ac:dyDescent="0.35">
      <c r="A146" s="100">
        <v>100</v>
      </c>
      <c r="B146" s="1127" t="s">
        <v>525</v>
      </c>
      <c r="C146" s="792" t="s">
        <v>526</v>
      </c>
      <c r="D146" s="623"/>
      <c r="E146" s="1134">
        <v>44919</v>
      </c>
      <c r="F146" s="895">
        <v>5020</v>
      </c>
      <c r="G146" s="572">
        <v>220</v>
      </c>
      <c r="H146" s="895">
        <v>5020</v>
      </c>
      <c r="I146" s="339">
        <f t="shared" si="45"/>
        <v>0</v>
      </c>
      <c r="J146" s="441"/>
      <c r="K146" s="381"/>
      <c r="L146" s="646"/>
      <c r="M146" s="381"/>
      <c r="N146" s="969"/>
      <c r="O146" s="1136">
        <v>383278</v>
      </c>
      <c r="P146" s="1221" t="s">
        <v>456</v>
      </c>
      <c r="Q146" s="1150">
        <v>157628</v>
      </c>
      <c r="R146" s="1153" t="s">
        <v>925</v>
      </c>
      <c r="S146" s="65">
        <f t="shared" ref="S146:S187" si="46">Q146+M146+K146</f>
        <v>157628</v>
      </c>
      <c r="T146" s="170">
        <f t="shared" ref="T146:T187" si="47">S146/H146</f>
        <v>31.4</v>
      </c>
    </row>
    <row r="147" spans="1:20" s="152" customFormat="1" ht="34.5" customHeight="1" x14ac:dyDescent="0.25">
      <c r="A147" s="100">
        <v>101</v>
      </c>
      <c r="B147" s="1353" t="s">
        <v>97</v>
      </c>
      <c r="C147" s="1122" t="s">
        <v>434</v>
      </c>
      <c r="D147" s="1249"/>
      <c r="E147" s="1356">
        <v>44919</v>
      </c>
      <c r="F147" s="1133">
        <v>3952.07</v>
      </c>
      <c r="G147" s="572">
        <v>130</v>
      </c>
      <c r="H147" s="895">
        <v>3952.07</v>
      </c>
      <c r="I147" s="105">
        <f t="shared" ref="I147:I202" si="48">H147-F147</f>
        <v>0</v>
      </c>
      <c r="J147" s="440"/>
      <c r="K147" s="381"/>
      <c r="L147" s="646"/>
      <c r="M147" s="381"/>
      <c r="N147" s="1130"/>
      <c r="O147" s="1359" t="s">
        <v>923</v>
      </c>
      <c r="P147" s="1278" t="s">
        <v>456</v>
      </c>
      <c r="Q147" s="1150">
        <v>497960.82</v>
      </c>
      <c r="R147" s="1265" t="s">
        <v>924</v>
      </c>
      <c r="S147" s="65">
        <f t="shared" si="46"/>
        <v>497960.82</v>
      </c>
      <c r="T147" s="170">
        <f t="shared" si="47"/>
        <v>126</v>
      </c>
    </row>
    <row r="148" spans="1:20" s="152" customFormat="1" ht="29.25" customHeight="1" x14ac:dyDescent="0.25">
      <c r="A148" s="100">
        <v>102</v>
      </c>
      <c r="B148" s="1354"/>
      <c r="C148" s="1122" t="s">
        <v>519</v>
      </c>
      <c r="D148" s="1250"/>
      <c r="E148" s="1357"/>
      <c r="F148" s="1133">
        <v>495.17</v>
      </c>
      <c r="G148" s="572">
        <v>17</v>
      </c>
      <c r="H148" s="895">
        <v>495.17</v>
      </c>
      <c r="I148" s="105">
        <f t="shared" si="48"/>
        <v>0</v>
      </c>
      <c r="J148" s="440"/>
      <c r="K148" s="381"/>
      <c r="L148" s="646"/>
      <c r="M148" s="381"/>
      <c r="N148" s="1130"/>
      <c r="O148" s="1360"/>
      <c r="P148" s="1279"/>
      <c r="Q148" s="1150">
        <v>42089.45</v>
      </c>
      <c r="R148" s="1266"/>
      <c r="S148" s="65">
        <f t="shared" si="46"/>
        <v>42089.45</v>
      </c>
      <c r="T148" s="170">
        <f t="shared" si="47"/>
        <v>84.999999999999986</v>
      </c>
    </row>
    <row r="149" spans="1:20" s="152" customFormat="1" ht="29.25" customHeight="1" thickBot="1" x14ac:dyDescent="0.3">
      <c r="A149" s="100">
        <v>103</v>
      </c>
      <c r="B149" s="1355"/>
      <c r="C149" s="1122" t="s">
        <v>527</v>
      </c>
      <c r="D149" s="1250"/>
      <c r="E149" s="1358"/>
      <c r="F149" s="1133">
        <v>495.07</v>
      </c>
      <c r="G149" s="572">
        <v>20</v>
      </c>
      <c r="H149" s="895">
        <v>495.07</v>
      </c>
      <c r="I149" s="105">
        <f t="shared" si="48"/>
        <v>0</v>
      </c>
      <c r="J149" s="440"/>
      <c r="K149" s="381"/>
      <c r="L149" s="646"/>
      <c r="M149" s="381"/>
      <c r="N149" s="1130"/>
      <c r="O149" s="1361"/>
      <c r="P149" s="1280"/>
      <c r="Q149" s="1150">
        <v>40100.67</v>
      </c>
      <c r="R149" s="1277"/>
      <c r="S149" s="65">
        <f t="shared" si="46"/>
        <v>40100.67</v>
      </c>
      <c r="T149" s="170">
        <f t="shared" si="47"/>
        <v>81</v>
      </c>
    </row>
    <row r="150" spans="1:20" s="152" customFormat="1" ht="31.5" customHeight="1" thickBot="1" x14ac:dyDescent="0.3">
      <c r="A150" s="100">
        <v>104</v>
      </c>
      <c r="B150" s="1138" t="s">
        <v>176</v>
      </c>
      <c r="C150" s="793" t="s">
        <v>101</v>
      </c>
      <c r="D150" s="1238"/>
      <c r="E150" s="1135">
        <v>44921</v>
      </c>
      <c r="F150" s="895">
        <v>3696.3</v>
      </c>
      <c r="G150" s="572">
        <v>4</v>
      </c>
      <c r="H150" s="895">
        <v>3696.3</v>
      </c>
      <c r="I150" s="105">
        <f t="shared" si="48"/>
        <v>0</v>
      </c>
      <c r="J150" s="440"/>
      <c r="K150" s="381"/>
      <c r="L150" s="646"/>
      <c r="M150" s="381"/>
      <c r="N150" s="969"/>
      <c r="O150" s="1137" t="s">
        <v>528</v>
      </c>
      <c r="P150" s="755"/>
      <c r="Q150" s="1150">
        <v>91668.24</v>
      </c>
      <c r="R150" s="1153" t="s">
        <v>925</v>
      </c>
      <c r="S150" s="65">
        <f t="shared" si="46"/>
        <v>91668.24</v>
      </c>
      <c r="T150" s="170">
        <f t="shared" si="47"/>
        <v>24.8</v>
      </c>
    </row>
    <row r="151" spans="1:20" s="152" customFormat="1" ht="29.25" customHeight="1" thickTop="1" x14ac:dyDescent="0.25">
      <c r="A151" s="100">
        <v>105</v>
      </c>
      <c r="B151" s="1365" t="s">
        <v>421</v>
      </c>
      <c r="C151" s="1122" t="s">
        <v>529</v>
      </c>
      <c r="D151" s="1238"/>
      <c r="E151" s="1369">
        <v>44921</v>
      </c>
      <c r="F151" s="895">
        <v>1531.83</v>
      </c>
      <c r="G151" s="572">
        <v>59</v>
      </c>
      <c r="H151" s="895">
        <v>1531.83</v>
      </c>
      <c r="I151" s="105">
        <f t="shared" si="48"/>
        <v>0</v>
      </c>
      <c r="J151" s="440"/>
      <c r="K151" s="381"/>
      <c r="L151" s="646"/>
      <c r="M151" s="381"/>
      <c r="N151" s="1130"/>
      <c r="O151" s="1366">
        <v>19516</v>
      </c>
      <c r="P151" s="1283" t="s">
        <v>456</v>
      </c>
      <c r="Q151" s="1150">
        <v>125610.06</v>
      </c>
      <c r="R151" s="1265" t="s">
        <v>928</v>
      </c>
      <c r="S151" s="65">
        <f t="shared" si="46"/>
        <v>125610.06</v>
      </c>
      <c r="T151" s="170">
        <f t="shared" si="47"/>
        <v>82</v>
      </c>
    </row>
    <row r="152" spans="1:20" s="152" customFormat="1" ht="37.5" customHeight="1" x14ac:dyDescent="0.25">
      <c r="A152" s="100">
        <v>106</v>
      </c>
      <c r="B152" s="1315"/>
      <c r="C152" s="1122" t="s">
        <v>102</v>
      </c>
      <c r="D152" s="1238"/>
      <c r="E152" s="1370"/>
      <c r="F152" s="895">
        <v>1291.1099999999999</v>
      </c>
      <c r="G152" s="572">
        <v>44</v>
      </c>
      <c r="H152" s="895">
        <v>1291.1099999999999</v>
      </c>
      <c r="I152" s="105">
        <f t="shared" si="48"/>
        <v>0</v>
      </c>
      <c r="J152" s="440"/>
      <c r="K152" s="381"/>
      <c r="L152" s="646"/>
      <c r="M152" s="381"/>
      <c r="N152" s="1130"/>
      <c r="O152" s="1367"/>
      <c r="P152" s="1284"/>
      <c r="Q152" s="1150">
        <v>51644.4</v>
      </c>
      <c r="R152" s="1266"/>
      <c r="S152" s="65">
        <f t="shared" si="46"/>
        <v>51644.4</v>
      </c>
      <c r="T152" s="170">
        <f t="shared" si="47"/>
        <v>40.000000000000007</v>
      </c>
    </row>
    <row r="153" spans="1:20" s="152" customFormat="1" ht="34.5" customHeight="1" thickBot="1" x14ac:dyDescent="0.3">
      <c r="A153" s="100">
        <v>107</v>
      </c>
      <c r="B153" s="1316"/>
      <c r="C153" s="1122" t="s">
        <v>507</v>
      </c>
      <c r="D153" s="572"/>
      <c r="E153" s="1371"/>
      <c r="F153" s="895">
        <v>577.23</v>
      </c>
      <c r="G153" s="572">
        <v>19</v>
      </c>
      <c r="H153" s="895">
        <v>577.23</v>
      </c>
      <c r="I153" s="105">
        <f t="shared" si="48"/>
        <v>0</v>
      </c>
      <c r="J153" s="440"/>
      <c r="K153" s="381"/>
      <c r="L153" s="646"/>
      <c r="M153" s="381"/>
      <c r="N153" s="1130"/>
      <c r="O153" s="1368"/>
      <c r="P153" s="1285"/>
      <c r="Q153" s="1150">
        <v>30015.96</v>
      </c>
      <c r="R153" s="1277"/>
      <c r="S153" s="65">
        <f t="shared" si="46"/>
        <v>30015.96</v>
      </c>
      <c r="T153" s="170">
        <f t="shared" si="47"/>
        <v>52</v>
      </c>
    </row>
    <row r="154" spans="1:20" s="152" customFormat="1" ht="30.75" customHeight="1" thickTop="1" x14ac:dyDescent="0.3">
      <c r="A154" s="100">
        <v>108</v>
      </c>
      <c r="B154" s="1147" t="s">
        <v>530</v>
      </c>
      <c r="C154" s="1148" t="s">
        <v>531</v>
      </c>
      <c r="D154" s="1238"/>
      <c r="E154" s="557">
        <v>44921</v>
      </c>
      <c r="F154" s="895">
        <v>18568</v>
      </c>
      <c r="G154" s="572">
        <v>620</v>
      </c>
      <c r="H154" s="895">
        <v>18568</v>
      </c>
      <c r="I154" s="105">
        <f t="shared" si="48"/>
        <v>0</v>
      </c>
      <c r="J154" s="1149" t="s">
        <v>564</v>
      </c>
      <c r="K154" s="381">
        <v>11151</v>
      </c>
      <c r="L154" s="646" t="s">
        <v>555</v>
      </c>
      <c r="M154" s="381">
        <v>27840</v>
      </c>
      <c r="N154" s="969" t="s">
        <v>558</v>
      </c>
      <c r="O154" s="1137">
        <v>2119827</v>
      </c>
      <c r="P154" s="755"/>
      <c r="Q154" s="520">
        <f>43391.95*19.84</f>
        <v>860896.28799999994</v>
      </c>
      <c r="R154" s="758" t="s">
        <v>490</v>
      </c>
      <c r="S154" s="65">
        <f t="shared" si="46"/>
        <v>899887.28799999994</v>
      </c>
      <c r="T154" s="170">
        <f t="shared" si="47"/>
        <v>48.464416630762599</v>
      </c>
    </row>
    <row r="155" spans="1:20" s="152" customFormat="1" ht="43.5" thickBot="1" x14ac:dyDescent="0.35">
      <c r="A155" s="100"/>
      <c r="B155" s="1236" t="s">
        <v>933</v>
      </c>
      <c r="C155" s="1237" t="s">
        <v>934</v>
      </c>
      <c r="D155" s="1238" t="s">
        <v>944</v>
      </c>
      <c r="E155" s="1140">
        <v>44922</v>
      </c>
      <c r="F155" s="895">
        <v>63625</v>
      </c>
      <c r="G155" s="572">
        <v>1</v>
      </c>
      <c r="H155" s="895">
        <v>63625</v>
      </c>
      <c r="I155" s="105">
        <f t="shared" si="48"/>
        <v>0</v>
      </c>
      <c r="J155" s="1149" t="s">
        <v>945</v>
      </c>
      <c r="K155" s="381"/>
      <c r="L155" s="646"/>
      <c r="M155" s="381"/>
      <c r="N155" s="1130"/>
      <c r="O155" s="1253" t="s">
        <v>956</v>
      </c>
      <c r="P155" s="1235"/>
      <c r="Q155" s="1150">
        <v>63625</v>
      </c>
      <c r="R155" s="1254" t="s">
        <v>925</v>
      </c>
      <c r="S155" s="65">
        <f t="shared" ref="S155:S161" si="49">Q155+M155+K155</f>
        <v>63625</v>
      </c>
      <c r="T155" s="170">
        <f t="shared" ref="T155:T161" si="50">S155/H155</f>
        <v>1</v>
      </c>
    </row>
    <row r="156" spans="1:20" s="152" customFormat="1" ht="30.75" customHeight="1" thickTop="1" x14ac:dyDescent="0.25">
      <c r="A156" s="100">
        <v>109</v>
      </c>
      <c r="B156" s="1365" t="s">
        <v>97</v>
      </c>
      <c r="C156" s="1122" t="s">
        <v>519</v>
      </c>
      <c r="D156" s="1238"/>
      <c r="E156" s="1140">
        <v>44924</v>
      </c>
      <c r="F156" s="895">
        <v>1028.68</v>
      </c>
      <c r="G156" s="572">
        <v>35</v>
      </c>
      <c r="H156" s="895">
        <v>1028.68</v>
      </c>
      <c r="I156" s="105">
        <f t="shared" si="48"/>
        <v>0</v>
      </c>
      <c r="J156" s="440"/>
      <c r="K156" s="381"/>
      <c r="L156" s="646"/>
      <c r="M156" s="381"/>
      <c r="N156" s="1130"/>
      <c r="O156" s="1281" t="s">
        <v>926</v>
      </c>
      <c r="P156" s="1263" t="s">
        <v>456</v>
      </c>
      <c r="Q156" s="1150">
        <v>87437.8</v>
      </c>
      <c r="R156" s="1265" t="s">
        <v>927</v>
      </c>
      <c r="S156" s="65">
        <f t="shared" si="49"/>
        <v>87437.8</v>
      </c>
      <c r="T156" s="170">
        <f t="shared" si="50"/>
        <v>85</v>
      </c>
    </row>
    <row r="157" spans="1:20" s="152" customFormat="1" ht="30.75" customHeight="1" thickBot="1" x14ac:dyDescent="0.3">
      <c r="A157" s="100">
        <v>110</v>
      </c>
      <c r="B157" s="1374"/>
      <c r="C157" s="1122" t="s">
        <v>536</v>
      </c>
      <c r="D157" s="1238"/>
      <c r="E157" s="1140">
        <v>44924</v>
      </c>
      <c r="F157" s="895">
        <v>978.48</v>
      </c>
      <c r="G157" s="572">
        <v>35</v>
      </c>
      <c r="H157" s="895">
        <v>978.48</v>
      </c>
      <c r="I157" s="105">
        <f t="shared" si="48"/>
        <v>0</v>
      </c>
      <c r="J157" s="440"/>
      <c r="K157" s="381"/>
      <c r="L157" s="646"/>
      <c r="M157" s="381"/>
      <c r="N157" s="1130"/>
      <c r="O157" s="1282"/>
      <c r="P157" s="1264"/>
      <c r="Q157" s="1150">
        <v>79256.88</v>
      </c>
      <c r="R157" s="1277"/>
      <c r="S157" s="65">
        <f t="shared" si="49"/>
        <v>79256.88</v>
      </c>
      <c r="T157" s="170">
        <f t="shared" si="50"/>
        <v>81</v>
      </c>
    </row>
    <row r="158" spans="1:20" s="152" customFormat="1" ht="24" customHeight="1" x14ac:dyDescent="0.25">
      <c r="A158" s="100">
        <v>111</v>
      </c>
      <c r="B158" s="1372" t="s">
        <v>370</v>
      </c>
      <c r="C158" s="1122" t="s">
        <v>43</v>
      </c>
      <c r="D158" s="1238"/>
      <c r="E158" s="1369">
        <v>44925</v>
      </c>
      <c r="F158" s="895">
        <v>1502.74</v>
      </c>
      <c r="G158" s="572">
        <v>331</v>
      </c>
      <c r="H158" s="895">
        <v>1502.74</v>
      </c>
      <c r="I158" s="105">
        <f t="shared" si="48"/>
        <v>0</v>
      </c>
      <c r="J158" s="442"/>
      <c r="K158" s="381"/>
      <c r="L158" s="646"/>
      <c r="M158" s="381"/>
      <c r="N158" s="1139"/>
      <c r="O158" s="1359" t="s">
        <v>535</v>
      </c>
      <c r="P158" s="1088"/>
      <c r="Q158" s="520">
        <v>66120.56</v>
      </c>
      <c r="R158" s="1267" t="s">
        <v>544</v>
      </c>
      <c r="S158" s="65">
        <f t="shared" si="49"/>
        <v>66120.56</v>
      </c>
      <c r="T158" s="170">
        <f t="shared" si="50"/>
        <v>44</v>
      </c>
    </row>
    <row r="159" spans="1:20" s="152" customFormat="1" ht="23.25" thickBot="1" x14ac:dyDescent="0.35">
      <c r="A159" s="100">
        <v>112</v>
      </c>
      <c r="B159" s="1373"/>
      <c r="C159" s="1122" t="s">
        <v>371</v>
      </c>
      <c r="D159" s="572"/>
      <c r="E159" s="1371"/>
      <c r="F159" s="895">
        <v>100</v>
      </c>
      <c r="G159" s="572">
        <v>10</v>
      </c>
      <c r="H159" s="895">
        <v>100</v>
      </c>
      <c r="I159" s="105">
        <f t="shared" si="48"/>
        <v>0</v>
      </c>
      <c r="J159" s="573"/>
      <c r="K159" s="381"/>
      <c r="L159" s="646"/>
      <c r="M159" s="381"/>
      <c r="N159" s="1139"/>
      <c r="O159" s="1361"/>
      <c r="P159" s="1088"/>
      <c r="Q159" s="520">
        <v>8500</v>
      </c>
      <c r="R159" s="1268"/>
      <c r="S159" s="65">
        <f t="shared" si="49"/>
        <v>8500</v>
      </c>
      <c r="T159" s="170">
        <f t="shared" si="50"/>
        <v>85</v>
      </c>
    </row>
    <row r="160" spans="1:20" s="152" customFormat="1" ht="22.5" x14ac:dyDescent="0.3">
      <c r="A160" s="100">
        <v>113</v>
      </c>
      <c r="B160" s="1362" t="s">
        <v>421</v>
      </c>
      <c r="C160" s="1122" t="s">
        <v>71</v>
      </c>
      <c r="D160" s="572"/>
      <c r="E160" s="750">
        <v>44925</v>
      </c>
      <c r="F160" s="895">
        <v>5922.77</v>
      </c>
      <c r="G160" s="572">
        <v>205</v>
      </c>
      <c r="H160" s="895">
        <v>5922.77</v>
      </c>
      <c r="I160" s="105">
        <f t="shared" si="48"/>
        <v>0</v>
      </c>
      <c r="J160" s="573"/>
      <c r="K160" s="381"/>
      <c r="L160" s="646"/>
      <c r="M160" s="381"/>
      <c r="N160" s="1139"/>
      <c r="O160" s="1363">
        <v>19517</v>
      </c>
      <c r="P160" s="1263" t="s">
        <v>456</v>
      </c>
      <c r="Q160" s="1150">
        <v>165837.56</v>
      </c>
      <c r="R160" s="1265" t="s">
        <v>932</v>
      </c>
      <c r="S160" s="65">
        <f t="shared" si="49"/>
        <v>165837.56</v>
      </c>
      <c r="T160" s="170">
        <f t="shared" si="50"/>
        <v>27.999999999999996</v>
      </c>
    </row>
    <row r="161" spans="1:20" s="152" customFormat="1" ht="23.25" thickBot="1" x14ac:dyDescent="0.35">
      <c r="A161" s="100">
        <v>114</v>
      </c>
      <c r="B161" s="1315"/>
      <c r="C161" s="1122" t="s">
        <v>541</v>
      </c>
      <c r="D161" s="572"/>
      <c r="E161" s="750">
        <v>44925</v>
      </c>
      <c r="F161" s="895">
        <v>713.92</v>
      </c>
      <c r="G161" s="572">
        <v>27</v>
      </c>
      <c r="H161" s="895">
        <v>713.92</v>
      </c>
      <c r="I161" s="105">
        <f t="shared" si="48"/>
        <v>0</v>
      </c>
      <c r="J161" s="573"/>
      <c r="K161" s="381"/>
      <c r="L161" s="646"/>
      <c r="M161" s="381"/>
      <c r="N161" s="1139"/>
      <c r="O161" s="1364"/>
      <c r="P161" s="1264"/>
      <c r="Q161" s="1150">
        <v>51402.239999999998</v>
      </c>
      <c r="R161" s="1266"/>
      <c r="S161" s="65">
        <f t="shared" si="49"/>
        <v>51402.239999999998</v>
      </c>
      <c r="T161" s="170">
        <f t="shared" si="50"/>
        <v>72</v>
      </c>
    </row>
    <row r="162" spans="1:20" s="152" customFormat="1" ht="22.5" x14ac:dyDescent="0.3">
      <c r="A162" s="100">
        <v>115</v>
      </c>
      <c r="B162" s="1346" t="s">
        <v>80</v>
      </c>
      <c r="C162" s="1122" t="s">
        <v>177</v>
      </c>
      <c r="D162" s="572"/>
      <c r="E162" s="1208">
        <v>44930</v>
      </c>
      <c r="F162" s="1209">
        <v>482.79</v>
      </c>
      <c r="G162" s="1210">
        <v>41</v>
      </c>
      <c r="H162" s="1209">
        <v>482.79</v>
      </c>
      <c r="I162" s="1211">
        <f t="shared" si="48"/>
        <v>0</v>
      </c>
      <c r="J162" s="573"/>
      <c r="K162" s="381"/>
      <c r="L162" s="646"/>
      <c r="M162" s="381"/>
      <c r="N162" s="1139"/>
      <c r="O162" s="1257" t="s">
        <v>957</v>
      </c>
      <c r="P162" s="1088"/>
      <c r="Q162" s="1091">
        <v>43451.1</v>
      </c>
      <c r="R162" s="1260" t="s">
        <v>958</v>
      </c>
      <c r="S162" s="65">
        <f t="shared" si="46"/>
        <v>43451.1</v>
      </c>
      <c r="T162" s="170">
        <f t="shared" si="47"/>
        <v>90</v>
      </c>
    </row>
    <row r="163" spans="1:20" s="152" customFormat="1" ht="21.75" customHeight="1" x14ac:dyDescent="0.25">
      <c r="A163" s="100">
        <v>116</v>
      </c>
      <c r="B163" s="1347"/>
      <c r="C163" s="1122" t="s">
        <v>178</v>
      </c>
      <c r="D163" s="1238"/>
      <c r="E163" s="1212">
        <v>44930</v>
      </c>
      <c r="F163" s="1209">
        <v>517.37</v>
      </c>
      <c r="G163" s="1210">
        <v>42</v>
      </c>
      <c r="H163" s="1209">
        <v>517.37</v>
      </c>
      <c r="I163" s="1211">
        <f t="shared" ref="I163" si="51">H163-F163</f>
        <v>0</v>
      </c>
      <c r="J163" s="440"/>
      <c r="K163" s="381"/>
      <c r="L163" s="646"/>
      <c r="M163" s="381"/>
      <c r="N163" s="1130"/>
      <c r="O163" s="1258"/>
      <c r="P163" s="1087"/>
      <c r="Q163" s="1091">
        <v>51219.63</v>
      </c>
      <c r="R163" s="1261"/>
      <c r="S163" s="65">
        <f t="shared" si="46"/>
        <v>51219.63</v>
      </c>
      <c r="T163" s="170">
        <f t="shared" si="47"/>
        <v>99</v>
      </c>
    </row>
    <row r="164" spans="1:20" s="152" customFormat="1" ht="29.25" customHeight="1" thickBot="1" x14ac:dyDescent="0.3">
      <c r="A164" s="100">
        <v>117</v>
      </c>
      <c r="B164" s="1348"/>
      <c r="C164" s="1122" t="s">
        <v>514</v>
      </c>
      <c r="D164" s="572"/>
      <c r="E164" s="1212">
        <v>44930</v>
      </c>
      <c r="F164" s="1209">
        <v>516.19000000000005</v>
      </c>
      <c r="G164" s="1210">
        <v>42</v>
      </c>
      <c r="H164" s="1209">
        <v>516.19000000000005</v>
      </c>
      <c r="I164" s="1213">
        <f t="shared" si="48"/>
        <v>0</v>
      </c>
      <c r="J164" s="442"/>
      <c r="K164" s="381"/>
      <c r="L164" s="646"/>
      <c r="M164" s="381"/>
      <c r="N164" s="1139"/>
      <c r="O164" s="1259"/>
      <c r="P164" s="1088"/>
      <c r="Q164" s="1091">
        <v>49038.05</v>
      </c>
      <c r="R164" s="1262"/>
      <c r="S164" s="65">
        <f t="shared" si="46"/>
        <v>49038.05</v>
      </c>
      <c r="T164" s="170">
        <f t="shared" si="47"/>
        <v>95</v>
      </c>
    </row>
    <row r="165" spans="1:20" s="152" customFormat="1" ht="31.5" customHeight="1" x14ac:dyDescent="0.25">
      <c r="A165" s="100">
        <v>118</v>
      </c>
      <c r="B165" s="1216" t="s">
        <v>97</v>
      </c>
      <c r="C165" s="793" t="s">
        <v>358</v>
      </c>
      <c r="D165" s="572"/>
      <c r="E165" s="1212">
        <v>44930</v>
      </c>
      <c r="F165" s="1209">
        <v>9227.58</v>
      </c>
      <c r="G165" s="1210">
        <v>339</v>
      </c>
      <c r="H165" s="1209">
        <v>9227.58</v>
      </c>
      <c r="I165" s="1211">
        <f t="shared" si="48"/>
        <v>0</v>
      </c>
      <c r="J165" s="442"/>
      <c r="K165" s="381"/>
      <c r="L165" s="646"/>
      <c r="M165" s="381"/>
      <c r="N165" s="646"/>
      <c r="O165" s="1255" t="s">
        <v>929</v>
      </c>
      <c r="P165" s="1221" t="s">
        <v>930</v>
      </c>
      <c r="Q165" s="520">
        <v>779730.51</v>
      </c>
      <c r="R165" s="1256" t="s">
        <v>931</v>
      </c>
      <c r="S165" s="65">
        <f t="shared" si="46"/>
        <v>779730.51</v>
      </c>
      <c r="T165" s="170">
        <f t="shared" si="47"/>
        <v>84.5</v>
      </c>
    </row>
    <row r="166" spans="1:20" s="152" customFormat="1" ht="31.5" customHeight="1" x14ac:dyDescent="0.25">
      <c r="A166" s="100">
        <v>119</v>
      </c>
      <c r="B166" s="1217" t="s">
        <v>97</v>
      </c>
      <c r="C166" s="793" t="s">
        <v>434</v>
      </c>
      <c r="D166" s="572"/>
      <c r="E166" s="1212">
        <v>44933</v>
      </c>
      <c r="F166" s="1214">
        <v>2025.9</v>
      </c>
      <c r="G166" s="1210">
        <v>68</v>
      </c>
      <c r="H166" s="1209">
        <v>2025.9</v>
      </c>
      <c r="I166" s="1211">
        <f t="shared" si="48"/>
        <v>0</v>
      </c>
      <c r="J166" s="442"/>
      <c r="K166" s="381"/>
      <c r="L166" s="646"/>
      <c r="M166" s="381"/>
      <c r="N166" s="646"/>
      <c r="O166" s="759"/>
      <c r="P166" s="756"/>
      <c r="Q166" s="520"/>
      <c r="R166" s="760"/>
      <c r="S166" s="65">
        <f t="shared" si="46"/>
        <v>0</v>
      </c>
      <c r="T166" s="170">
        <f t="shared" si="47"/>
        <v>0</v>
      </c>
    </row>
    <row r="167" spans="1:20" s="152" customFormat="1" ht="30" customHeight="1" x14ac:dyDescent="0.25">
      <c r="A167" s="100">
        <v>120</v>
      </c>
      <c r="B167" s="793"/>
      <c r="C167" s="793"/>
      <c r="D167" s="572"/>
      <c r="E167" s="1212"/>
      <c r="F167" s="1214"/>
      <c r="G167" s="1210"/>
      <c r="H167" s="1209"/>
      <c r="I167" s="1211">
        <f t="shared" si="48"/>
        <v>0</v>
      </c>
      <c r="J167" s="442"/>
      <c r="K167" s="381"/>
      <c r="L167" s="646"/>
      <c r="M167" s="381"/>
      <c r="N167" s="646"/>
      <c r="O167" s="583"/>
      <c r="P167" s="382"/>
      <c r="Q167" s="523"/>
      <c r="R167" s="584"/>
      <c r="S167" s="65">
        <f t="shared" si="46"/>
        <v>0</v>
      </c>
      <c r="T167" s="170" t="e">
        <f t="shared" si="47"/>
        <v>#DIV/0!</v>
      </c>
    </row>
    <row r="168" spans="1:20" s="152" customFormat="1" ht="24.75" customHeight="1" x14ac:dyDescent="0.25">
      <c r="A168" s="100">
        <v>121</v>
      </c>
      <c r="B168" s="793"/>
      <c r="C168" s="793"/>
      <c r="D168" s="572"/>
      <c r="E168" s="1212"/>
      <c r="F168" s="1214"/>
      <c r="G168" s="1210"/>
      <c r="H168" s="1214"/>
      <c r="I168" s="1211">
        <f t="shared" si="48"/>
        <v>0</v>
      </c>
      <c r="J168" s="442"/>
      <c r="K168" s="381"/>
      <c r="L168" s="646"/>
      <c r="M168" s="381"/>
      <c r="N168" s="646"/>
      <c r="O168" s="583"/>
      <c r="P168" s="382"/>
      <c r="Q168" s="523"/>
      <c r="R168" s="380"/>
      <c r="S168" s="65">
        <f t="shared" si="46"/>
        <v>0</v>
      </c>
      <c r="T168" s="170" t="e">
        <f t="shared" si="47"/>
        <v>#DIV/0!</v>
      </c>
    </row>
    <row r="169" spans="1:20" s="152" customFormat="1" ht="27" customHeight="1" x14ac:dyDescent="0.25">
      <c r="A169" s="100">
        <v>122</v>
      </c>
      <c r="B169" s="793"/>
      <c r="C169" s="793"/>
      <c r="D169" s="572"/>
      <c r="E169" s="557"/>
      <c r="F169" s="553"/>
      <c r="G169" s="572"/>
      <c r="H169" s="553"/>
      <c r="I169" s="105">
        <f t="shared" si="48"/>
        <v>0</v>
      </c>
      <c r="J169" s="442"/>
      <c r="K169" s="381"/>
      <c r="L169" s="646"/>
      <c r="M169" s="381"/>
      <c r="N169" s="646"/>
      <c r="O169" s="583"/>
      <c r="P169" s="559"/>
      <c r="Q169" s="523"/>
      <c r="R169" s="380"/>
      <c r="S169" s="65">
        <f t="shared" si="46"/>
        <v>0</v>
      </c>
      <c r="T169" s="170" t="e">
        <f t="shared" si="47"/>
        <v>#DIV/0!</v>
      </c>
    </row>
    <row r="170" spans="1:20" s="152" customFormat="1" ht="27" customHeight="1" x14ac:dyDescent="0.25">
      <c r="A170" s="100">
        <v>123</v>
      </c>
      <c r="B170" s="794"/>
      <c r="C170" s="793"/>
      <c r="D170" s="572"/>
      <c r="E170" s="557"/>
      <c r="F170" s="553"/>
      <c r="G170" s="572"/>
      <c r="H170" s="553"/>
      <c r="I170" s="105">
        <f t="shared" si="48"/>
        <v>0</v>
      </c>
      <c r="J170" s="442"/>
      <c r="K170" s="381"/>
      <c r="L170" s="646"/>
      <c r="M170" s="381"/>
      <c r="N170" s="646"/>
      <c r="O170" s="585"/>
      <c r="P170" s="559"/>
      <c r="Q170" s="523"/>
      <c r="R170" s="624"/>
      <c r="S170" s="65">
        <f t="shared" si="46"/>
        <v>0</v>
      </c>
      <c r="T170" s="170" t="e">
        <f t="shared" si="47"/>
        <v>#DIV/0!</v>
      </c>
    </row>
    <row r="171" spans="1:20" s="152" customFormat="1" ht="29.25" customHeight="1" x14ac:dyDescent="0.25">
      <c r="A171" s="100">
        <v>124</v>
      </c>
      <c r="B171" s="586"/>
      <c r="C171" s="574"/>
      <c r="D171" s="572"/>
      <c r="E171" s="555"/>
      <c r="F171" s="553"/>
      <c r="G171" s="572"/>
      <c r="H171" s="553"/>
      <c r="I171" s="105">
        <f t="shared" si="48"/>
        <v>0</v>
      </c>
      <c r="J171" s="442"/>
      <c r="K171" s="381"/>
      <c r="L171" s="646"/>
      <c r="M171" s="381"/>
      <c r="N171" s="646"/>
      <c r="O171" s="625"/>
      <c r="P171" s="559"/>
      <c r="Q171" s="523"/>
      <c r="R171" s="380"/>
      <c r="S171" s="65">
        <f t="shared" si="46"/>
        <v>0</v>
      </c>
      <c r="T171" s="170" t="e">
        <f t="shared" si="47"/>
        <v>#DIV/0!</v>
      </c>
    </row>
    <row r="172" spans="1:20" s="152" customFormat="1" ht="24.75" customHeight="1" x14ac:dyDescent="0.25">
      <c r="A172" s="100">
        <v>125</v>
      </c>
      <c r="B172" s="372"/>
      <c r="C172" s="372"/>
      <c r="D172" s="572"/>
      <c r="E172" s="555"/>
      <c r="F172" s="553"/>
      <c r="G172" s="572"/>
      <c r="H172" s="553"/>
      <c r="I172" s="105">
        <f t="shared" si="48"/>
        <v>0</v>
      </c>
      <c r="J172" s="442"/>
      <c r="K172" s="381"/>
      <c r="L172" s="646"/>
      <c r="M172" s="381"/>
      <c r="N172" s="646"/>
      <c r="O172" s="585"/>
      <c r="P172" s="382"/>
      <c r="Q172" s="523"/>
      <c r="R172" s="380"/>
      <c r="S172" s="65">
        <f t="shared" si="46"/>
        <v>0</v>
      </c>
      <c r="T172" s="170" t="e">
        <f t="shared" si="47"/>
        <v>#DIV/0!</v>
      </c>
    </row>
    <row r="173" spans="1:20" s="152" customFormat="1" ht="18.75" x14ac:dyDescent="0.25">
      <c r="A173" s="100">
        <v>126</v>
      </c>
      <c r="B173" s="372"/>
      <c r="C173" s="372"/>
      <c r="D173" s="572"/>
      <c r="E173" s="555"/>
      <c r="F173" s="553"/>
      <c r="G173" s="572"/>
      <c r="H173" s="553"/>
      <c r="I173" s="105">
        <f t="shared" si="48"/>
        <v>0</v>
      </c>
      <c r="J173" s="442"/>
      <c r="K173" s="381"/>
      <c r="L173" s="646"/>
      <c r="M173" s="381"/>
      <c r="N173" s="646"/>
      <c r="O173" s="558"/>
      <c r="P173" s="382"/>
      <c r="Q173" s="523"/>
      <c r="R173" s="380"/>
      <c r="S173" s="65">
        <f t="shared" si="46"/>
        <v>0</v>
      </c>
      <c r="T173" s="170" t="e">
        <f t="shared" si="47"/>
        <v>#DIV/0!</v>
      </c>
    </row>
    <row r="174" spans="1:20" s="152" customFormat="1" ht="30.75" customHeight="1" x14ac:dyDescent="0.25">
      <c r="A174" s="100">
        <v>127</v>
      </c>
      <c r="B174" s="610"/>
      <c r="C174" s="372"/>
      <c r="D174" s="572"/>
      <c r="E174" s="555"/>
      <c r="F174" s="553"/>
      <c r="G174" s="572"/>
      <c r="H174" s="553"/>
      <c r="I174" s="105">
        <f t="shared" si="48"/>
        <v>0</v>
      </c>
      <c r="J174" s="442"/>
      <c r="K174" s="381"/>
      <c r="L174" s="646"/>
      <c r="M174" s="381"/>
      <c r="N174" s="971"/>
      <c r="O174" s="558"/>
      <c r="P174" s="382"/>
      <c r="Q174" s="523"/>
      <c r="R174" s="380"/>
      <c r="S174" s="65">
        <f t="shared" si="46"/>
        <v>0</v>
      </c>
      <c r="T174" s="170" t="e">
        <f t="shared" si="47"/>
        <v>#DIV/0!</v>
      </c>
    </row>
    <row r="175" spans="1:20" s="152" customFormat="1" ht="18.75" x14ac:dyDescent="0.25">
      <c r="A175" s="100"/>
      <c r="B175" s="572"/>
      <c r="C175" s="372"/>
      <c r="D175" s="572"/>
      <c r="E175" s="555"/>
      <c r="F175" s="553"/>
      <c r="G175" s="572"/>
      <c r="H175" s="553"/>
      <c r="I175" s="105">
        <f t="shared" si="48"/>
        <v>0</v>
      </c>
      <c r="J175" s="446"/>
      <c r="K175" s="381"/>
      <c r="L175" s="646"/>
      <c r="M175" s="381"/>
      <c r="N175" s="972"/>
      <c r="O175" s="558"/>
      <c r="P175" s="382"/>
      <c r="Q175" s="523"/>
      <c r="R175" s="611"/>
      <c r="S175" s="65">
        <f t="shared" si="46"/>
        <v>0</v>
      </c>
      <c r="T175" s="170" t="e">
        <f t="shared" si="47"/>
        <v>#DIV/0!</v>
      </c>
    </row>
    <row r="176" spans="1:20" s="152" customFormat="1" ht="18.75" x14ac:dyDescent="0.25">
      <c r="A176" s="100"/>
      <c r="B176" s="372"/>
      <c r="C176" s="372"/>
      <c r="D176" s="572"/>
      <c r="E176" s="555"/>
      <c r="F176" s="553"/>
      <c r="G176" s="572"/>
      <c r="H176" s="553"/>
      <c r="I176" s="105">
        <f t="shared" si="48"/>
        <v>0</v>
      </c>
      <c r="J176" s="446"/>
      <c r="K176" s="381"/>
      <c r="L176" s="646"/>
      <c r="M176" s="381"/>
      <c r="N176" s="973"/>
      <c r="O176" s="558"/>
      <c r="P176" s="559"/>
      <c r="Q176" s="523"/>
      <c r="R176" s="611"/>
      <c r="S176" s="65">
        <f t="shared" si="46"/>
        <v>0</v>
      </c>
      <c r="T176" s="170" t="e">
        <f t="shared" si="47"/>
        <v>#DIV/0!</v>
      </c>
    </row>
    <row r="177" spans="1:20" s="152" customFormat="1" ht="27.75" customHeight="1" x14ac:dyDescent="0.25">
      <c r="A177" s="100"/>
      <c r="B177" s="372"/>
      <c r="C177" s="372"/>
      <c r="D177" s="572"/>
      <c r="E177" s="555"/>
      <c r="F177" s="553"/>
      <c r="G177" s="572"/>
      <c r="H177" s="553"/>
      <c r="I177" s="105">
        <f t="shared" si="48"/>
        <v>0</v>
      </c>
      <c r="J177" s="274"/>
      <c r="K177" s="381"/>
      <c r="L177" s="646"/>
      <c r="M177" s="381"/>
      <c r="N177" s="970"/>
      <c r="O177" s="558"/>
      <c r="P177" s="382"/>
      <c r="Q177" s="523"/>
      <c r="R177" s="611"/>
      <c r="S177" s="65">
        <f t="shared" si="46"/>
        <v>0</v>
      </c>
      <c r="T177" s="170" t="e">
        <f t="shared" si="47"/>
        <v>#DIV/0!</v>
      </c>
    </row>
    <row r="178" spans="1:20" s="152" customFormat="1" ht="32.25" customHeight="1" x14ac:dyDescent="0.25">
      <c r="A178" s="100"/>
      <c r="B178" s="372"/>
      <c r="C178" s="372"/>
      <c r="D178" s="572"/>
      <c r="E178" s="555"/>
      <c r="F178" s="553"/>
      <c r="G178" s="572"/>
      <c r="H178" s="553"/>
      <c r="I178" s="105">
        <f t="shared" si="48"/>
        <v>0</v>
      </c>
      <c r="J178" s="274"/>
      <c r="K178" s="381"/>
      <c r="L178" s="646"/>
      <c r="M178" s="381"/>
      <c r="N178" s="970"/>
      <c r="O178" s="558"/>
      <c r="P178" s="382"/>
      <c r="Q178" s="523"/>
      <c r="R178" s="611"/>
      <c r="S178" s="65">
        <f t="shared" si="46"/>
        <v>0</v>
      </c>
      <c r="T178" s="170" t="e">
        <f t="shared" si="47"/>
        <v>#DIV/0!</v>
      </c>
    </row>
    <row r="179" spans="1:20" s="152" customFormat="1" ht="19.5" customHeight="1" x14ac:dyDescent="0.25">
      <c r="A179" s="100"/>
      <c r="B179" s="372"/>
      <c r="C179" s="372"/>
      <c r="D179" s="572"/>
      <c r="E179" s="555"/>
      <c r="F179" s="553"/>
      <c r="G179" s="572"/>
      <c r="H179" s="553"/>
      <c r="I179" s="105">
        <f t="shared" si="48"/>
        <v>0</v>
      </c>
      <c r="J179" s="274"/>
      <c r="K179" s="381"/>
      <c r="L179" s="646"/>
      <c r="M179" s="381"/>
      <c r="N179" s="913"/>
      <c r="O179" s="558"/>
      <c r="P179" s="382"/>
      <c r="Q179" s="523"/>
      <c r="R179" s="611"/>
      <c r="S179" s="65">
        <f t="shared" si="46"/>
        <v>0</v>
      </c>
      <c r="T179" s="170" t="e">
        <f t="shared" si="47"/>
        <v>#DIV/0!</v>
      </c>
    </row>
    <row r="180" spans="1:20" s="152" customFormat="1" x14ac:dyDescent="0.25">
      <c r="A180" s="100"/>
      <c r="B180" s="407"/>
      <c r="C180" s="73"/>
      <c r="D180" s="156"/>
      <c r="E180" s="149"/>
      <c r="F180" s="105"/>
      <c r="G180" s="100"/>
      <c r="H180" s="368"/>
      <c r="I180" s="105">
        <f t="shared" si="48"/>
        <v>0</v>
      </c>
      <c r="J180" s="177"/>
      <c r="K180" s="223"/>
      <c r="L180" s="647"/>
      <c r="M180" s="222"/>
      <c r="N180" s="914"/>
      <c r="O180" s="389"/>
      <c r="P180" s="221"/>
      <c r="Q180" s="524"/>
      <c r="R180" s="655"/>
      <c r="S180" s="65">
        <f t="shared" si="46"/>
        <v>0</v>
      </c>
      <c r="T180" s="170" t="e">
        <f t="shared" si="47"/>
        <v>#DIV/0!</v>
      </c>
    </row>
    <row r="181" spans="1:20" s="152" customFormat="1" x14ac:dyDescent="0.25">
      <c r="A181" s="100"/>
      <c r="B181" s="75"/>
      <c r="C181" s="73"/>
      <c r="D181" s="156"/>
      <c r="E181" s="149"/>
      <c r="F181" s="105"/>
      <c r="G181" s="100"/>
      <c r="H181" s="368"/>
      <c r="I181" s="105">
        <f t="shared" si="48"/>
        <v>0</v>
      </c>
      <c r="J181" s="177"/>
      <c r="K181" s="223"/>
      <c r="L181" s="647"/>
      <c r="M181" s="222"/>
      <c r="N181" s="914"/>
      <c r="O181" s="389"/>
      <c r="P181" s="221"/>
      <c r="Q181" s="524"/>
      <c r="R181" s="655"/>
      <c r="S181" s="65">
        <f t="shared" si="46"/>
        <v>0</v>
      </c>
      <c r="T181" s="170" t="e">
        <f t="shared" si="47"/>
        <v>#DIV/0!</v>
      </c>
    </row>
    <row r="182" spans="1:20" s="152" customFormat="1" x14ac:dyDescent="0.25">
      <c r="A182" s="100"/>
      <c r="B182" s="75"/>
      <c r="C182" s="73"/>
      <c r="D182" s="156"/>
      <c r="E182" s="149"/>
      <c r="F182" s="105"/>
      <c r="G182" s="100"/>
      <c r="H182" s="368"/>
      <c r="I182" s="105">
        <f t="shared" si="48"/>
        <v>0</v>
      </c>
      <c r="J182" s="177"/>
      <c r="K182" s="223"/>
      <c r="L182" s="647"/>
      <c r="M182" s="222"/>
      <c r="N182" s="914"/>
      <c r="O182" s="389"/>
      <c r="P182" s="221"/>
      <c r="Q182" s="524"/>
      <c r="R182" s="655"/>
      <c r="S182" s="65">
        <f t="shared" si="46"/>
        <v>0</v>
      </c>
      <c r="T182" s="170" t="e">
        <f t="shared" si="47"/>
        <v>#DIV/0!</v>
      </c>
    </row>
    <row r="183" spans="1:20" s="152" customFormat="1" x14ac:dyDescent="0.25">
      <c r="A183" s="100"/>
      <c r="B183" s="75"/>
      <c r="C183" s="73"/>
      <c r="D183" s="156"/>
      <c r="E183" s="149"/>
      <c r="F183" s="105"/>
      <c r="G183" s="100"/>
      <c r="H183" s="368"/>
      <c r="I183" s="105">
        <f t="shared" si="48"/>
        <v>0</v>
      </c>
      <c r="J183" s="177"/>
      <c r="K183" s="223"/>
      <c r="L183" s="647"/>
      <c r="M183" s="222"/>
      <c r="N183" s="914"/>
      <c r="O183" s="389"/>
      <c r="P183" s="221"/>
      <c r="Q183" s="524"/>
      <c r="R183" s="655"/>
      <c r="S183" s="65">
        <f t="shared" si="46"/>
        <v>0</v>
      </c>
      <c r="T183" s="170" t="e">
        <f t="shared" si="47"/>
        <v>#DIV/0!</v>
      </c>
    </row>
    <row r="184" spans="1:20" s="152" customFormat="1" x14ac:dyDescent="0.25">
      <c r="A184" s="100"/>
      <c r="B184" s="75"/>
      <c r="C184" s="73"/>
      <c r="D184" s="156"/>
      <c r="E184" s="149"/>
      <c r="F184" s="105"/>
      <c r="G184" s="100"/>
      <c r="H184" s="368"/>
      <c r="I184" s="105">
        <f t="shared" si="48"/>
        <v>0</v>
      </c>
      <c r="J184" s="177"/>
      <c r="K184" s="223"/>
      <c r="L184" s="647"/>
      <c r="M184" s="222"/>
      <c r="N184" s="914"/>
      <c r="O184" s="389"/>
      <c r="P184" s="221"/>
      <c r="Q184" s="524"/>
      <c r="R184" s="655"/>
      <c r="S184" s="65">
        <f t="shared" si="46"/>
        <v>0</v>
      </c>
      <c r="T184" s="170" t="e">
        <f t="shared" si="47"/>
        <v>#DIV/0!</v>
      </c>
    </row>
    <row r="185" spans="1:20" s="152" customFormat="1" x14ac:dyDescent="0.25">
      <c r="A185" s="100"/>
      <c r="B185" s="75"/>
      <c r="C185" s="73"/>
      <c r="D185" s="156"/>
      <c r="E185" s="149"/>
      <c r="F185" s="105"/>
      <c r="G185" s="100"/>
      <c r="H185" s="368"/>
      <c r="I185" s="105">
        <f t="shared" si="48"/>
        <v>0</v>
      </c>
      <c r="J185" s="177"/>
      <c r="K185" s="223"/>
      <c r="L185" s="647"/>
      <c r="M185" s="222"/>
      <c r="N185" s="914"/>
      <c r="O185" s="389"/>
      <c r="P185" s="221"/>
      <c r="Q185" s="524"/>
      <c r="R185" s="655"/>
      <c r="S185" s="65">
        <f t="shared" si="46"/>
        <v>0</v>
      </c>
      <c r="T185" s="170" t="e">
        <f t="shared" si="47"/>
        <v>#DIV/0!</v>
      </c>
    </row>
    <row r="186" spans="1:20" s="152" customFormat="1" x14ac:dyDescent="0.25">
      <c r="A186" s="100"/>
      <c r="B186" s="75"/>
      <c r="C186" s="73"/>
      <c r="D186" s="156"/>
      <c r="E186" s="149"/>
      <c r="F186" s="105"/>
      <c r="G186" s="100"/>
      <c r="H186" s="368"/>
      <c r="I186" s="105">
        <f t="shared" si="48"/>
        <v>0</v>
      </c>
      <c r="J186" s="177"/>
      <c r="K186" s="223"/>
      <c r="L186" s="647"/>
      <c r="M186" s="222"/>
      <c r="N186" s="914"/>
      <c r="O186" s="389"/>
      <c r="P186" s="221"/>
      <c r="Q186" s="524"/>
      <c r="R186" s="655"/>
      <c r="S186" s="65">
        <f t="shared" si="46"/>
        <v>0</v>
      </c>
      <c r="T186" s="170" t="e">
        <f t="shared" si="47"/>
        <v>#DIV/0!</v>
      </c>
    </row>
    <row r="187" spans="1:20" s="152" customFormat="1" x14ac:dyDescent="0.25">
      <c r="A187" s="100"/>
      <c r="B187" s="75"/>
      <c r="C187" s="73"/>
      <c r="D187" s="156"/>
      <c r="E187" s="149"/>
      <c r="F187" s="105"/>
      <c r="G187" s="100"/>
      <c r="H187" s="368"/>
      <c r="I187" s="105">
        <f t="shared" si="48"/>
        <v>0</v>
      </c>
      <c r="J187" s="177"/>
      <c r="K187" s="223"/>
      <c r="L187" s="647"/>
      <c r="M187" s="222"/>
      <c r="N187" s="915"/>
      <c r="O187" s="389"/>
      <c r="P187" s="221"/>
      <c r="Q187" s="525"/>
      <c r="R187" s="656"/>
      <c r="S187" s="65">
        <f t="shared" si="46"/>
        <v>0</v>
      </c>
      <c r="T187" s="170" t="e">
        <f t="shared" si="47"/>
        <v>#DIV/0!</v>
      </c>
    </row>
    <row r="188" spans="1:20" s="152" customFormat="1" x14ac:dyDescent="0.25">
      <c r="A188" s="100"/>
      <c r="B188" s="75"/>
      <c r="C188" s="73"/>
      <c r="D188" s="156"/>
      <c r="E188" s="149"/>
      <c r="F188" s="105"/>
      <c r="G188" s="100"/>
      <c r="H188" s="368"/>
      <c r="I188" s="105">
        <f t="shared" si="48"/>
        <v>0</v>
      </c>
      <c r="J188" s="177"/>
      <c r="K188" s="223"/>
      <c r="L188" s="647"/>
      <c r="M188" s="222"/>
      <c r="N188" s="915"/>
      <c r="O188" s="389"/>
      <c r="P188" s="221"/>
      <c r="Q188" s="525"/>
      <c r="R188" s="656"/>
      <c r="S188" s="65"/>
      <c r="T188" s="65"/>
    </row>
    <row r="189" spans="1:20" s="152" customFormat="1" x14ac:dyDescent="0.25">
      <c r="A189" s="100"/>
      <c r="B189" s="75"/>
      <c r="C189" s="73"/>
      <c r="D189" s="156"/>
      <c r="E189" s="149"/>
      <c r="F189" s="105"/>
      <c r="G189" s="100"/>
      <c r="H189" s="368"/>
      <c r="I189" s="105">
        <f t="shared" si="48"/>
        <v>0</v>
      </c>
      <c r="J189" s="177"/>
      <c r="K189" s="223"/>
      <c r="L189" s="647"/>
      <c r="M189" s="222"/>
      <c r="N189" s="915"/>
      <c r="O189" s="389"/>
      <c r="P189" s="221"/>
      <c r="Q189" s="525"/>
      <c r="R189" s="656"/>
      <c r="S189" s="65"/>
      <c r="T189" s="65"/>
    </row>
    <row r="190" spans="1:20" s="152" customFormat="1" ht="15.75" thickBot="1" x14ac:dyDescent="0.3">
      <c r="A190" s="100"/>
      <c r="B190" s="75"/>
      <c r="C190" s="146"/>
      <c r="D190" s="178"/>
      <c r="E190" s="134"/>
      <c r="F190" s="445"/>
      <c r="G190" s="100"/>
      <c r="H190" s="368"/>
      <c r="I190" s="105">
        <f t="shared" si="48"/>
        <v>0</v>
      </c>
      <c r="J190" s="177"/>
      <c r="K190" s="108"/>
      <c r="L190" s="647"/>
      <c r="M190" s="71"/>
      <c r="N190" s="915"/>
      <c r="O190" s="127"/>
      <c r="P190" s="116"/>
      <c r="Q190" s="526"/>
      <c r="R190" s="657"/>
      <c r="S190" s="65">
        <f t="shared" ref="S190:S195" si="52">Q190+M190+K190</f>
        <v>0</v>
      </c>
      <c r="T190" s="65" t="e">
        <f t="shared" ref="T190:T198" si="53">S190/H190+0.1</f>
        <v>#DIV/0!</v>
      </c>
    </row>
    <row r="191" spans="1:20" s="152" customFormat="1" ht="15.75" hidden="1" thickBot="1" x14ac:dyDescent="0.3">
      <c r="A191" s="100"/>
      <c r="B191" s="75"/>
      <c r="C191" s="75"/>
      <c r="D191" s="178"/>
      <c r="E191" s="134"/>
      <c r="F191" s="445"/>
      <c r="G191" s="100"/>
      <c r="H191" s="368"/>
      <c r="I191" s="105">
        <f t="shared" si="48"/>
        <v>0</v>
      </c>
      <c r="J191" s="177"/>
      <c r="K191" s="108"/>
      <c r="L191" s="647"/>
      <c r="M191" s="71"/>
      <c r="N191" s="915"/>
      <c r="O191" s="127"/>
      <c r="P191" s="116"/>
      <c r="Q191" s="527"/>
      <c r="R191" s="658"/>
      <c r="S191" s="65">
        <f t="shared" si="52"/>
        <v>0</v>
      </c>
      <c r="T191" s="65" t="e">
        <f t="shared" si="53"/>
        <v>#DIV/0!</v>
      </c>
    </row>
    <row r="192" spans="1:20" s="152" customFormat="1" ht="15.75" hidden="1" thickBot="1" x14ac:dyDescent="0.3">
      <c r="A192" s="100"/>
      <c r="B192" s="75"/>
      <c r="C192" s="75"/>
      <c r="D192" s="178"/>
      <c r="E192" s="134"/>
      <c r="F192" s="445"/>
      <c r="G192" s="100"/>
      <c r="H192" s="368"/>
      <c r="I192" s="105">
        <f t="shared" si="48"/>
        <v>0</v>
      </c>
      <c r="J192" s="177"/>
      <c r="K192" s="108"/>
      <c r="L192" s="647"/>
      <c r="M192" s="71"/>
      <c r="N192" s="915"/>
      <c r="O192" s="127"/>
      <c r="P192" s="116"/>
      <c r="Q192" s="527"/>
      <c r="R192" s="658"/>
      <c r="S192" s="65">
        <f t="shared" si="52"/>
        <v>0</v>
      </c>
      <c r="T192" s="65" t="e">
        <f t="shared" si="53"/>
        <v>#DIV/0!</v>
      </c>
    </row>
    <row r="193" spans="1:20" s="152" customFormat="1" ht="15.75" hidden="1" thickBot="1" x14ac:dyDescent="0.3">
      <c r="A193" s="100"/>
      <c r="B193" s="75"/>
      <c r="C193" s="75"/>
      <c r="D193" s="178"/>
      <c r="E193" s="134"/>
      <c r="F193" s="445"/>
      <c r="G193" s="100"/>
      <c r="H193" s="368"/>
      <c r="I193" s="105">
        <f t="shared" si="48"/>
        <v>0</v>
      </c>
      <c r="J193" s="177"/>
      <c r="K193" s="108"/>
      <c r="L193" s="647"/>
      <c r="M193" s="71"/>
      <c r="N193" s="915"/>
      <c r="O193" s="127"/>
      <c r="P193" s="116"/>
      <c r="Q193" s="527"/>
      <c r="R193" s="659"/>
      <c r="S193" s="65">
        <f t="shared" si="52"/>
        <v>0</v>
      </c>
      <c r="T193" s="65" t="e">
        <f t="shared" si="53"/>
        <v>#DIV/0!</v>
      </c>
    </row>
    <row r="194" spans="1:20" s="152" customFormat="1" ht="15.75" hidden="1" thickBot="1" x14ac:dyDescent="0.3">
      <c r="A194" s="100"/>
      <c r="B194" s="75"/>
      <c r="C194" s="75"/>
      <c r="D194" s="178"/>
      <c r="E194" s="134"/>
      <c r="F194" s="445"/>
      <c r="G194" s="100"/>
      <c r="H194" s="368"/>
      <c r="I194" s="105">
        <f t="shared" si="48"/>
        <v>0</v>
      </c>
      <c r="J194" s="177"/>
      <c r="K194" s="108"/>
      <c r="L194" s="647"/>
      <c r="M194" s="71"/>
      <c r="N194" s="915"/>
      <c r="O194" s="127"/>
      <c r="P194" s="116"/>
      <c r="Q194" s="527"/>
      <c r="R194" s="659"/>
      <c r="S194" s="65">
        <f t="shared" si="52"/>
        <v>0</v>
      </c>
      <c r="T194" s="65" t="e">
        <f t="shared" si="53"/>
        <v>#DIV/0!</v>
      </c>
    </row>
    <row r="195" spans="1:20" s="152" customFormat="1" ht="15.75" hidden="1" thickBot="1" x14ac:dyDescent="0.3">
      <c r="A195" s="100"/>
      <c r="B195" s="75"/>
      <c r="C195" s="146"/>
      <c r="D195" s="100"/>
      <c r="E195" s="134"/>
      <c r="F195" s="445"/>
      <c r="G195" s="100"/>
      <c r="H195" s="368"/>
      <c r="I195" s="105">
        <f t="shared" si="48"/>
        <v>0</v>
      </c>
      <c r="J195" s="177"/>
      <c r="K195" s="108"/>
      <c r="L195" s="647"/>
      <c r="M195" s="71"/>
      <c r="N195" s="915"/>
      <c r="O195" s="127"/>
      <c r="P195" s="116"/>
      <c r="Q195" s="393"/>
      <c r="R195" s="660"/>
      <c r="S195" s="65">
        <f t="shared" si="52"/>
        <v>0</v>
      </c>
      <c r="T195" s="65" t="e">
        <f t="shared" si="53"/>
        <v>#DIV/0!</v>
      </c>
    </row>
    <row r="196" spans="1:20" s="152" customFormat="1" ht="15.75" hidden="1" thickBot="1" x14ac:dyDescent="0.3">
      <c r="A196" s="100"/>
      <c r="B196" s="75"/>
      <c r="C196" s="146"/>
      <c r="D196" s="101"/>
      <c r="E196" s="134"/>
      <c r="F196" s="445"/>
      <c r="G196" s="100"/>
      <c r="H196" s="368"/>
      <c r="I196" s="105">
        <f t="shared" si="48"/>
        <v>0</v>
      </c>
      <c r="J196" s="177"/>
      <c r="K196" s="108"/>
      <c r="L196" s="647"/>
      <c r="M196" s="71"/>
      <c r="N196" s="915"/>
      <c r="O196" s="127"/>
      <c r="P196" s="116"/>
      <c r="Q196" s="393"/>
      <c r="R196" s="660"/>
      <c r="S196" s="65">
        <f t="shared" ref="S196:S201" si="54">Q196+M196+K196</f>
        <v>0</v>
      </c>
      <c r="T196" s="65" t="e">
        <f t="shared" si="53"/>
        <v>#DIV/0!</v>
      </c>
    </row>
    <row r="197" spans="1:20" s="152" customFormat="1" ht="15.75" hidden="1" thickBot="1" x14ac:dyDescent="0.3">
      <c r="A197" s="100"/>
      <c r="B197" s="75"/>
      <c r="C197" s="148"/>
      <c r="D197" s="101"/>
      <c r="E197" s="134"/>
      <c r="F197" s="445"/>
      <c r="G197" s="100"/>
      <c r="H197" s="368"/>
      <c r="I197" s="105">
        <f t="shared" si="48"/>
        <v>0</v>
      </c>
      <c r="J197" s="177"/>
      <c r="K197" s="108"/>
      <c r="L197" s="647"/>
      <c r="M197" s="71"/>
      <c r="N197" s="915"/>
      <c r="O197" s="127"/>
      <c r="P197" s="116"/>
      <c r="Q197" s="393"/>
      <c r="R197" s="660"/>
      <c r="S197" s="65">
        <f t="shared" si="54"/>
        <v>0</v>
      </c>
      <c r="T197" s="65" t="e">
        <f t="shared" si="53"/>
        <v>#DIV/0!</v>
      </c>
    </row>
    <row r="198" spans="1:20" s="152" customFormat="1" ht="15.75" hidden="1" thickBot="1" x14ac:dyDescent="0.3">
      <c r="A198" s="100"/>
      <c r="B198" s="75"/>
      <c r="C198" s="148"/>
      <c r="D198" s="101"/>
      <c r="E198" s="134"/>
      <c r="F198" s="445"/>
      <c r="G198" s="100"/>
      <c r="H198" s="368"/>
      <c r="I198" s="105">
        <f t="shared" si="48"/>
        <v>0</v>
      </c>
      <c r="J198" s="177"/>
      <c r="K198" s="108"/>
      <c r="L198" s="647"/>
      <c r="M198" s="71"/>
      <c r="N198" s="915"/>
      <c r="O198" s="127"/>
      <c r="P198" s="116"/>
      <c r="Q198" s="393"/>
      <c r="R198" s="660"/>
      <c r="S198" s="65">
        <f t="shared" si="54"/>
        <v>0</v>
      </c>
      <c r="T198" s="65" t="e">
        <f t="shared" si="53"/>
        <v>#DIV/0!</v>
      </c>
    </row>
    <row r="199" spans="1:20" s="152" customFormat="1" ht="15.75" hidden="1" thickBot="1" x14ac:dyDescent="0.3">
      <c r="A199" s="100"/>
      <c r="B199" s="75"/>
      <c r="C199" s="148"/>
      <c r="D199" s="101"/>
      <c r="E199" s="134"/>
      <c r="F199" s="445"/>
      <c r="G199" s="100"/>
      <c r="H199" s="368"/>
      <c r="I199" s="105">
        <f t="shared" si="48"/>
        <v>0</v>
      </c>
      <c r="J199" s="177"/>
      <c r="K199" s="108"/>
      <c r="L199" s="647"/>
      <c r="M199" s="71"/>
      <c r="N199" s="915"/>
      <c r="O199" s="127"/>
      <c r="P199" s="116"/>
      <c r="Q199" s="393"/>
      <c r="R199" s="660"/>
      <c r="S199" s="65">
        <f t="shared" si="54"/>
        <v>0</v>
      </c>
      <c r="T199" s="65" t="e">
        <f>S199/H199</f>
        <v>#DIV/0!</v>
      </c>
    </row>
    <row r="200" spans="1:20" s="152" customFormat="1" ht="15.75" hidden="1" thickBot="1" x14ac:dyDescent="0.3">
      <c r="A200" s="100"/>
      <c r="B200" s="75"/>
      <c r="C200" s="148"/>
      <c r="D200" s="153"/>
      <c r="E200" s="134"/>
      <c r="F200" s="445"/>
      <c r="G200" s="100"/>
      <c r="H200" s="368"/>
      <c r="I200" s="105">
        <f t="shared" si="48"/>
        <v>0</v>
      </c>
      <c r="J200" s="177"/>
      <c r="K200" s="108"/>
      <c r="L200" s="647"/>
      <c r="M200" s="71"/>
      <c r="N200" s="915"/>
      <c r="O200" s="127"/>
      <c r="P200" s="116"/>
      <c r="Q200" s="528"/>
      <c r="R200" s="657"/>
      <c r="S200" s="65">
        <f t="shared" si="54"/>
        <v>0</v>
      </c>
      <c r="T200" s="65" t="e">
        <f>S200/H200</f>
        <v>#DIV/0!</v>
      </c>
    </row>
    <row r="201" spans="1:20" s="152" customFormat="1" ht="15.75" hidden="1" thickBot="1" x14ac:dyDescent="0.3">
      <c r="A201" s="100"/>
      <c r="B201" s="75"/>
      <c r="C201" s="148"/>
      <c r="D201" s="153"/>
      <c r="E201" s="134"/>
      <c r="F201" s="445"/>
      <c r="G201" s="100"/>
      <c r="H201" s="368"/>
      <c r="I201" s="105">
        <f t="shared" si="48"/>
        <v>0</v>
      </c>
      <c r="J201" s="177"/>
      <c r="K201" s="108"/>
      <c r="L201" s="647"/>
      <c r="M201" s="71"/>
      <c r="N201" s="915"/>
      <c r="O201" s="127"/>
      <c r="P201" s="116"/>
      <c r="Q201" s="528"/>
      <c r="R201" s="661"/>
      <c r="S201" s="65">
        <f t="shared" si="54"/>
        <v>0</v>
      </c>
      <c r="T201" s="65" t="e">
        <f>S201/H201</f>
        <v>#DIV/0!</v>
      </c>
    </row>
    <row r="202" spans="1:20" s="152" customFormat="1" ht="15.75" hidden="1" thickBot="1" x14ac:dyDescent="0.3">
      <c r="A202" s="100"/>
      <c r="B202" s="75"/>
      <c r="C202" s="95"/>
      <c r="D202" s="153"/>
      <c r="E202" s="452"/>
      <c r="F202" s="445"/>
      <c r="G202" s="100"/>
      <c r="H202" s="368"/>
      <c r="I202" s="105">
        <f t="shared" si="48"/>
        <v>0</v>
      </c>
      <c r="J202" s="129"/>
      <c r="K202" s="162"/>
      <c r="L202" s="648"/>
      <c r="M202" s="71"/>
      <c r="N202" s="916"/>
      <c r="O202" s="127"/>
      <c r="P202" s="95"/>
      <c r="Q202" s="393"/>
      <c r="R202" s="662"/>
      <c r="S202" s="65">
        <f>Q202+M202+K202</f>
        <v>0</v>
      </c>
      <c r="T202" s="65" t="e">
        <f>S202/H202+0.1</f>
        <v>#DIV/0!</v>
      </c>
    </row>
    <row r="203" spans="1:20" s="152" customFormat="1" ht="29.25" customHeight="1" thickTop="1" thickBot="1" x14ac:dyDescent="0.3">
      <c r="A203" s="100"/>
      <c r="B203" s="75"/>
      <c r="C203" s="95"/>
      <c r="D203" s="163"/>
      <c r="E203" s="134"/>
      <c r="F203" s="449" t="s">
        <v>31</v>
      </c>
      <c r="G203" s="72">
        <f>SUM(G5:G202)</f>
        <v>5328</v>
      </c>
      <c r="H203" s="369">
        <f>SUM(H3:H202)</f>
        <v>1426292.6100000006</v>
      </c>
      <c r="I203" s="467">
        <f>PIERNA!I37</f>
        <v>74.990000000001601</v>
      </c>
      <c r="J203" s="46"/>
      <c r="K203" s="164">
        <f>SUM(K5:K202)</f>
        <v>578910</v>
      </c>
      <c r="L203" s="649"/>
      <c r="M203" s="164">
        <f>SUM(M5:M202)</f>
        <v>1813776</v>
      </c>
      <c r="N203" s="917"/>
      <c r="O203" s="390"/>
      <c r="P203" s="117"/>
      <c r="Q203" s="529">
        <f>SUM(Q5:Q202)</f>
        <v>48330090.331050031</v>
      </c>
      <c r="R203" s="663"/>
      <c r="S203" s="167">
        <f>Q203+M203+K203</f>
        <v>50722776.331050031</v>
      </c>
      <c r="T203" s="65"/>
    </row>
    <row r="204" spans="1:20" s="152" customFormat="1" ht="15.75" thickTop="1" x14ac:dyDescent="0.25">
      <c r="B204" s="75"/>
      <c r="C204" s="75"/>
      <c r="D204" s="100"/>
      <c r="E204" s="134"/>
      <c r="F204" s="160"/>
      <c r="G204" s="100"/>
      <c r="H204" s="160"/>
      <c r="I204" s="75"/>
      <c r="J204" s="129"/>
      <c r="L204" s="650"/>
      <c r="N204" s="918"/>
      <c r="O204" s="161"/>
      <c r="P204" s="95"/>
      <c r="Q204" s="393"/>
      <c r="R204" s="479" t="s">
        <v>42</v>
      </c>
    </row>
  </sheetData>
  <sortState ref="A101:AC105">
    <sortCondition ref="E99:E100"/>
  </sortState>
  <mergeCells count="58">
    <mergeCell ref="B162:B164"/>
    <mergeCell ref="B142:B143"/>
    <mergeCell ref="O142:O143"/>
    <mergeCell ref="B147:B149"/>
    <mergeCell ref="E147:E149"/>
    <mergeCell ref="O147:O149"/>
    <mergeCell ref="B160:B161"/>
    <mergeCell ref="O160:O161"/>
    <mergeCell ref="B151:B153"/>
    <mergeCell ref="O151:O153"/>
    <mergeCell ref="E151:E153"/>
    <mergeCell ref="B158:B159"/>
    <mergeCell ref="E158:E159"/>
    <mergeCell ref="O158:O159"/>
    <mergeCell ref="B156:B157"/>
    <mergeCell ref="B138:B139"/>
    <mergeCell ref="E138:E139"/>
    <mergeCell ref="O138:O139"/>
    <mergeCell ref="Q1:Q2"/>
    <mergeCell ref="K1:K2"/>
    <mergeCell ref="M1:M2"/>
    <mergeCell ref="B102:B103"/>
    <mergeCell ref="O102:O103"/>
    <mergeCell ref="B114:B116"/>
    <mergeCell ref="O114:O116"/>
    <mergeCell ref="B129:B134"/>
    <mergeCell ref="E129:E134"/>
    <mergeCell ref="B124:B125"/>
    <mergeCell ref="O124:O125"/>
    <mergeCell ref="O129:O134"/>
    <mergeCell ref="B126:B128"/>
    <mergeCell ref="E126:E128"/>
    <mergeCell ref="O126:O128"/>
    <mergeCell ref="R126:R128"/>
    <mergeCell ref="R107:R110"/>
    <mergeCell ref="B107:B110"/>
    <mergeCell ref="O107:O110"/>
    <mergeCell ref="R114:R116"/>
    <mergeCell ref="P114:P116"/>
    <mergeCell ref="R147:R149"/>
    <mergeCell ref="P147:P149"/>
    <mergeCell ref="O156:O157"/>
    <mergeCell ref="R156:R157"/>
    <mergeCell ref="P156:P157"/>
    <mergeCell ref="R151:R153"/>
    <mergeCell ref="P151:P153"/>
    <mergeCell ref="R102:R103"/>
    <mergeCell ref="D124:D125"/>
    <mergeCell ref="J124:J125"/>
    <mergeCell ref="R129:R134"/>
    <mergeCell ref="P142:P143"/>
    <mergeCell ref="R142:R143"/>
    <mergeCell ref="R124:R125"/>
    <mergeCell ref="O162:O164"/>
    <mergeCell ref="R162:R164"/>
    <mergeCell ref="P160:P161"/>
    <mergeCell ref="R160:R161"/>
    <mergeCell ref="R158:R159"/>
  </mergeCells>
  <printOptions gridLines="1"/>
  <pageMargins left="0.19685039370078741" right="3.937007874015748E-2" top="0.31496062992125984" bottom="0.39370078740157483" header="0.31496062992125984" footer="0.31496062992125984"/>
  <pageSetup paperSize="5" scale="7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I40"/>
  <sheetViews>
    <sheetView workbookViewId="0">
      <pane ySplit="8" topLeftCell="A24" activePane="bottomLeft" state="frozen"/>
      <selection pane="bottomLeft" activeCell="H37" sqref="H37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390" t="s">
        <v>339</v>
      </c>
      <c r="B1" s="1390"/>
      <c r="C1" s="1390"/>
      <c r="D1" s="1390"/>
      <c r="E1" s="1390"/>
      <c r="F1" s="1390"/>
      <c r="G1" s="1390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55"/>
      <c r="H4" s="155"/>
    </row>
    <row r="5" spans="1:9" x14ac:dyDescent="0.25">
      <c r="A5" s="1398" t="s">
        <v>52</v>
      </c>
      <c r="B5" s="1399" t="s">
        <v>394</v>
      </c>
      <c r="C5" s="229">
        <v>85</v>
      </c>
      <c r="D5" s="134">
        <v>44900</v>
      </c>
      <c r="E5" s="78">
        <v>2944.1</v>
      </c>
      <c r="F5" s="62">
        <v>125</v>
      </c>
      <c r="G5" s="5"/>
    </row>
    <row r="6" spans="1:9" x14ac:dyDescent="0.25">
      <c r="A6" s="1398"/>
      <c r="B6" s="1399"/>
      <c r="C6" s="391">
        <v>82</v>
      </c>
      <c r="D6" s="134">
        <v>44921</v>
      </c>
      <c r="E6" s="208">
        <v>1531.83</v>
      </c>
      <c r="F6" s="62">
        <v>59</v>
      </c>
      <c r="G6" s="47"/>
      <c r="H6" s="7">
        <f>E6-G6+E7+E5-G5</f>
        <v>4475.93</v>
      </c>
    </row>
    <row r="7" spans="1:9" ht="15.75" thickBot="1" x14ac:dyDescent="0.3">
      <c r="A7" s="1398"/>
      <c r="B7" s="19"/>
      <c r="C7" s="230"/>
      <c r="D7" s="231"/>
      <c r="E7" s="78"/>
      <c r="F7" s="62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1185">
        <f>F4+F5+F6+F7-C9</f>
        <v>183</v>
      </c>
      <c r="C9" s="15">
        <v>1</v>
      </c>
      <c r="D9" s="69">
        <v>25.33</v>
      </c>
      <c r="E9" s="202">
        <v>44903</v>
      </c>
      <c r="F9" s="69">
        <f t="shared" ref="F9:F33" si="0">D9</f>
        <v>25.33</v>
      </c>
      <c r="G9" s="70" t="s">
        <v>643</v>
      </c>
      <c r="H9" s="71">
        <v>86</v>
      </c>
      <c r="I9" s="105">
        <f>E6-F9+E5+E7</f>
        <v>4450.6000000000004</v>
      </c>
    </row>
    <row r="10" spans="1:9" x14ac:dyDescent="0.25">
      <c r="A10" s="194"/>
      <c r="B10" s="1186">
        <f>B9-C10</f>
        <v>182</v>
      </c>
      <c r="C10" s="15">
        <v>1</v>
      </c>
      <c r="D10" s="69">
        <v>19.190000000000001</v>
      </c>
      <c r="E10" s="202">
        <v>44903</v>
      </c>
      <c r="F10" s="69">
        <f t="shared" si="0"/>
        <v>19.190000000000001</v>
      </c>
      <c r="G10" s="70" t="s">
        <v>646</v>
      </c>
      <c r="H10" s="71">
        <v>86</v>
      </c>
      <c r="I10" s="105">
        <f>I9-F10</f>
        <v>4431.4100000000008</v>
      </c>
    </row>
    <row r="11" spans="1:9" x14ac:dyDescent="0.25">
      <c r="A11" s="182"/>
      <c r="B11" s="1186">
        <f t="shared" ref="B11:B33" si="1">B10-C11</f>
        <v>146</v>
      </c>
      <c r="C11" s="15">
        <v>36</v>
      </c>
      <c r="D11" s="69">
        <v>845.73</v>
      </c>
      <c r="E11" s="202">
        <v>44905</v>
      </c>
      <c r="F11" s="69">
        <f t="shared" si="0"/>
        <v>845.73</v>
      </c>
      <c r="G11" s="70" t="s">
        <v>668</v>
      </c>
      <c r="H11" s="71">
        <v>86</v>
      </c>
      <c r="I11" s="105">
        <f t="shared" ref="I11:I33" si="2">I10-F11</f>
        <v>3585.6800000000007</v>
      </c>
    </row>
    <row r="12" spans="1:9" x14ac:dyDescent="0.25">
      <c r="A12" s="182"/>
      <c r="B12" s="1186">
        <f t="shared" si="1"/>
        <v>144</v>
      </c>
      <c r="C12" s="15">
        <v>2</v>
      </c>
      <c r="D12" s="69">
        <v>49.31</v>
      </c>
      <c r="E12" s="202">
        <v>44905</v>
      </c>
      <c r="F12" s="69">
        <f t="shared" si="0"/>
        <v>49.31</v>
      </c>
      <c r="G12" s="70" t="s">
        <v>672</v>
      </c>
      <c r="H12" s="71">
        <v>86</v>
      </c>
      <c r="I12" s="105">
        <f t="shared" si="2"/>
        <v>3536.3700000000008</v>
      </c>
    </row>
    <row r="13" spans="1:9" x14ac:dyDescent="0.25">
      <c r="A13" s="82" t="s">
        <v>33</v>
      </c>
      <c r="B13" s="1186">
        <f t="shared" si="1"/>
        <v>141</v>
      </c>
      <c r="C13" s="15">
        <v>3</v>
      </c>
      <c r="D13" s="69">
        <v>69.5</v>
      </c>
      <c r="E13" s="202">
        <v>44905</v>
      </c>
      <c r="F13" s="69">
        <f t="shared" si="0"/>
        <v>69.5</v>
      </c>
      <c r="G13" s="70" t="s">
        <v>677</v>
      </c>
      <c r="H13" s="71">
        <v>86</v>
      </c>
      <c r="I13" s="105">
        <f t="shared" si="2"/>
        <v>3466.8700000000008</v>
      </c>
    </row>
    <row r="14" spans="1:9" x14ac:dyDescent="0.25">
      <c r="A14" s="73"/>
      <c r="B14" s="1186">
        <f t="shared" si="1"/>
        <v>138</v>
      </c>
      <c r="C14" s="15">
        <v>3</v>
      </c>
      <c r="D14" s="69">
        <v>71.97</v>
      </c>
      <c r="E14" s="202">
        <v>44907</v>
      </c>
      <c r="F14" s="69">
        <f t="shared" si="0"/>
        <v>71.97</v>
      </c>
      <c r="G14" s="70" t="s">
        <v>681</v>
      </c>
      <c r="H14" s="71">
        <v>86</v>
      </c>
      <c r="I14" s="105">
        <f t="shared" si="2"/>
        <v>3394.900000000001</v>
      </c>
    </row>
    <row r="15" spans="1:9" x14ac:dyDescent="0.25">
      <c r="A15" s="73"/>
      <c r="B15" s="1186">
        <f t="shared" si="1"/>
        <v>137</v>
      </c>
      <c r="C15" s="15">
        <v>1</v>
      </c>
      <c r="D15" s="69">
        <v>25.01</v>
      </c>
      <c r="E15" s="202">
        <v>44908</v>
      </c>
      <c r="F15" s="69">
        <f t="shared" si="0"/>
        <v>25.01</v>
      </c>
      <c r="G15" s="70" t="s">
        <v>690</v>
      </c>
      <c r="H15" s="71">
        <v>86</v>
      </c>
      <c r="I15" s="105">
        <f t="shared" si="2"/>
        <v>3369.8900000000008</v>
      </c>
    </row>
    <row r="16" spans="1:9" x14ac:dyDescent="0.25">
      <c r="B16" s="1186">
        <f t="shared" si="1"/>
        <v>134</v>
      </c>
      <c r="C16" s="15">
        <v>3</v>
      </c>
      <c r="D16" s="69">
        <v>83.92</v>
      </c>
      <c r="E16" s="202">
        <v>44909</v>
      </c>
      <c r="F16" s="69">
        <f t="shared" si="0"/>
        <v>83.92</v>
      </c>
      <c r="G16" s="70" t="s">
        <v>701</v>
      </c>
      <c r="H16" s="71">
        <v>86</v>
      </c>
      <c r="I16" s="105">
        <f t="shared" si="2"/>
        <v>3285.9700000000007</v>
      </c>
    </row>
    <row r="17" spans="1:9" x14ac:dyDescent="0.25">
      <c r="B17" s="1186">
        <f t="shared" si="1"/>
        <v>133</v>
      </c>
      <c r="C17" s="15">
        <v>1</v>
      </c>
      <c r="D17" s="69">
        <v>24.35</v>
      </c>
      <c r="E17" s="202">
        <v>44910</v>
      </c>
      <c r="F17" s="69">
        <f t="shared" si="0"/>
        <v>24.35</v>
      </c>
      <c r="G17" s="70" t="s">
        <v>712</v>
      </c>
      <c r="H17" s="71">
        <v>86</v>
      </c>
      <c r="I17" s="105">
        <f t="shared" si="2"/>
        <v>3261.6200000000008</v>
      </c>
    </row>
    <row r="18" spans="1:9" x14ac:dyDescent="0.25">
      <c r="B18" s="1186">
        <f t="shared" si="1"/>
        <v>132</v>
      </c>
      <c r="C18" s="15">
        <v>1</v>
      </c>
      <c r="D18" s="69">
        <v>22.37</v>
      </c>
      <c r="E18" s="202">
        <v>44910</v>
      </c>
      <c r="F18" s="69">
        <f t="shared" si="0"/>
        <v>22.37</v>
      </c>
      <c r="G18" s="70" t="s">
        <v>713</v>
      </c>
      <c r="H18" s="71">
        <v>86</v>
      </c>
      <c r="I18" s="105">
        <f t="shared" si="2"/>
        <v>3239.2500000000009</v>
      </c>
    </row>
    <row r="19" spans="1:9" x14ac:dyDescent="0.25">
      <c r="B19" s="1186">
        <f t="shared" si="1"/>
        <v>131</v>
      </c>
      <c r="C19" s="15">
        <v>1</v>
      </c>
      <c r="D19" s="69">
        <v>20.51</v>
      </c>
      <c r="E19" s="202">
        <v>44910</v>
      </c>
      <c r="F19" s="69">
        <f t="shared" si="0"/>
        <v>20.51</v>
      </c>
      <c r="G19" s="70" t="s">
        <v>714</v>
      </c>
      <c r="H19" s="71">
        <v>86</v>
      </c>
      <c r="I19" s="105">
        <f t="shared" si="2"/>
        <v>3218.7400000000007</v>
      </c>
    </row>
    <row r="20" spans="1:9" x14ac:dyDescent="0.25">
      <c r="B20" s="1186">
        <f t="shared" si="1"/>
        <v>129</v>
      </c>
      <c r="C20" s="15">
        <v>2</v>
      </c>
      <c r="D20" s="69">
        <v>46.22</v>
      </c>
      <c r="E20" s="202">
        <v>44911</v>
      </c>
      <c r="F20" s="69">
        <f t="shared" si="0"/>
        <v>46.22</v>
      </c>
      <c r="G20" s="70" t="s">
        <v>725</v>
      </c>
      <c r="H20" s="71">
        <v>86</v>
      </c>
      <c r="I20" s="105">
        <f t="shared" si="2"/>
        <v>3172.5200000000009</v>
      </c>
    </row>
    <row r="21" spans="1:9" x14ac:dyDescent="0.25">
      <c r="A21" s="122"/>
      <c r="B21" s="1186">
        <f t="shared" si="1"/>
        <v>93</v>
      </c>
      <c r="C21" s="499">
        <v>36</v>
      </c>
      <c r="D21" s="69">
        <v>850.71</v>
      </c>
      <c r="E21" s="202">
        <v>44911</v>
      </c>
      <c r="F21" s="69">
        <f t="shared" si="0"/>
        <v>850.71</v>
      </c>
      <c r="G21" s="70" t="s">
        <v>729</v>
      </c>
      <c r="H21" s="71">
        <v>86</v>
      </c>
      <c r="I21" s="105">
        <f t="shared" si="2"/>
        <v>2321.8100000000009</v>
      </c>
    </row>
    <row r="22" spans="1:9" x14ac:dyDescent="0.25">
      <c r="A22" s="122"/>
      <c r="B22" s="1186">
        <f t="shared" si="1"/>
        <v>91</v>
      </c>
      <c r="C22" s="499">
        <v>2</v>
      </c>
      <c r="D22" s="69">
        <v>46.32</v>
      </c>
      <c r="E22" s="202">
        <v>44911</v>
      </c>
      <c r="F22" s="69">
        <f t="shared" si="0"/>
        <v>46.32</v>
      </c>
      <c r="G22" s="70" t="s">
        <v>733</v>
      </c>
      <c r="H22" s="71">
        <v>86</v>
      </c>
      <c r="I22" s="105">
        <f t="shared" si="2"/>
        <v>2275.4900000000007</v>
      </c>
    </row>
    <row r="23" spans="1:9" x14ac:dyDescent="0.25">
      <c r="A23" s="123"/>
      <c r="B23" s="1186">
        <f t="shared" si="1"/>
        <v>59</v>
      </c>
      <c r="C23" s="499">
        <v>32</v>
      </c>
      <c r="D23" s="69">
        <v>746.68</v>
      </c>
      <c r="E23" s="202">
        <v>44911</v>
      </c>
      <c r="F23" s="69">
        <f t="shared" si="0"/>
        <v>746.68</v>
      </c>
      <c r="G23" s="70" t="s">
        <v>735</v>
      </c>
      <c r="H23" s="71">
        <v>86</v>
      </c>
      <c r="I23" s="105">
        <f t="shared" si="2"/>
        <v>1528.8100000000009</v>
      </c>
    </row>
    <row r="24" spans="1:9" x14ac:dyDescent="0.25">
      <c r="A24" s="122"/>
      <c r="B24" s="1186">
        <f t="shared" si="1"/>
        <v>58</v>
      </c>
      <c r="C24" s="499">
        <v>1</v>
      </c>
      <c r="D24" s="69">
        <v>20.53</v>
      </c>
      <c r="E24" s="202">
        <v>44922</v>
      </c>
      <c r="F24" s="69">
        <f t="shared" si="0"/>
        <v>20.53</v>
      </c>
      <c r="G24" s="70" t="s">
        <v>835</v>
      </c>
      <c r="H24" s="71">
        <v>84</v>
      </c>
      <c r="I24" s="105">
        <f t="shared" si="2"/>
        <v>1508.2800000000009</v>
      </c>
    </row>
    <row r="25" spans="1:9" x14ac:dyDescent="0.25">
      <c r="A25" s="122"/>
      <c r="B25" s="1186">
        <f t="shared" si="1"/>
        <v>54</v>
      </c>
      <c r="C25" s="499">
        <v>4</v>
      </c>
      <c r="D25" s="69">
        <v>99.99</v>
      </c>
      <c r="E25" s="202">
        <v>44922</v>
      </c>
      <c r="F25" s="69">
        <f t="shared" si="0"/>
        <v>99.99</v>
      </c>
      <c r="G25" s="70" t="s">
        <v>836</v>
      </c>
      <c r="H25" s="71">
        <v>84</v>
      </c>
      <c r="I25" s="105">
        <f t="shared" si="2"/>
        <v>1408.2900000000009</v>
      </c>
    </row>
    <row r="26" spans="1:9" x14ac:dyDescent="0.25">
      <c r="A26" s="122"/>
      <c r="B26" s="1186">
        <f t="shared" si="1"/>
        <v>53</v>
      </c>
      <c r="C26" s="499">
        <v>1</v>
      </c>
      <c r="D26" s="69">
        <v>30.03</v>
      </c>
      <c r="E26" s="202">
        <v>44923</v>
      </c>
      <c r="F26" s="69">
        <f t="shared" si="0"/>
        <v>30.03</v>
      </c>
      <c r="G26" s="70" t="s">
        <v>837</v>
      </c>
      <c r="H26" s="71">
        <v>84</v>
      </c>
      <c r="I26" s="105">
        <f t="shared" si="2"/>
        <v>1378.2600000000009</v>
      </c>
    </row>
    <row r="27" spans="1:9" x14ac:dyDescent="0.25">
      <c r="A27" s="122"/>
      <c r="B27" s="1186">
        <f t="shared" si="1"/>
        <v>47</v>
      </c>
      <c r="C27" s="499">
        <v>6</v>
      </c>
      <c r="D27" s="69">
        <v>140.16</v>
      </c>
      <c r="E27" s="202">
        <v>44923</v>
      </c>
      <c r="F27" s="69">
        <f t="shared" si="0"/>
        <v>140.16</v>
      </c>
      <c r="G27" s="70" t="s">
        <v>839</v>
      </c>
      <c r="H27" s="71">
        <v>84</v>
      </c>
      <c r="I27" s="105">
        <f t="shared" si="2"/>
        <v>1238.1000000000008</v>
      </c>
    </row>
    <row r="28" spans="1:9" x14ac:dyDescent="0.25">
      <c r="A28" s="122"/>
      <c r="B28" s="1186">
        <f t="shared" si="1"/>
        <v>46</v>
      </c>
      <c r="C28" s="499">
        <v>1</v>
      </c>
      <c r="D28" s="69">
        <v>29.39</v>
      </c>
      <c r="E28" s="202">
        <v>44923</v>
      </c>
      <c r="F28" s="69">
        <f t="shared" si="0"/>
        <v>29.39</v>
      </c>
      <c r="G28" s="70" t="s">
        <v>840</v>
      </c>
      <c r="H28" s="71">
        <v>84</v>
      </c>
      <c r="I28" s="105">
        <f t="shared" si="2"/>
        <v>1208.7100000000007</v>
      </c>
    </row>
    <row r="29" spans="1:9" x14ac:dyDescent="0.25">
      <c r="A29" s="122"/>
      <c r="B29" s="1186">
        <f t="shared" si="1"/>
        <v>43</v>
      </c>
      <c r="C29" s="499">
        <v>3</v>
      </c>
      <c r="D29" s="69">
        <v>66.83</v>
      </c>
      <c r="E29" s="202">
        <v>44923</v>
      </c>
      <c r="F29" s="69">
        <f t="shared" si="0"/>
        <v>66.83</v>
      </c>
      <c r="G29" s="70" t="s">
        <v>841</v>
      </c>
      <c r="H29" s="71">
        <v>84</v>
      </c>
      <c r="I29" s="105">
        <f t="shared" si="2"/>
        <v>1141.8800000000008</v>
      </c>
    </row>
    <row r="30" spans="1:9" x14ac:dyDescent="0.25">
      <c r="A30" s="122"/>
      <c r="B30" s="1186">
        <f t="shared" si="1"/>
        <v>13</v>
      </c>
      <c r="C30" s="499">
        <v>30</v>
      </c>
      <c r="D30" s="69">
        <v>817.81</v>
      </c>
      <c r="E30" s="202">
        <v>44923</v>
      </c>
      <c r="F30" s="69">
        <f t="shared" si="0"/>
        <v>817.81</v>
      </c>
      <c r="G30" s="70" t="s">
        <v>805</v>
      </c>
      <c r="H30" s="71">
        <v>84</v>
      </c>
      <c r="I30" s="105">
        <f t="shared" si="2"/>
        <v>324.07000000000085</v>
      </c>
    </row>
    <row r="31" spans="1:9" x14ac:dyDescent="0.25">
      <c r="A31" s="122"/>
      <c r="B31" s="1186">
        <f t="shared" si="1"/>
        <v>3</v>
      </c>
      <c r="C31" s="499">
        <v>10</v>
      </c>
      <c r="D31" s="69">
        <v>250.44</v>
      </c>
      <c r="E31" s="202">
        <v>44923</v>
      </c>
      <c r="F31" s="69">
        <f t="shared" si="0"/>
        <v>250.44</v>
      </c>
      <c r="G31" s="70" t="s">
        <v>842</v>
      </c>
      <c r="H31" s="71">
        <v>84</v>
      </c>
      <c r="I31" s="105">
        <f t="shared" si="2"/>
        <v>73.630000000000848</v>
      </c>
    </row>
    <row r="32" spans="1:9" x14ac:dyDescent="0.25">
      <c r="A32" s="122"/>
      <c r="B32" s="1186">
        <f t="shared" si="1"/>
        <v>0</v>
      </c>
      <c r="C32" s="499">
        <v>3</v>
      </c>
      <c r="D32" s="69">
        <v>76.650000000000006</v>
      </c>
      <c r="E32" s="202">
        <v>44923</v>
      </c>
      <c r="F32" s="69">
        <f t="shared" si="0"/>
        <v>76.650000000000006</v>
      </c>
      <c r="G32" s="70" t="s">
        <v>842</v>
      </c>
      <c r="H32" s="71">
        <v>84</v>
      </c>
      <c r="I32" s="105">
        <f t="shared" si="2"/>
        <v>-3.0199999999991576</v>
      </c>
    </row>
    <row r="33" spans="1:9" x14ac:dyDescent="0.25">
      <c r="A33" s="122"/>
      <c r="B33" s="1186">
        <f t="shared" si="1"/>
        <v>0</v>
      </c>
      <c r="C33" s="15"/>
      <c r="D33" s="69"/>
      <c r="E33" s="202"/>
      <c r="F33" s="1165">
        <f t="shared" si="0"/>
        <v>0</v>
      </c>
      <c r="G33" s="1166"/>
      <c r="H33" s="1167"/>
      <c r="I33" s="1163">
        <f t="shared" si="2"/>
        <v>-3.0199999999991576</v>
      </c>
    </row>
    <row r="34" spans="1:9" ht="15.75" thickBot="1" x14ac:dyDescent="0.3">
      <c r="A34" s="122"/>
      <c r="B34" s="1187"/>
      <c r="C34" s="52"/>
      <c r="D34" s="107"/>
      <c r="E34" s="196"/>
      <c r="F34" s="1195"/>
      <c r="G34" s="1196"/>
      <c r="H34" s="1182"/>
      <c r="I34" s="672"/>
    </row>
    <row r="35" spans="1:9" ht="15.75" x14ac:dyDescent="0.25">
      <c r="C35" s="53">
        <f>SUM(C9:C34)</f>
        <v>184</v>
      </c>
      <c r="D35" s="500">
        <f>SUM(D9:D34)</f>
        <v>4478.9499999999989</v>
      </c>
      <c r="F35" s="6">
        <f>SUM(F9:F34)</f>
        <v>4478.9499999999989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</f>
        <v>0</v>
      </c>
    </row>
    <row r="39" spans="1:9" ht="15.75" thickBot="1" x14ac:dyDescent="0.3"/>
    <row r="40" spans="1:9" ht="15.75" thickBot="1" x14ac:dyDescent="0.3">
      <c r="C40" s="1388" t="s">
        <v>11</v>
      </c>
      <c r="D40" s="1389"/>
      <c r="E40" s="57">
        <f>E5+E6-F35+E7</f>
        <v>-3.0199999999986176</v>
      </c>
      <c r="F40" s="73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J40"/>
  <sheetViews>
    <sheetView workbookViewId="0">
      <selection activeCell="C16" sqref="C16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0" ht="40.5" x14ac:dyDescent="0.55000000000000004">
      <c r="A1" s="1390" t="s">
        <v>143</v>
      </c>
      <c r="B1" s="1390"/>
      <c r="C1" s="1390"/>
      <c r="D1" s="1390"/>
      <c r="E1" s="1390"/>
      <c r="F1" s="1390"/>
      <c r="G1" s="1390"/>
      <c r="H1" s="11">
        <v>1</v>
      </c>
      <c r="I1" s="242"/>
    </row>
    <row r="2" spans="1:10" ht="15.75" thickBot="1" x14ac:dyDescent="0.3">
      <c r="A2" t="s">
        <v>36</v>
      </c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5"/>
    </row>
    <row r="4" spans="1:10" ht="15.75" thickTop="1" x14ac:dyDescent="0.25">
      <c r="A4" s="12"/>
      <c r="B4" s="12"/>
      <c r="C4" s="12"/>
      <c r="D4" s="73"/>
      <c r="E4" s="59"/>
      <c r="F4" s="62"/>
      <c r="G4" s="155"/>
      <c r="H4" s="155"/>
      <c r="I4" s="155"/>
    </row>
    <row r="5" spans="1:10" x14ac:dyDescent="0.25">
      <c r="A5" s="1398"/>
      <c r="B5" s="1400" t="s">
        <v>90</v>
      </c>
      <c r="C5" s="134"/>
      <c r="D5" s="134"/>
      <c r="E5" s="78"/>
      <c r="F5" s="62"/>
      <c r="G5" s="5"/>
      <c r="H5" t="s">
        <v>41</v>
      </c>
    </row>
    <row r="6" spans="1:10" ht="15.75" x14ac:dyDescent="0.25">
      <c r="A6" s="1398"/>
      <c r="B6" s="1400"/>
      <c r="C6" s="468"/>
      <c r="D6" s="228"/>
      <c r="E6" s="78"/>
      <c r="F6" s="62"/>
      <c r="G6" s="47"/>
      <c r="H6" s="7">
        <f>E6-G6+E7+E5-G5+E4+E8</f>
        <v>0</v>
      </c>
      <c r="I6" s="5"/>
    </row>
    <row r="7" spans="1:10" x14ac:dyDescent="0.25">
      <c r="B7" s="148"/>
      <c r="C7" s="233"/>
      <c r="D7" s="134"/>
      <c r="E7" s="78"/>
      <c r="F7" s="62"/>
    </row>
    <row r="8" spans="1:10" ht="15.75" thickBot="1" x14ac:dyDescent="0.3">
      <c r="B8" s="148"/>
      <c r="C8" s="233"/>
      <c r="D8" s="134"/>
      <c r="E8" s="78"/>
      <c r="F8" s="62"/>
    </row>
    <row r="9" spans="1:10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10" ht="15.75" thickTop="1" x14ac:dyDescent="0.25">
      <c r="A10" s="80" t="s">
        <v>32</v>
      </c>
      <c r="B10" s="234">
        <f>F4+F5+F6+F7-C10+F8</f>
        <v>0</v>
      </c>
      <c r="C10" s="15"/>
      <c r="D10" s="69"/>
      <c r="E10" s="727"/>
      <c r="F10" s="697">
        <f t="shared" ref="F10:F33" si="0">D10</f>
        <v>0</v>
      </c>
      <c r="G10" s="695"/>
      <c r="H10" s="696"/>
      <c r="I10" s="728">
        <f>E4+E5+E6+E7-F10+E8</f>
        <v>0</v>
      </c>
      <c r="J10" s="729"/>
    </row>
    <row r="11" spans="1:10" x14ac:dyDescent="0.25">
      <c r="A11" s="194"/>
      <c r="B11" s="234">
        <f>B10-C11</f>
        <v>0</v>
      </c>
      <c r="C11" s="15"/>
      <c r="D11" s="69"/>
      <c r="E11" s="727"/>
      <c r="F11" s="697">
        <f t="shared" si="0"/>
        <v>0</v>
      </c>
      <c r="G11" s="695"/>
      <c r="H11" s="696"/>
      <c r="I11" s="728">
        <f>I10-F11</f>
        <v>0</v>
      </c>
      <c r="J11" s="729"/>
    </row>
    <row r="12" spans="1:10" x14ac:dyDescent="0.25">
      <c r="A12" s="182"/>
      <c r="B12" s="234">
        <f t="shared" ref="B12:B28" si="1">B11-C12</f>
        <v>0</v>
      </c>
      <c r="C12" s="15"/>
      <c r="D12" s="69"/>
      <c r="E12" s="727"/>
      <c r="F12" s="697">
        <f t="shared" si="0"/>
        <v>0</v>
      </c>
      <c r="G12" s="695"/>
      <c r="H12" s="696"/>
      <c r="I12" s="728">
        <f t="shared" ref="I12:I30" si="2">I11-F12</f>
        <v>0</v>
      </c>
      <c r="J12" s="729"/>
    </row>
    <row r="13" spans="1:10" x14ac:dyDescent="0.25">
      <c r="A13" s="82" t="s">
        <v>33</v>
      </c>
      <c r="B13" s="234">
        <f t="shared" si="1"/>
        <v>0</v>
      </c>
      <c r="C13" s="15"/>
      <c r="D13" s="69"/>
      <c r="E13" s="727"/>
      <c r="F13" s="697">
        <f t="shared" si="0"/>
        <v>0</v>
      </c>
      <c r="G13" s="695"/>
      <c r="H13" s="696"/>
      <c r="I13" s="728">
        <f t="shared" si="2"/>
        <v>0</v>
      </c>
      <c r="J13" s="729"/>
    </row>
    <row r="14" spans="1:10" x14ac:dyDescent="0.25">
      <c r="A14" s="73"/>
      <c r="B14" s="234">
        <f t="shared" si="1"/>
        <v>0</v>
      </c>
      <c r="C14" s="15"/>
      <c r="D14" s="69"/>
      <c r="E14" s="727"/>
      <c r="F14" s="697">
        <f t="shared" si="0"/>
        <v>0</v>
      </c>
      <c r="G14" s="695"/>
      <c r="H14" s="696"/>
      <c r="I14" s="728">
        <f t="shared" si="2"/>
        <v>0</v>
      </c>
      <c r="J14" s="729"/>
    </row>
    <row r="15" spans="1:10" x14ac:dyDescent="0.25">
      <c r="A15" s="73"/>
      <c r="B15" s="234">
        <f t="shared" si="1"/>
        <v>0</v>
      </c>
      <c r="C15" s="15"/>
      <c r="D15" s="69"/>
      <c r="E15" s="727"/>
      <c r="F15" s="697">
        <f t="shared" si="0"/>
        <v>0</v>
      </c>
      <c r="G15" s="695"/>
      <c r="H15" s="696"/>
      <c r="I15" s="728">
        <f t="shared" si="2"/>
        <v>0</v>
      </c>
      <c r="J15" s="729"/>
    </row>
    <row r="16" spans="1:10" x14ac:dyDescent="0.25">
      <c r="B16" s="234">
        <f t="shared" si="1"/>
        <v>0</v>
      </c>
      <c r="C16" s="15"/>
      <c r="D16" s="69"/>
      <c r="E16" s="727"/>
      <c r="F16" s="697">
        <f t="shared" si="0"/>
        <v>0</v>
      </c>
      <c r="G16" s="695"/>
      <c r="H16" s="696"/>
      <c r="I16" s="728">
        <f t="shared" si="2"/>
        <v>0</v>
      </c>
      <c r="J16" s="729"/>
    </row>
    <row r="17" spans="1:10" x14ac:dyDescent="0.25">
      <c r="B17" s="234">
        <f t="shared" si="1"/>
        <v>0</v>
      </c>
      <c r="C17" s="15"/>
      <c r="D17" s="69"/>
      <c r="E17" s="727"/>
      <c r="F17" s="697">
        <f t="shared" si="0"/>
        <v>0</v>
      </c>
      <c r="G17" s="695"/>
      <c r="H17" s="696"/>
      <c r="I17" s="728">
        <f t="shared" si="2"/>
        <v>0</v>
      </c>
      <c r="J17" s="729"/>
    </row>
    <row r="18" spans="1:10" x14ac:dyDescent="0.25">
      <c r="A18" s="122"/>
      <c r="B18" s="234">
        <f t="shared" si="1"/>
        <v>0</v>
      </c>
      <c r="C18" s="15"/>
      <c r="D18" s="69"/>
      <c r="E18" s="202"/>
      <c r="F18" s="69">
        <f t="shared" si="0"/>
        <v>0</v>
      </c>
      <c r="G18" s="70"/>
      <c r="H18" s="71"/>
      <c r="I18" s="205">
        <f t="shared" si="2"/>
        <v>0</v>
      </c>
    </row>
    <row r="19" spans="1:10" x14ac:dyDescent="0.25">
      <c r="A19" s="122"/>
      <c r="B19" s="234">
        <f t="shared" si="1"/>
        <v>0</v>
      </c>
      <c r="C19" s="15"/>
      <c r="D19" s="69"/>
      <c r="E19" s="202"/>
      <c r="F19" s="69">
        <f t="shared" si="0"/>
        <v>0</v>
      </c>
      <c r="G19" s="70"/>
      <c r="H19" s="71"/>
      <c r="I19" s="205">
        <f t="shared" si="2"/>
        <v>0</v>
      </c>
    </row>
    <row r="20" spans="1:10" x14ac:dyDescent="0.25">
      <c r="A20" s="122"/>
      <c r="B20" s="234">
        <f t="shared" si="1"/>
        <v>0</v>
      </c>
      <c r="C20" s="15"/>
      <c r="D20" s="69"/>
      <c r="E20" s="202"/>
      <c r="F20" s="69">
        <f t="shared" si="0"/>
        <v>0</v>
      </c>
      <c r="G20" s="70"/>
      <c r="H20" s="71"/>
      <c r="I20" s="205">
        <f t="shared" si="2"/>
        <v>0</v>
      </c>
    </row>
    <row r="21" spans="1:10" x14ac:dyDescent="0.25">
      <c r="A21" s="122"/>
      <c r="B21" s="234">
        <f t="shared" si="1"/>
        <v>0</v>
      </c>
      <c r="C21" s="15"/>
      <c r="D21" s="69"/>
      <c r="E21" s="202"/>
      <c r="F21" s="69">
        <f t="shared" si="0"/>
        <v>0</v>
      </c>
      <c r="G21" s="70"/>
      <c r="H21" s="71"/>
      <c r="I21" s="205">
        <f t="shared" si="2"/>
        <v>0</v>
      </c>
    </row>
    <row r="22" spans="1:10" x14ac:dyDescent="0.25">
      <c r="A22" s="122"/>
      <c r="B22" s="234">
        <f t="shared" si="1"/>
        <v>0</v>
      </c>
      <c r="C22" s="15"/>
      <c r="D22" s="69"/>
      <c r="E22" s="202"/>
      <c r="F22" s="69">
        <f t="shared" si="0"/>
        <v>0</v>
      </c>
      <c r="G22" s="70"/>
      <c r="H22" s="71"/>
      <c r="I22" s="205">
        <f t="shared" si="2"/>
        <v>0</v>
      </c>
    </row>
    <row r="23" spans="1:10" x14ac:dyDescent="0.25">
      <c r="A23" s="123"/>
      <c r="B23" s="234">
        <f t="shared" si="1"/>
        <v>0</v>
      </c>
      <c r="C23" s="15"/>
      <c r="D23" s="69"/>
      <c r="E23" s="202"/>
      <c r="F23" s="69">
        <f t="shared" si="0"/>
        <v>0</v>
      </c>
      <c r="G23" s="70"/>
      <c r="H23" s="71"/>
      <c r="I23" s="205">
        <f t="shared" si="2"/>
        <v>0</v>
      </c>
    </row>
    <row r="24" spans="1:10" x14ac:dyDescent="0.25">
      <c r="A24" s="122"/>
      <c r="B24" s="234">
        <f t="shared" si="1"/>
        <v>0</v>
      </c>
      <c r="C24" s="15"/>
      <c r="D24" s="69"/>
      <c r="E24" s="202"/>
      <c r="F24" s="69">
        <f t="shared" si="0"/>
        <v>0</v>
      </c>
      <c r="G24" s="70"/>
      <c r="H24" s="71"/>
      <c r="I24" s="205">
        <f t="shared" si="2"/>
        <v>0</v>
      </c>
    </row>
    <row r="25" spans="1:10" x14ac:dyDescent="0.25">
      <c r="A25" s="122"/>
      <c r="B25" s="234">
        <f t="shared" si="1"/>
        <v>0</v>
      </c>
      <c r="C25" s="15"/>
      <c r="D25" s="69"/>
      <c r="E25" s="202"/>
      <c r="F25" s="69">
        <f t="shared" si="0"/>
        <v>0</v>
      </c>
      <c r="G25" s="70"/>
      <c r="H25" s="71"/>
      <c r="I25" s="205">
        <f t="shared" si="2"/>
        <v>0</v>
      </c>
    </row>
    <row r="26" spans="1:10" x14ac:dyDescent="0.25">
      <c r="A26" s="122"/>
      <c r="B26" s="234">
        <f t="shared" si="1"/>
        <v>0</v>
      </c>
      <c r="C26" s="15"/>
      <c r="D26" s="69"/>
      <c r="E26" s="202"/>
      <c r="F26" s="69">
        <f t="shared" si="0"/>
        <v>0</v>
      </c>
      <c r="G26" s="70"/>
      <c r="H26" s="71"/>
      <c r="I26" s="205">
        <f t="shared" si="2"/>
        <v>0</v>
      </c>
    </row>
    <row r="27" spans="1:10" x14ac:dyDescent="0.25">
      <c r="A27" s="122"/>
      <c r="B27" s="234">
        <f t="shared" si="1"/>
        <v>0</v>
      </c>
      <c r="C27" s="15"/>
      <c r="D27" s="69"/>
      <c r="E27" s="202"/>
      <c r="F27" s="69">
        <v>0</v>
      </c>
      <c r="G27" s="70"/>
      <c r="H27" s="71"/>
      <c r="I27" s="205">
        <f t="shared" si="2"/>
        <v>0</v>
      </c>
    </row>
    <row r="28" spans="1:10" x14ac:dyDescent="0.25">
      <c r="A28" s="122"/>
      <c r="B28" s="234">
        <f t="shared" si="1"/>
        <v>0</v>
      </c>
      <c r="C28" s="15"/>
      <c r="D28" s="69"/>
      <c r="E28" s="202"/>
      <c r="F28" s="69">
        <f t="shared" si="0"/>
        <v>0</v>
      </c>
      <c r="G28" s="70"/>
      <c r="H28" s="71"/>
      <c r="I28" s="205">
        <f t="shared" si="2"/>
        <v>0</v>
      </c>
    </row>
    <row r="29" spans="1:10" x14ac:dyDescent="0.25">
      <c r="A29" s="122"/>
      <c r="B29" s="234"/>
      <c r="C29" s="15"/>
      <c r="D29" s="69"/>
      <c r="E29" s="202"/>
      <c r="F29" s="69">
        <f t="shared" si="0"/>
        <v>0</v>
      </c>
      <c r="G29" s="70"/>
      <c r="H29" s="71"/>
      <c r="I29" s="205">
        <f t="shared" si="2"/>
        <v>0</v>
      </c>
    </row>
    <row r="30" spans="1:10" x14ac:dyDescent="0.25">
      <c r="A30" s="122"/>
      <c r="B30" s="234"/>
      <c r="C30" s="15"/>
      <c r="D30" s="69"/>
      <c r="E30" s="202"/>
      <c r="F30" s="69">
        <f t="shared" si="0"/>
        <v>0</v>
      </c>
      <c r="G30" s="70"/>
      <c r="H30" s="71"/>
      <c r="I30" s="205">
        <f t="shared" si="2"/>
        <v>0</v>
      </c>
    </row>
    <row r="31" spans="1:10" x14ac:dyDescent="0.25">
      <c r="A31" s="122"/>
      <c r="B31" s="234"/>
      <c r="C31" s="15"/>
      <c r="D31" s="69"/>
      <c r="E31" s="202"/>
      <c r="F31" s="69">
        <f t="shared" si="0"/>
        <v>0</v>
      </c>
      <c r="G31" s="70"/>
      <c r="H31" s="71"/>
      <c r="I31" s="71"/>
    </row>
    <row r="32" spans="1:10" x14ac:dyDescent="0.25">
      <c r="A32" s="122"/>
      <c r="B32" s="234"/>
      <c r="C32" s="15"/>
      <c r="D32" s="69"/>
      <c r="E32" s="202"/>
      <c r="F32" s="69">
        <f t="shared" si="0"/>
        <v>0</v>
      </c>
      <c r="G32" s="70"/>
      <c r="H32" s="71"/>
      <c r="I32" s="71"/>
    </row>
    <row r="33" spans="1:9" x14ac:dyDescent="0.25">
      <c r="A33" s="122"/>
      <c r="B33" s="83"/>
      <c r="C33" s="15"/>
      <c r="D33" s="69"/>
      <c r="E33" s="202"/>
      <c r="F33" s="69">
        <f t="shared" si="0"/>
        <v>0</v>
      </c>
      <c r="G33" s="70"/>
      <c r="H33" s="71"/>
      <c r="I33" s="71"/>
    </row>
    <row r="34" spans="1:9" ht="15.75" thickBot="1" x14ac:dyDescent="0.3">
      <c r="A34" s="122"/>
      <c r="B34" s="16"/>
      <c r="C34" s="52"/>
      <c r="D34" s="107"/>
      <c r="E34" s="196"/>
      <c r="F34" s="103"/>
      <c r="G34" s="104"/>
      <c r="H34" s="60"/>
      <c r="I34" s="60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0</v>
      </c>
    </row>
    <row r="39" spans="1:9" ht="15.75" thickBot="1" x14ac:dyDescent="0.3"/>
    <row r="40" spans="1:9" ht="15.75" thickBot="1" x14ac:dyDescent="0.3">
      <c r="C40" s="1388" t="s">
        <v>11</v>
      </c>
      <c r="D40" s="1389"/>
      <c r="E40" s="57">
        <f>E4+E5+E6+E7-F35</f>
        <v>0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40"/>
  <sheetViews>
    <sheetView workbookViewId="0">
      <pane ySplit="9" topLeftCell="A10" activePane="bottomLeft" state="frozen"/>
      <selection pane="bottomLeft" activeCell="G18" sqref="G18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  <col min="9" max="9" width="11.42578125" style="565"/>
  </cols>
  <sheetData>
    <row r="1" spans="1:9" ht="40.5" x14ac:dyDescent="0.55000000000000004">
      <c r="A1" s="1386" t="s">
        <v>322</v>
      </c>
      <c r="B1" s="1386"/>
      <c r="C1" s="1386"/>
      <c r="D1" s="1386"/>
      <c r="E1" s="1386"/>
      <c r="F1" s="1386"/>
      <c r="G1" s="1386"/>
      <c r="H1" s="11">
        <v>1</v>
      </c>
      <c r="I1" s="564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566"/>
    </row>
    <row r="4" spans="1:9" ht="15.75" thickTop="1" x14ac:dyDescent="0.25">
      <c r="A4" s="12"/>
      <c r="B4" s="1401" t="s">
        <v>127</v>
      </c>
      <c r="C4" s="12"/>
      <c r="D4" s="73"/>
      <c r="E4" s="59"/>
      <c r="F4" s="62"/>
      <c r="G4" s="155"/>
      <c r="H4" s="155"/>
      <c r="I4" s="566"/>
    </row>
    <row r="5" spans="1:9" ht="15" customHeight="1" x14ac:dyDescent="0.25">
      <c r="A5" s="1391" t="s">
        <v>52</v>
      </c>
      <c r="B5" s="1402"/>
      <c r="C5" s="233">
        <v>84</v>
      </c>
      <c r="D5" s="134">
        <v>44846</v>
      </c>
      <c r="E5" s="78">
        <v>1981.82</v>
      </c>
      <c r="F5" s="62">
        <v>79</v>
      </c>
      <c r="G5" s="5"/>
      <c r="H5" t="s">
        <v>41</v>
      </c>
    </row>
    <row r="6" spans="1:9" ht="15.75" x14ac:dyDescent="0.25">
      <c r="A6" s="1391"/>
      <c r="B6" s="1402"/>
      <c r="C6" s="468"/>
      <c r="D6" s="228"/>
      <c r="E6" s="78"/>
      <c r="F6" s="62"/>
      <c r="G6" s="47">
        <f>F35</f>
        <v>819.21</v>
      </c>
      <c r="H6" s="7">
        <f>E6-G6+E7+E5-G5+E4+E8</f>
        <v>1162.6099999999999</v>
      </c>
      <c r="I6" s="567"/>
    </row>
    <row r="7" spans="1:9" x14ac:dyDescent="0.25">
      <c r="B7" s="148"/>
      <c r="C7" s="233"/>
      <c r="D7" s="134"/>
      <c r="E7" s="78"/>
      <c r="F7" s="62"/>
    </row>
    <row r="8" spans="1:9" ht="15.75" thickBot="1" x14ac:dyDescent="0.3">
      <c r="B8" s="148"/>
      <c r="C8" s="233"/>
      <c r="D8" s="134"/>
      <c r="E8" s="78"/>
      <c r="F8" s="62"/>
    </row>
    <row r="9" spans="1:9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9" ht="15.75" thickTop="1" x14ac:dyDescent="0.25">
      <c r="A10" s="80" t="s">
        <v>32</v>
      </c>
      <c r="B10" s="234">
        <f>F4+F5+F6+F7-C10+F8</f>
        <v>78</v>
      </c>
      <c r="C10" s="15">
        <v>1</v>
      </c>
      <c r="D10" s="69">
        <v>27.18</v>
      </c>
      <c r="E10" s="202">
        <v>44847</v>
      </c>
      <c r="F10" s="69">
        <f t="shared" ref="F10:F26" si="0">D10</f>
        <v>27.18</v>
      </c>
      <c r="G10" s="70" t="s">
        <v>194</v>
      </c>
      <c r="H10" s="71">
        <v>86</v>
      </c>
      <c r="I10" s="60">
        <f>E4+E5+E6+E7-F10+E8</f>
        <v>1954.6399999999999</v>
      </c>
    </row>
    <row r="11" spans="1:9" x14ac:dyDescent="0.25">
      <c r="A11" s="194"/>
      <c r="B11" s="234">
        <f>B10-C11</f>
        <v>74</v>
      </c>
      <c r="C11" s="15">
        <v>4</v>
      </c>
      <c r="D11" s="69">
        <v>102.5</v>
      </c>
      <c r="E11" s="202">
        <v>44848</v>
      </c>
      <c r="F11" s="69">
        <f t="shared" si="0"/>
        <v>102.5</v>
      </c>
      <c r="G11" s="70" t="s">
        <v>196</v>
      </c>
      <c r="H11" s="71">
        <v>86</v>
      </c>
      <c r="I11" s="60">
        <f>I10-F11</f>
        <v>1852.1399999999999</v>
      </c>
    </row>
    <row r="12" spans="1:9" x14ac:dyDescent="0.25">
      <c r="A12" s="182"/>
      <c r="B12" s="234">
        <f t="shared" ref="B12:B28" si="1">B11-C12</f>
        <v>70</v>
      </c>
      <c r="C12" s="15">
        <v>4</v>
      </c>
      <c r="D12" s="69">
        <v>101.24</v>
      </c>
      <c r="E12" s="202">
        <v>44860</v>
      </c>
      <c r="F12" s="69">
        <f t="shared" si="0"/>
        <v>101.24</v>
      </c>
      <c r="G12" s="70" t="s">
        <v>211</v>
      </c>
      <c r="H12" s="71">
        <v>86</v>
      </c>
      <c r="I12" s="60">
        <f t="shared" ref="I12:I30" si="2">I11-F12</f>
        <v>1750.8999999999999</v>
      </c>
    </row>
    <row r="13" spans="1:9" x14ac:dyDescent="0.25">
      <c r="A13" s="82" t="s">
        <v>33</v>
      </c>
      <c r="B13" s="835">
        <f t="shared" si="1"/>
        <v>69</v>
      </c>
      <c r="C13" s="15">
        <v>1</v>
      </c>
      <c r="D13" s="69">
        <v>23.82</v>
      </c>
      <c r="E13" s="202">
        <v>44860</v>
      </c>
      <c r="F13" s="69">
        <f t="shared" si="0"/>
        <v>23.82</v>
      </c>
      <c r="G13" s="70" t="s">
        <v>212</v>
      </c>
      <c r="H13" s="71">
        <v>84</v>
      </c>
      <c r="I13" s="834">
        <f t="shared" si="2"/>
        <v>1727.08</v>
      </c>
    </row>
    <row r="14" spans="1:9" x14ac:dyDescent="0.25">
      <c r="A14" s="73"/>
      <c r="B14" s="234">
        <f t="shared" si="1"/>
        <v>65</v>
      </c>
      <c r="C14" s="15">
        <v>4</v>
      </c>
      <c r="D14" s="829">
        <v>106</v>
      </c>
      <c r="E14" s="830">
        <v>44869</v>
      </c>
      <c r="F14" s="829">
        <f t="shared" si="0"/>
        <v>106</v>
      </c>
      <c r="G14" s="831" t="s">
        <v>241</v>
      </c>
      <c r="H14" s="832">
        <v>86</v>
      </c>
      <c r="I14" s="60">
        <f t="shared" si="2"/>
        <v>1621.08</v>
      </c>
    </row>
    <row r="15" spans="1:9" x14ac:dyDescent="0.25">
      <c r="A15" s="73"/>
      <c r="B15" s="835">
        <f t="shared" si="1"/>
        <v>61</v>
      </c>
      <c r="C15" s="15">
        <v>4</v>
      </c>
      <c r="D15" s="829">
        <v>102.73</v>
      </c>
      <c r="E15" s="830">
        <v>44877</v>
      </c>
      <c r="F15" s="829">
        <f t="shared" si="0"/>
        <v>102.73</v>
      </c>
      <c r="G15" s="831" t="s">
        <v>269</v>
      </c>
      <c r="H15" s="832">
        <v>86</v>
      </c>
      <c r="I15" s="834">
        <f t="shared" si="2"/>
        <v>1518.35</v>
      </c>
    </row>
    <row r="16" spans="1:9" x14ac:dyDescent="0.25">
      <c r="B16" s="234">
        <f t="shared" si="1"/>
        <v>52</v>
      </c>
      <c r="C16" s="15">
        <v>9</v>
      </c>
      <c r="D16" s="534">
        <v>235.66</v>
      </c>
      <c r="E16" s="988">
        <v>44905</v>
      </c>
      <c r="F16" s="984">
        <f t="shared" si="0"/>
        <v>235.66</v>
      </c>
      <c r="G16" s="985" t="s">
        <v>666</v>
      </c>
      <c r="H16" s="986">
        <v>86</v>
      </c>
      <c r="I16" s="730">
        <f t="shared" si="2"/>
        <v>1282.6899999999998</v>
      </c>
    </row>
    <row r="17" spans="1:9" x14ac:dyDescent="0.25">
      <c r="B17" s="234">
        <f t="shared" si="1"/>
        <v>47</v>
      </c>
      <c r="C17" s="15">
        <v>5</v>
      </c>
      <c r="D17" s="534">
        <v>120.08</v>
      </c>
      <c r="E17" s="988">
        <v>44910</v>
      </c>
      <c r="F17" s="984">
        <f t="shared" si="0"/>
        <v>120.08</v>
      </c>
      <c r="G17" s="985" t="s">
        <v>719</v>
      </c>
      <c r="H17" s="986">
        <v>86</v>
      </c>
      <c r="I17" s="730">
        <f t="shared" si="2"/>
        <v>1162.6099999999999</v>
      </c>
    </row>
    <row r="18" spans="1:9" x14ac:dyDescent="0.25">
      <c r="A18" s="122"/>
      <c r="B18" s="234">
        <f t="shared" si="1"/>
        <v>47</v>
      </c>
      <c r="C18" s="15"/>
      <c r="D18" s="534"/>
      <c r="E18" s="988"/>
      <c r="F18" s="984">
        <f t="shared" si="0"/>
        <v>0</v>
      </c>
      <c r="G18" s="985"/>
      <c r="H18" s="986"/>
      <c r="I18" s="730">
        <f t="shared" si="2"/>
        <v>1162.6099999999999</v>
      </c>
    </row>
    <row r="19" spans="1:9" x14ac:dyDescent="0.25">
      <c r="A19" s="122"/>
      <c r="B19" s="234">
        <f t="shared" si="1"/>
        <v>47</v>
      </c>
      <c r="C19" s="15"/>
      <c r="D19" s="534"/>
      <c r="E19" s="988"/>
      <c r="F19" s="984">
        <f t="shared" si="0"/>
        <v>0</v>
      </c>
      <c r="G19" s="985"/>
      <c r="H19" s="986"/>
      <c r="I19" s="730">
        <f t="shared" si="2"/>
        <v>1162.6099999999999</v>
      </c>
    </row>
    <row r="20" spans="1:9" x14ac:dyDescent="0.25">
      <c r="A20" s="122"/>
      <c r="B20" s="234">
        <f t="shared" si="1"/>
        <v>47</v>
      </c>
      <c r="C20" s="15"/>
      <c r="D20" s="534"/>
      <c r="E20" s="988"/>
      <c r="F20" s="984">
        <f t="shared" si="0"/>
        <v>0</v>
      </c>
      <c r="G20" s="985"/>
      <c r="H20" s="986"/>
      <c r="I20" s="730">
        <f t="shared" si="2"/>
        <v>1162.6099999999999</v>
      </c>
    </row>
    <row r="21" spans="1:9" x14ac:dyDescent="0.25">
      <c r="A21" s="122"/>
      <c r="B21" s="234">
        <f t="shared" si="1"/>
        <v>47</v>
      </c>
      <c r="C21" s="15"/>
      <c r="D21" s="534"/>
      <c r="E21" s="988"/>
      <c r="F21" s="984">
        <f t="shared" si="0"/>
        <v>0</v>
      </c>
      <c r="G21" s="985"/>
      <c r="H21" s="986"/>
      <c r="I21" s="730">
        <f t="shared" si="2"/>
        <v>1162.6099999999999</v>
      </c>
    </row>
    <row r="22" spans="1:9" x14ac:dyDescent="0.25">
      <c r="A22" s="122"/>
      <c r="B22" s="234">
        <f t="shared" si="1"/>
        <v>47</v>
      </c>
      <c r="C22" s="15"/>
      <c r="D22" s="534"/>
      <c r="E22" s="988"/>
      <c r="F22" s="984">
        <f t="shared" si="0"/>
        <v>0</v>
      </c>
      <c r="G22" s="985"/>
      <c r="H22" s="986"/>
      <c r="I22" s="730">
        <f t="shared" si="2"/>
        <v>1162.6099999999999</v>
      </c>
    </row>
    <row r="23" spans="1:9" x14ac:dyDescent="0.25">
      <c r="A23" s="123"/>
      <c r="B23" s="234">
        <f t="shared" si="1"/>
        <v>47</v>
      </c>
      <c r="C23" s="15"/>
      <c r="D23" s="534"/>
      <c r="E23" s="988"/>
      <c r="F23" s="984">
        <f t="shared" si="0"/>
        <v>0</v>
      </c>
      <c r="G23" s="985"/>
      <c r="H23" s="986"/>
      <c r="I23" s="730">
        <f t="shared" si="2"/>
        <v>1162.6099999999999</v>
      </c>
    </row>
    <row r="24" spans="1:9" x14ac:dyDescent="0.25">
      <c r="A24" s="122"/>
      <c r="B24" s="234">
        <f t="shared" si="1"/>
        <v>47</v>
      </c>
      <c r="C24" s="15"/>
      <c r="D24" s="534"/>
      <c r="E24" s="988"/>
      <c r="F24" s="984">
        <f t="shared" si="0"/>
        <v>0</v>
      </c>
      <c r="G24" s="985"/>
      <c r="H24" s="986"/>
      <c r="I24" s="730">
        <f t="shared" si="2"/>
        <v>1162.6099999999999</v>
      </c>
    </row>
    <row r="25" spans="1:9" x14ac:dyDescent="0.25">
      <c r="A25" s="122"/>
      <c r="B25" s="234">
        <f t="shared" si="1"/>
        <v>47</v>
      </c>
      <c r="C25" s="15"/>
      <c r="D25" s="534"/>
      <c r="E25" s="988"/>
      <c r="F25" s="984">
        <f t="shared" si="0"/>
        <v>0</v>
      </c>
      <c r="G25" s="985"/>
      <c r="H25" s="986"/>
      <c r="I25" s="730">
        <f t="shared" si="2"/>
        <v>1162.6099999999999</v>
      </c>
    </row>
    <row r="26" spans="1:9" x14ac:dyDescent="0.25">
      <c r="A26" s="122"/>
      <c r="B26" s="234">
        <f t="shared" si="1"/>
        <v>47</v>
      </c>
      <c r="C26" s="15"/>
      <c r="D26" s="534"/>
      <c r="E26" s="988"/>
      <c r="F26" s="984">
        <f t="shared" si="0"/>
        <v>0</v>
      </c>
      <c r="G26" s="985"/>
      <c r="H26" s="986"/>
      <c r="I26" s="730">
        <f t="shared" si="2"/>
        <v>1162.6099999999999</v>
      </c>
    </row>
    <row r="27" spans="1:9" x14ac:dyDescent="0.25">
      <c r="A27" s="122"/>
      <c r="B27" s="234">
        <f t="shared" si="1"/>
        <v>47</v>
      </c>
      <c r="C27" s="15"/>
      <c r="D27" s="534"/>
      <c r="E27" s="988"/>
      <c r="F27" s="984">
        <v>0</v>
      </c>
      <c r="G27" s="985"/>
      <c r="H27" s="986"/>
      <c r="I27" s="730">
        <f t="shared" si="2"/>
        <v>1162.6099999999999</v>
      </c>
    </row>
    <row r="28" spans="1:9" x14ac:dyDescent="0.25">
      <c r="A28" s="122"/>
      <c r="B28" s="234">
        <f t="shared" si="1"/>
        <v>47</v>
      </c>
      <c r="C28" s="15"/>
      <c r="D28" s="534"/>
      <c r="E28" s="726"/>
      <c r="F28" s="534">
        <f t="shared" ref="F28:F33" si="3">D28</f>
        <v>0</v>
      </c>
      <c r="G28" s="329"/>
      <c r="H28" s="330"/>
      <c r="I28" s="60">
        <f t="shared" si="2"/>
        <v>1162.6099999999999</v>
      </c>
    </row>
    <row r="29" spans="1:9" x14ac:dyDescent="0.25">
      <c r="A29" s="122"/>
      <c r="B29" s="234"/>
      <c r="C29" s="15"/>
      <c r="D29" s="534"/>
      <c r="E29" s="726"/>
      <c r="F29" s="534">
        <f t="shared" si="3"/>
        <v>0</v>
      </c>
      <c r="G29" s="329"/>
      <c r="H29" s="330"/>
      <c r="I29" s="60">
        <f t="shared" si="2"/>
        <v>1162.6099999999999</v>
      </c>
    </row>
    <row r="30" spans="1:9" x14ac:dyDescent="0.25">
      <c r="A30" s="122"/>
      <c r="B30" s="234"/>
      <c r="C30" s="15"/>
      <c r="D30" s="69"/>
      <c r="E30" s="202"/>
      <c r="F30" s="69">
        <f t="shared" si="3"/>
        <v>0</v>
      </c>
      <c r="G30" s="70"/>
      <c r="H30" s="71"/>
      <c r="I30" s="60">
        <f t="shared" si="2"/>
        <v>1162.6099999999999</v>
      </c>
    </row>
    <row r="31" spans="1:9" x14ac:dyDescent="0.25">
      <c r="A31" s="122"/>
      <c r="B31" s="234"/>
      <c r="C31" s="15"/>
      <c r="D31" s="69"/>
      <c r="E31" s="202"/>
      <c r="F31" s="69">
        <f t="shared" si="3"/>
        <v>0</v>
      </c>
      <c r="G31" s="70"/>
      <c r="H31" s="71"/>
      <c r="I31" s="60"/>
    </row>
    <row r="32" spans="1:9" x14ac:dyDescent="0.25">
      <c r="A32" s="122"/>
      <c r="B32" s="234"/>
      <c r="C32" s="15"/>
      <c r="D32" s="69"/>
      <c r="E32" s="202"/>
      <c r="F32" s="69">
        <f t="shared" si="3"/>
        <v>0</v>
      </c>
      <c r="G32" s="70"/>
      <c r="H32" s="71"/>
      <c r="I32" s="60"/>
    </row>
    <row r="33" spans="1:9" x14ac:dyDescent="0.25">
      <c r="A33" s="122"/>
      <c r="B33" s="83"/>
      <c r="C33" s="15"/>
      <c r="D33" s="69"/>
      <c r="E33" s="202"/>
      <c r="F33" s="69">
        <f t="shared" si="3"/>
        <v>0</v>
      </c>
      <c r="G33" s="70"/>
      <c r="H33" s="71"/>
      <c r="I33" s="60"/>
    </row>
    <row r="34" spans="1:9" ht="15.75" thickBot="1" x14ac:dyDescent="0.3">
      <c r="A34" s="122"/>
      <c r="B34" s="16"/>
      <c r="C34" s="52"/>
      <c r="D34" s="107"/>
      <c r="E34" s="196"/>
      <c r="F34" s="103"/>
      <c r="G34" s="104"/>
      <c r="H34" s="60"/>
      <c r="I34" s="60"/>
    </row>
    <row r="35" spans="1:9" x14ac:dyDescent="0.25">
      <c r="C35" s="6">
        <f>SUM(C10:C34)</f>
        <v>32</v>
      </c>
      <c r="D35" s="6">
        <f>SUM(D10:D34)</f>
        <v>819.21</v>
      </c>
      <c r="F35" s="6">
        <f>SUM(F10:F34)</f>
        <v>819.21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47</v>
      </c>
    </row>
    <row r="39" spans="1:9" ht="15.75" thickBot="1" x14ac:dyDescent="0.3"/>
    <row r="40" spans="1:9" ht="15.75" thickBot="1" x14ac:dyDescent="0.3">
      <c r="C40" s="1388" t="s">
        <v>11</v>
      </c>
      <c r="D40" s="1389"/>
      <c r="E40" s="57">
        <f>E4+E5+E6+E7-F35</f>
        <v>1162.6099999999999</v>
      </c>
      <c r="F40" s="73"/>
    </row>
  </sheetData>
  <mergeCells count="4">
    <mergeCell ref="A1:G1"/>
    <mergeCell ref="A5:A6"/>
    <mergeCell ref="C40:D40"/>
    <mergeCell ref="B4:B6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40"/>
  <sheetViews>
    <sheetView workbookViewId="0">
      <selection activeCell="C15" sqref="C15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9" ht="40.5" x14ac:dyDescent="0.55000000000000004">
      <c r="A1" s="1390"/>
      <c r="B1" s="1390"/>
      <c r="C1" s="1390"/>
      <c r="D1" s="1390"/>
      <c r="E1" s="1390"/>
      <c r="F1" s="1390"/>
      <c r="G1" s="1390"/>
      <c r="H1" s="11">
        <v>1</v>
      </c>
      <c r="I1" s="242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5"/>
    </row>
    <row r="4" spans="1:9" ht="15.75" thickTop="1" x14ac:dyDescent="0.25">
      <c r="A4" s="12"/>
      <c r="B4" s="12"/>
      <c r="C4" s="12"/>
      <c r="D4" s="73"/>
      <c r="E4" s="59"/>
      <c r="F4" s="62"/>
      <c r="G4" s="155"/>
      <c r="H4" s="155"/>
      <c r="I4" s="155"/>
    </row>
    <row r="5" spans="1:9" x14ac:dyDescent="0.25">
      <c r="A5" s="1391"/>
      <c r="B5" s="1403"/>
      <c r="C5" s="233"/>
      <c r="D5" s="134"/>
      <c r="E5" s="78"/>
      <c r="F5" s="62"/>
      <c r="G5" s="5"/>
      <c r="H5" t="s">
        <v>41</v>
      </c>
    </row>
    <row r="6" spans="1:9" ht="15.75" x14ac:dyDescent="0.25">
      <c r="A6" s="1391"/>
      <c r="B6" s="1403"/>
      <c r="C6" s="468"/>
      <c r="D6" s="228"/>
      <c r="E6" s="78"/>
      <c r="F6" s="62"/>
      <c r="G6" s="47">
        <f>F35</f>
        <v>0</v>
      </c>
      <c r="H6" s="7">
        <f>E6-G6+E7+E5-G5+E4+E8</f>
        <v>0</v>
      </c>
      <c r="I6" s="5"/>
    </row>
    <row r="7" spans="1:9" x14ac:dyDescent="0.25">
      <c r="B7" s="148"/>
      <c r="C7" s="233"/>
      <c r="D7" s="134"/>
      <c r="E7" s="78"/>
      <c r="F7" s="62"/>
    </row>
    <row r="8" spans="1:9" ht="15.75" thickBot="1" x14ac:dyDescent="0.3">
      <c r="B8" s="148"/>
      <c r="C8" s="233"/>
      <c r="D8" s="134"/>
      <c r="E8" s="78"/>
      <c r="F8" s="62"/>
    </row>
    <row r="9" spans="1:9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9" ht="15.75" thickTop="1" x14ac:dyDescent="0.25">
      <c r="A10" s="80" t="s">
        <v>32</v>
      </c>
      <c r="B10" s="234">
        <f>F4+F5+F6+F7-C10+F8</f>
        <v>0</v>
      </c>
      <c r="C10" s="15"/>
      <c r="D10" s="69"/>
      <c r="E10" s="202"/>
      <c r="F10" s="697">
        <f t="shared" ref="F10:F33" si="0">D10</f>
        <v>0</v>
      </c>
      <c r="G10" s="695"/>
      <c r="H10" s="696"/>
      <c r="I10" s="728">
        <f>E4+E5+E6+E7-F10+E8</f>
        <v>0</v>
      </c>
    </row>
    <row r="11" spans="1:9" x14ac:dyDescent="0.25">
      <c r="A11" s="194"/>
      <c r="B11" s="234">
        <f>B10-C11</f>
        <v>0</v>
      </c>
      <c r="C11" s="15"/>
      <c r="D11" s="69"/>
      <c r="E11" s="727"/>
      <c r="F11" s="697">
        <f t="shared" si="0"/>
        <v>0</v>
      </c>
      <c r="G11" s="695"/>
      <c r="H11" s="696"/>
      <c r="I11" s="728">
        <f>I10-F11</f>
        <v>0</v>
      </c>
    </row>
    <row r="12" spans="1:9" x14ac:dyDescent="0.25">
      <c r="A12" s="182"/>
      <c r="B12" s="234">
        <f t="shared" ref="B12:B28" si="1">B11-C12</f>
        <v>0</v>
      </c>
      <c r="C12" s="15"/>
      <c r="D12" s="69"/>
      <c r="E12" s="727"/>
      <c r="F12" s="697">
        <f t="shared" si="0"/>
        <v>0</v>
      </c>
      <c r="G12" s="695"/>
      <c r="H12" s="696"/>
      <c r="I12" s="728">
        <f t="shared" ref="I12:I30" si="2">I11-F12</f>
        <v>0</v>
      </c>
    </row>
    <row r="13" spans="1:9" x14ac:dyDescent="0.25">
      <c r="A13" s="82" t="s">
        <v>33</v>
      </c>
      <c r="B13" s="234">
        <f t="shared" si="1"/>
        <v>0</v>
      </c>
      <c r="C13" s="15"/>
      <c r="D13" s="69"/>
      <c r="E13" s="727"/>
      <c r="F13" s="697">
        <f t="shared" si="0"/>
        <v>0</v>
      </c>
      <c r="G13" s="695"/>
      <c r="H13" s="696"/>
      <c r="I13" s="728">
        <f t="shared" si="2"/>
        <v>0</v>
      </c>
    </row>
    <row r="14" spans="1:9" x14ac:dyDescent="0.25">
      <c r="A14" s="73"/>
      <c r="B14" s="234">
        <f t="shared" si="1"/>
        <v>0</v>
      </c>
      <c r="C14" s="15"/>
      <c r="D14" s="69"/>
      <c r="E14" s="727"/>
      <c r="F14" s="697">
        <f t="shared" si="0"/>
        <v>0</v>
      </c>
      <c r="G14" s="695"/>
      <c r="H14" s="696"/>
      <c r="I14" s="728">
        <f t="shared" si="2"/>
        <v>0</v>
      </c>
    </row>
    <row r="15" spans="1:9" x14ac:dyDescent="0.25">
      <c r="A15" s="73"/>
      <c r="B15" s="234">
        <f t="shared" si="1"/>
        <v>0</v>
      </c>
      <c r="C15" s="15"/>
      <c r="D15" s="69"/>
      <c r="E15" s="727"/>
      <c r="F15" s="697">
        <f t="shared" si="0"/>
        <v>0</v>
      </c>
      <c r="G15" s="695"/>
      <c r="H15" s="696"/>
      <c r="I15" s="728">
        <f t="shared" si="2"/>
        <v>0</v>
      </c>
    </row>
    <row r="16" spans="1:9" x14ac:dyDescent="0.25">
      <c r="B16" s="234">
        <f t="shared" si="1"/>
        <v>0</v>
      </c>
      <c r="C16" s="15"/>
      <c r="D16" s="69"/>
      <c r="E16" s="202"/>
      <c r="F16" s="697">
        <f t="shared" si="0"/>
        <v>0</v>
      </c>
      <c r="G16" s="695"/>
      <c r="H16" s="696"/>
      <c r="I16" s="728">
        <f t="shared" si="2"/>
        <v>0</v>
      </c>
    </row>
    <row r="17" spans="1:9" x14ac:dyDescent="0.25">
      <c r="B17" s="234">
        <f t="shared" si="1"/>
        <v>0</v>
      </c>
      <c r="C17" s="15"/>
      <c r="D17" s="69"/>
      <c r="E17" s="202"/>
      <c r="F17" s="69">
        <f t="shared" si="0"/>
        <v>0</v>
      </c>
      <c r="G17" s="70"/>
      <c r="H17" s="71"/>
      <c r="I17" s="205">
        <f t="shared" si="2"/>
        <v>0</v>
      </c>
    </row>
    <row r="18" spans="1:9" x14ac:dyDescent="0.25">
      <c r="A18" s="122"/>
      <c r="B18" s="234">
        <f t="shared" si="1"/>
        <v>0</v>
      </c>
      <c r="C18" s="15"/>
      <c r="D18" s="69"/>
      <c r="E18" s="202"/>
      <c r="F18" s="69">
        <f t="shared" si="0"/>
        <v>0</v>
      </c>
      <c r="G18" s="70"/>
      <c r="H18" s="71"/>
      <c r="I18" s="205">
        <f t="shared" si="2"/>
        <v>0</v>
      </c>
    </row>
    <row r="19" spans="1:9" x14ac:dyDescent="0.25">
      <c r="A19" s="122"/>
      <c r="B19" s="234">
        <f t="shared" si="1"/>
        <v>0</v>
      </c>
      <c r="C19" s="15"/>
      <c r="D19" s="69"/>
      <c r="E19" s="202"/>
      <c r="F19" s="69">
        <f t="shared" si="0"/>
        <v>0</v>
      </c>
      <c r="G19" s="70"/>
      <c r="H19" s="71"/>
      <c r="I19" s="205">
        <f t="shared" si="2"/>
        <v>0</v>
      </c>
    </row>
    <row r="20" spans="1:9" x14ac:dyDescent="0.25">
      <c r="A20" s="122"/>
      <c r="B20" s="234">
        <f t="shared" si="1"/>
        <v>0</v>
      </c>
      <c r="C20" s="15"/>
      <c r="D20" s="69"/>
      <c r="E20" s="202"/>
      <c r="F20" s="69">
        <f t="shared" si="0"/>
        <v>0</v>
      </c>
      <c r="G20" s="70"/>
      <c r="H20" s="71"/>
      <c r="I20" s="205">
        <f t="shared" si="2"/>
        <v>0</v>
      </c>
    </row>
    <row r="21" spans="1:9" x14ac:dyDescent="0.25">
      <c r="A21" s="122"/>
      <c r="B21" s="234">
        <f t="shared" si="1"/>
        <v>0</v>
      </c>
      <c r="C21" s="15"/>
      <c r="D21" s="69"/>
      <c r="E21" s="202"/>
      <c r="F21" s="69">
        <f t="shared" si="0"/>
        <v>0</v>
      </c>
      <c r="G21" s="70"/>
      <c r="H21" s="71"/>
      <c r="I21" s="205">
        <f t="shared" si="2"/>
        <v>0</v>
      </c>
    </row>
    <row r="22" spans="1:9" x14ac:dyDescent="0.25">
      <c r="A22" s="122"/>
      <c r="B22" s="234">
        <f t="shared" si="1"/>
        <v>0</v>
      </c>
      <c r="C22" s="15"/>
      <c r="D22" s="69"/>
      <c r="E22" s="202"/>
      <c r="F22" s="69">
        <f t="shared" si="0"/>
        <v>0</v>
      </c>
      <c r="G22" s="70"/>
      <c r="H22" s="71"/>
      <c r="I22" s="205">
        <f t="shared" si="2"/>
        <v>0</v>
      </c>
    </row>
    <row r="23" spans="1:9" x14ac:dyDescent="0.25">
      <c r="A23" s="123"/>
      <c r="B23" s="234">
        <f t="shared" si="1"/>
        <v>0</v>
      </c>
      <c r="C23" s="15"/>
      <c r="D23" s="69"/>
      <c r="E23" s="202"/>
      <c r="F23" s="69">
        <f t="shared" si="0"/>
        <v>0</v>
      </c>
      <c r="G23" s="70"/>
      <c r="H23" s="71"/>
      <c r="I23" s="205">
        <f t="shared" si="2"/>
        <v>0</v>
      </c>
    </row>
    <row r="24" spans="1:9" x14ac:dyDescent="0.25">
      <c r="A24" s="122"/>
      <c r="B24" s="234">
        <f t="shared" si="1"/>
        <v>0</v>
      </c>
      <c r="C24" s="15"/>
      <c r="D24" s="69"/>
      <c r="E24" s="202"/>
      <c r="F24" s="69">
        <f t="shared" si="0"/>
        <v>0</v>
      </c>
      <c r="G24" s="70"/>
      <c r="H24" s="71"/>
      <c r="I24" s="205">
        <f t="shared" si="2"/>
        <v>0</v>
      </c>
    </row>
    <row r="25" spans="1:9" x14ac:dyDescent="0.25">
      <c r="A25" s="122"/>
      <c r="B25" s="234">
        <f t="shared" si="1"/>
        <v>0</v>
      </c>
      <c r="C25" s="15"/>
      <c r="D25" s="69"/>
      <c r="E25" s="202"/>
      <c r="F25" s="69">
        <f t="shared" si="0"/>
        <v>0</v>
      </c>
      <c r="G25" s="70"/>
      <c r="H25" s="71"/>
      <c r="I25" s="205">
        <f t="shared" si="2"/>
        <v>0</v>
      </c>
    </row>
    <row r="26" spans="1:9" x14ac:dyDescent="0.25">
      <c r="A26" s="122"/>
      <c r="B26" s="234">
        <f t="shared" si="1"/>
        <v>0</v>
      </c>
      <c r="C26" s="15"/>
      <c r="D26" s="69"/>
      <c r="E26" s="202"/>
      <c r="F26" s="69">
        <f t="shared" si="0"/>
        <v>0</v>
      </c>
      <c r="G26" s="70"/>
      <c r="H26" s="71"/>
      <c r="I26" s="205">
        <f t="shared" si="2"/>
        <v>0</v>
      </c>
    </row>
    <row r="27" spans="1:9" x14ac:dyDescent="0.25">
      <c r="A27" s="122"/>
      <c r="B27" s="234">
        <f t="shared" si="1"/>
        <v>0</v>
      </c>
      <c r="C27" s="15"/>
      <c r="D27" s="69"/>
      <c r="E27" s="202"/>
      <c r="F27" s="69">
        <v>0</v>
      </c>
      <c r="G27" s="70"/>
      <c r="H27" s="71"/>
      <c r="I27" s="205">
        <f t="shared" si="2"/>
        <v>0</v>
      </c>
    </row>
    <row r="28" spans="1:9" x14ac:dyDescent="0.25">
      <c r="A28" s="122"/>
      <c r="B28" s="234">
        <f t="shared" si="1"/>
        <v>0</v>
      </c>
      <c r="C28" s="15"/>
      <c r="D28" s="69"/>
      <c r="E28" s="202"/>
      <c r="F28" s="69">
        <f t="shared" si="0"/>
        <v>0</v>
      </c>
      <c r="G28" s="70"/>
      <c r="H28" s="71"/>
      <c r="I28" s="205">
        <f t="shared" si="2"/>
        <v>0</v>
      </c>
    </row>
    <row r="29" spans="1:9" x14ac:dyDescent="0.25">
      <c r="A29" s="122"/>
      <c r="B29" s="234"/>
      <c r="C29" s="15"/>
      <c r="D29" s="69"/>
      <c r="E29" s="202"/>
      <c r="F29" s="69">
        <f t="shared" si="0"/>
        <v>0</v>
      </c>
      <c r="G29" s="70"/>
      <c r="H29" s="71"/>
      <c r="I29" s="205">
        <f t="shared" si="2"/>
        <v>0</v>
      </c>
    </row>
    <row r="30" spans="1:9" x14ac:dyDescent="0.25">
      <c r="A30" s="122"/>
      <c r="B30" s="234"/>
      <c r="C30" s="15"/>
      <c r="D30" s="69"/>
      <c r="E30" s="202"/>
      <c r="F30" s="69">
        <f t="shared" si="0"/>
        <v>0</v>
      </c>
      <c r="G30" s="70"/>
      <c r="H30" s="71"/>
      <c r="I30" s="205">
        <f t="shared" si="2"/>
        <v>0</v>
      </c>
    </row>
    <row r="31" spans="1:9" x14ac:dyDescent="0.25">
      <c r="A31" s="122"/>
      <c r="B31" s="234"/>
      <c r="C31" s="15"/>
      <c r="D31" s="69"/>
      <c r="E31" s="202"/>
      <c r="F31" s="69">
        <f t="shared" si="0"/>
        <v>0</v>
      </c>
      <c r="G31" s="70"/>
      <c r="H31" s="71"/>
      <c r="I31" s="71"/>
    </row>
    <row r="32" spans="1:9" x14ac:dyDescent="0.25">
      <c r="A32" s="122"/>
      <c r="B32" s="234"/>
      <c r="C32" s="15"/>
      <c r="D32" s="69"/>
      <c r="E32" s="202"/>
      <c r="F32" s="69">
        <f t="shared" si="0"/>
        <v>0</v>
      </c>
      <c r="G32" s="70"/>
      <c r="H32" s="71"/>
      <c r="I32" s="71"/>
    </row>
    <row r="33" spans="1:9" x14ac:dyDescent="0.25">
      <c r="A33" s="122"/>
      <c r="B33" s="83"/>
      <c r="C33" s="15"/>
      <c r="D33" s="69"/>
      <c r="E33" s="202"/>
      <c r="F33" s="69">
        <f t="shared" si="0"/>
        <v>0</v>
      </c>
      <c r="G33" s="70"/>
      <c r="H33" s="71"/>
      <c r="I33" s="71"/>
    </row>
    <row r="34" spans="1:9" ht="15.75" thickBot="1" x14ac:dyDescent="0.3">
      <c r="A34" s="122"/>
      <c r="B34" s="16"/>
      <c r="C34" s="52"/>
      <c r="D34" s="107"/>
      <c r="E34" s="196"/>
      <c r="F34" s="103"/>
      <c r="G34" s="104"/>
      <c r="H34" s="60"/>
      <c r="I34" s="60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0</v>
      </c>
    </row>
    <row r="39" spans="1:9" ht="15.75" thickBot="1" x14ac:dyDescent="0.3"/>
    <row r="40" spans="1:9" ht="15.75" thickBot="1" x14ac:dyDescent="0.3">
      <c r="C40" s="1388" t="s">
        <v>11</v>
      </c>
      <c r="D40" s="1389"/>
      <c r="E40" s="57">
        <f>E4+E5+E6+E7-F35</f>
        <v>0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S40"/>
  <sheetViews>
    <sheetView topLeftCell="I1" workbookViewId="0">
      <pane ySplit="7" topLeftCell="A8" activePane="bottomLeft" state="frozen"/>
      <selection pane="bottomLeft" activeCell="Q11" sqref="Q11"/>
    </sheetView>
  </sheetViews>
  <sheetFormatPr baseColWidth="10" defaultRowHeight="15" x14ac:dyDescent="0.25"/>
  <cols>
    <col min="1" max="1" width="32.42578125" bestFit="1" customWidth="1"/>
    <col min="2" max="2" width="17.7109375" style="12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  <col min="11" max="11" width="32.42578125" bestFit="1" customWidth="1"/>
    <col min="12" max="12" width="17.7109375" style="12" bestFit="1" customWidth="1"/>
    <col min="13" max="13" width="13.28515625" bestFit="1" customWidth="1"/>
    <col min="14" max="14" width="11.140625" bestFit="1" customWidth="1"/>
    <col min="16" max="16" width="12" customWidth="1"/>
    <col min="19" max="19" width="11.42578125" style="75"/>
  </cols>
  <sheetData>
    <row r="1" spans="1:19" ht="40.5" customHeight="1" x14ac:dyDescent="0.55000000000000004">
      <c r="A1" s="1386" t="s">
        <v>323</v>
      </c>
      <c r="B1" s="1386"/>
      <c r="C1" s="1386"/>
      <c r="D1" s="1386"/>
      <c r="E1" s="1386"/>
      <c r="F1" s="1386"/>
      <c r="G1" s="1386"/>
      <c r="H1" s="11">
        <v>1</v>
      </c>
      <c r="K1" s="1390" t="s">
        <v>339</v>
      </c>
      <c r="L1" s="1390"/>
      <c r="M1" s="1390"/>
      <c r="N1" s="1390"/>
      <c r="O1" s="1390"/>
      <c r="P1" s="1390"/>
      <c r="Q1" s="1390"/>
      <c r="R1" s="11">
        <v>2</v>
      </c>
    </row>
    <row r="2" spans="1:19" ht="15.75" customHeight="1" thickBot="1" x14ac:dyDescent="0.3"/>
    <row r="3" spans="1:19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19" ht="15.75" thickTop="1" x14ac:dyDescent="0.25">
      <c r="C4" s="128"/>
      <c r="D4" s="149"/>
      <c r="E4" s="132"/>
      <c r="F4" s="73"/>
      <c r="G4" s="38"/>
      <c r="M4" s="128"/>
      <c r="N4" s="149"/>
      <c r="O4" s="132"/>
      <c r="P4" s="73"/>
      <c r="Q4" s="38"/>
    </row>
    <row r="5" spans="1:19" ht="15" customHeight="1" x14ac:dyDescent="0.25">
      <c r="A5" s="1398" t="s">
        <v>80</v>
      </c>
      <c r="B5" s="1403" t="s">
        <v>81</v>
      </c>
      <c r="C5" s="496">
        <v>43</v>
      </c>
      <c r="D5" s="575">
        <v>44868</v>
      </c>
      <c r="E5" s="497">
        <v>511.02</v>
      </c>
      <c r="F5" s="498">
        <v>27</v>
      </c>
      <c r="G5" s="88">
        <f>F36</f>
        <v>1024.51</v>
      </c>
      <c r="H5" s="7">
        <f>E5-G5+E4+E6</f>
        <v>0</v>
      </c>
      <c r="K5" s="1398" t="s">
        <v>80</v>
      </c>
      <c r="L5" s="1403" t="s">
        <v>81</v>
      </c>
      <c r="M5" s="496">
        <v>36</v>
      </c>
      <c r="N5" s="575">
        <v>44916</v>
      </c>
      <c r="O5" s="497">
        <v>511.68</v>
      </c>
      <c r="P5" s="498">
        <v>29</v>
      </c>
      <c r="Q5" s="88">
        <f>P36</f>
        <v>275.48</v>
      </c>
      <c r="R5" s="7">
        <f>O5-Q5+O4+O6</f>
        <v>236.2</v>
      </c>
    </row>
    <row r="6" spans="1:19" ht="15.75" customHeight="1" thickBot="1" x14ac:dyDescent="0.3">
      <c r="A6" s="1398"/>
      <c r="B6" s="1404"/>
      <c r="C6" s="156">
        <v>40</v>
      </c>
      <c r="D6" s="149">
        <v>44873</v>
      </c>
      <c r="E6" s="132">
        <v>513.49</v>
      </c>
      <c r="F6" s="73">
        <v>28</v>
      </c>
      <c r="K6" s="1398"/>
      <c r="L6" s="1404"/>
      <c r="M6" s="156"/>
      <c r="N6" s="149"/>
      <c r="O6" s="132"/>
      <c r="P6" s="73"/>
    </row>
    <row r="7" spans="1:19" ht="16.5" customHeight="1" thickTop="1" thickBot="1" x14ac:dyDescent="0.3">
      <c r="A7" s="73"/>
      <c r="B7" s="530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K7" s="73"/>
      <c r="L7" s="530" t="s">
        <v>7</v>
      </c>
      <c r="M7" s="27" t="s">
        <v>8</v>
      </c>
      <c r="N7" s="28" t="s">
        <v>17</v>
      </c>
      <c r="O7" s="23" t="s">
        <v>2</v>
      </c>
      <c r="P7" s="26" t="s">
        <v>18</v>
      </c>
      <c r="Q7" s="10" t="s">
        <v>15</v>
      </c>
      <c r="R7" s="24"/>
    </row>
    <row r="8" spans="1:19" ht="15.75" customHeight="1" thickTop="1" x14ac:dyDescent="0.25">
      <c r="A8" s="480"/>
      <c r="B8" s="532">
        <f>F4+F5+F6-C8</f>
        <v>45</v>
      </c>
      <c r="C8" s="15">
        <v>10</v>
      </c>
      <c r="D8" s="69">
        <v>187.22</v>
      </c>
      <c r="E8" s="244">
        <v>44870</v>
      </c>
      <c r="F8" s="105">
        <f t="shared" ref="F8:F15" si="0">D8</f>
        <v>187.22</v>
      </c>
      <c r="G8" s="70" t="s">
        <v>243</v>
      </c>
      <c r="H8" s="71">
        <v>47</v>
      </c>
      <c r="I8" s="214">
        <f>E5-F8+E4+E6</f>
        <v>837.29</v>
      </c>
      <c r="K8" s="480"/>
      <c r="L8" s="532">
        <f>P4+P5+P6-M8</f>
        <v>24</v>
      </c>
      <c r="M8" s="15">
        <v>5</v>
      </c>
      <c r="N8" s="69">
        <v>85.62</v>
      </c>
      <c r="O8" s="244">
        <v>44916</v>
      </c>
      <c r="P8" s="105">
        <f t="shared" ref="P8" si="1">N8</f>
        <v>85.62</v>
      </c>
      <c r="Q8" s="70" t="s">
        <v>774</v>
      </c>
      <c r="R8" s="71">
        <v>40</v>
      </c>
      <c r="S8" s="214">
        <f>O5-P8+O4+O6</f>
        <v>426.06</v>
      </c>
    </row>
    <row r="9" spans="1:19" ht="15" customHeight="1" x14ac:dyDescent="0.25">
      <c r="B9" s="533">
        <f>B8-C9</f>
        <v>40</v>
      </c>
      <c r="C9" s="53">
        <v>5</v>
      </c>
      <c r="D9" s="69">
        <v>95.85</v>
      </c>
      <c r="E9" s="244">
        <v>44870</v>
      </c>
      <c r="F9" s="105">
        <f t="shared" si="0"/>
        <v>95.85</v>
      </c>
      <c r="G9" s="70" t="s">
        <v>244</v>
      </c>
      <c r="H9" s="71">
        <v>47</v>
      </c>
      <c r="I9" s="214">
        <f>I8-F9</f>
        <v>741.43999999999994</v>
      </c>
      <c r="L9" s="533">
        <f>L8-M9</f>
        <v>21</v>
      </c>
      <c r="M9" s="53">
        <v>3</v>
      </c>
      <c r="N9" s="69">
        <v>52.93</v>
      </c>
      <c r="O9" s="244">
        <v>44930</v>
      </c>
      <c r="P9" s="105">
        <f t="shared" ref="P9:P21" si="2">N9</f>
        <v>52.93</v>
      </c>
      <c r="Q9" s="70" t="s">
        <v>886</v>
      </c>
      <c r="R9" s="71">
        <v>40</v>
      </c>
      <c r="S9" s="214">
        <f>S8-P9</f>
        <v>373.13</v>
      </c>
    </row>
    <row r="10" spans="1:19" ht="15" customHeight="1" x14ac:dyDescent="0.25">
      <c r="B10" s="533">
        <f t="shared" ref="B10:B35" si="3">B9-C10</f>
        <v>39</v>
      </c>
      <c r="C10" s="15">
        <v>1</v>
      </c>
      <c r="D10" s="69">
        <v>20</v>
      </c>
      <c r="E10" s="244">
        <v>44882</v>
      </c>
      <c r="F10" s="105">
        <f t="shared" si="0"/>
        <v>20</v>
      </c>
      <c r="G10" s="70" t="s">
        <v>280</v>
      </c>
      <c r="H10" s="71">
        <v>47</v>
      </c>
      <c r="I10" s="214">
        <f>I9-F10</f>
        <v>721.43999999999994</v>
      </c>
      <c r="L10" s="532">
        <f t="shared" ref="L10:L35" si="4">L9-M10</f>
        <v>13</v>
      </c>
      <c r="M10" s="811">
        <v>8</v>
      </c>
      <c r="N10" s="697">
        <v>136.93</v>
      </c>
      <c r="O10" s="836">
        <v>44932</v>
      </c>
      <c r="P10" s="731">
        <f t="shared" si="2"/>
        <v>136.93</v>
      </c>
      <c r="Q10" s="695" t="s">
        <v>902</v>
      </c>
      <c r="R10" s="696">
        <v>40</v>
      </c>
      <c r="S10" s="837">
        <f>S9-P10</f>
        <v>236.2</v>
      </c>
    </row>
    <row r="11" spans="1:19" ht="15" customHeight="1" x14ac:dyDescent="0.25">
      <c r="A11" s="55" t="s">
        <v>33</v>
      </c>
      <c r="B11" s="976">
        <f t="shared" si="3"/>
        <v>29</v>
      </c>
      <c r="C11" s="977">
        <v>10</v>
      </c>
      <c r="D11" s="69">
        <v>188.17</v>
      </c>
      <c r="E11" s="244">
        <v>44882</v>
      </c>
      <c r="F11" s="105">
        <f t="shared" si="0"/>
        <v>188.17</v>
      </c>
      <c r="G11" s="70" t="s">
        <v>281</v>
      </c>
      <c r="H11" s="71">
        <v>47</v>
      </c>
      <c r="I11" s="975">
        <f t="shared" ref="I11:I34" si="5">I10-F11</f>
        <v>533.27</v>
      </c>
      <c r="K11" s="55" t="s">
        <v>33</v>
      </c>
      <c r="L11" s="532">
        <f t="shared" si="4"/>
        <v>13</v>
      </c>
      <c r="M11" s="977"/>
      <c r="N11" s="697"/>
      <c r="O11" s="836"/>
      <c r="P11" s="731">
        <f t="shared" si="2"/>
        <v>0</v>
      </c>
      <c r="Q11" s="695"/>
      <c r="R11" s="696"/>
      <c r="S11" s="837">
        <f t="shared" ref="S11:S34" si="6">S10-P11</f>
        <v>236.2</v>
      </c>
    </row>
    <row r="12" spans="1:19" ht="15" customHeight="1" x14ac:dyDescent="0.25">
      <c r="A12" s="19"/>
      <c r="B12" s="533">
        <f t="shared" si="3"/>
        <v>23</v>
      </c>
      <c r="C12" s="15">
        <v>6</v>
      </c>
      <c r="D12" s="534">
        <v>110.96</v>
      </c>
      <c r="E12" s="735">
        <v>44893</v>
      </c>
      <c r="F12" s="736">
        <f t="shared" si="0"/>
        <v>110.96</v>
      </c>
      <c r="G12" s="329" t="s">
        <v>566</v>
      </c>
      <c r="H12" s="330">
        <v>47</v>
      </c>
      <c r="I12" s="214">
        <f t="shared" si="5"/>
        <v>422.31</v>
      </c>
      <c r="K12" s="19"/>
      <c r="L12" s="532">
        <f t="shared" si="4"/>
        <v>13</v>
      </c>
      <c r="M12" s="811"/>
      <c r="N12" s="697"/>
      <c r="O12" s="836"/>
      <c r="P12" s="731">
        <f t="shared" si="2"/>
        <v>0</v>
      </c>
      <c r="Q12" s="695"/>
      <c r="R12" s="696"/>
      <c r="S12" s="837">
        <f t="shared" si="6"/>
        <v>236.2</v>
      </c>
    </row>
    <row r="13" spans="1:19" ht="15" customHeight="1" x14ac:dyDescent="0.25">
      <c r="B13" s="533">
        <f t="shared" si="3"/>
        <v>22</v>
      </c>
      <c r="C13" s="15">
        <v>1</v>
      </c>
      <c r="D13" s="534">
        <v>18.84</v>
      </c>
      <c r="E13" s="735">
        <v>44895</v>
      </c>
      <c r="F13" s="736">
        <f t="shared" si="0"/>
        <v>18.84</v>
      </c>
      <c r="G13" s="329" t="s">
        <v>576</v>
      </c>
      <c r="H13" s="330">
        <v>47</v>
      </c>
      <c r="I13" s="214">
        <f t="shared" si="5"/>
        <v>403.47</v>
      </c>
      <c r="L13" s="532">
        <f t="shared" si="4"/>
        <v>13</v>
      </c>
      <c r="M13" s="811"/>
      <c r="N13" s="697"/>
      <c r="O13" s="836"/>
      <c r="P13" s="731">
        <f t="shared" si="2"/>
        <v>0</v>
      </c>
      <c r="Q13" s="695"/>
      <c r="R13" s="696"/>
      <c r="S13" s="837">
        <f t="shared" si="6"/>
        <v>236.2</v>
      </c>
    </row>
    <row r="14" spans="1:19" ht="15" customHeight="1" x14ac:dyDescent="0.25">
      <c r="B14" s="533">
        <f t="shared" si="3"/>
        <v>14</v>
      </c>
      <c r="C14" s="53">
        <v>8</v>
      </c>
      <c r="D14" s="534">
        <v>145.47</v>
      </c>
      <c r="E14" s="735">
        <v>44902</v>
      </c>
      <c r="F14" s="736">
        <f t="shared" si="0"/>
        <v>145.47</v>
      </c>
      <c r="G14" s="329" t="s">
        <v>631</v>
      </c>
      <c r="H14" s="330">
        <v>47</v>
      </c>
      <c r="I14" s="214">
        <f t="shared" si="5"/>
        <v>258</v>
      </c>
      <c r="L14" s="532">
        <f t="shared" si="4"/>
        <v>13</v>
      </c>
      <c r="M14" s="977"/>
      <c r="N14" s="697"/>
      <c r="O14" s="836"/>
      <c r="P14" s="731">
        <f t="shared" si="2"/>
        <v>0</v>
      </c>
      <c r="Q14" s="695"/>
      <c r="R14" s="696"/>
      <c r="S14" s="837">
        <f t="shared" si="6"/>
        <v>236.2</v>
      </c>
    </row>
    <row r="15" spans="1:19" ht="15" customHeight="1" x14ac:dyDescent="0.25">
      <c r="B15" s="533">
        <f t="shared" si="3"/>
        <v>4</v>
      </c>
      <c r="C15" s="53">
        <v>10</v>
      </c>
      <c r="D15" s="534">
        <v>183.79</v>
      </c>
      <c r="E15" s="735">
        <v>44911</v>
      </c>
      <c r="F15" s="736">
        <f t="shared" si="0"/>
        <v>183.79</v>
      </c>
      <c r="G15" s="329" t="s">
        <v>735</v>
      </c>
      <c r="H15" s="330">
        <v>47</v>
      </c>
      <c r="I15" s="214">
        <f t="shared" si="5"/>
        <v>74.210000000000008</v>
      </c>
      <c r="L15" s="533">
        <f t="shared" si="4"/>
        <v>13</v>
      </c>
      <c r="M15" s="53"/>
      <c r="N15" s="69"/>
      <c r="O15" s="244"/>
      <c r="P15" s="105">
        <f t="shared" si="2"/>
        <v>0</v>
      </c>
      <c r="Q15" s="70"/>
      <c r="R15" s="71"/>
      <c r="S15" s="214">
        <f t="shared" si="6"/>
        <v>236.2</v>
      </c>
    </row>
    <row r="16" spans="1:19" ht="15" customHeight="1" x14ac:dyDescent="0.25">
      <c r="B16" s="533">
        <f t="shared" si="3"/>
        <v>3</v>
      </c>
      <c r="C16" s="15">
        <v>1</v>
      </c>
      <c r="D16" s="534">
        <v>18.75</v>
      </c>
      <c r="E16" s="735">
        <v>44912</v>
      </c>
      <c r="F16" s="736">
        <f t="shared" ref="F16:F35" si="7">D16</f>
        <v>18.75</v>
      </c>
      <c r="G16" s="329" t="s">
        <v>743</v>
      </c>
      <c r="H16" s="330">
        <v>47</v>
      </c>
      <c r="I16" s="214">
        <f t="shared" si="5"/>
        <v>55.460000000000008</v>
      </c>
      <c r="L16" s="533">
        <f t="shared" si="4"/>
        <v>13</v>
      </c>
      <c r="M16" s="15"/>
      <c r="N16" s="69"/>
      <c r="O16" s="244"/>
      <c r="P16" s="105">
        <f t="shared" si="2"/>
        <v>0</v>
      </c>
      <c r="Q16" s="70"/>
      <c r="R16" s="71"/>
      <c r="S16" s="214">
        <f t="shared" si="6"/>
        <v>236.2</v>
      </c>
    </row>
    <row r="17" spans="1:19" ht="15" customHeight="1" x14ac:dyDescent="0.25">
      <c r="B17" s="533">
        <f t="shared" si="3"/>
        <v>0</v>
      </c>
      <c r="C17" s="15">
        <v>3</v>
      </c>
      <c r="D17" s="534">
        <v>55.46</v>
      </c>
      <c r="E17" s="735">
        <v>44916</v>
      </c>
      <c r="F17" s="736">
        <f t="shared" si="7"/>
        <v>55.46</v>
      </c>
      <c r="G17" s="329" t="s">
        <v>768</v>
      </c>
      <c r="H17" s="330">
        <v>47</v>
      </c>
      <c r="I17" s="214">
        <f t="shared" si="5"/>
        <v>0</v>
      </c>
      <c r="L17" s="533">
        <f t="shared" si="4"/>
        <v>13</v>
      </c>
      <c r="M17" s="15"/>
      <c r="N17" s="69"/>
      <c r="O17" s="244"/>
      <c r="P17" s="105">
        <f t="shared" si="2"/>
        <v>0</v>
      </c>
      <c r="Q17" s="70"/>
      <c r="R17" s="71"/>
      <c r="S17" s="214">
        <f t="shared" si="6"/>
        <v>236.2</v>
      </c>
    </row>
    <row r="18" spans="1:19" ht="15" customHeight="1" x14ac:dyDescent="0.25">
      <c r="B18" s="533">
        <f t="shared" si="3"/>
        <v>0</v>
      </c>
      <c r="C18" s="15"/>
      <c r="D18" s="534"/>
      <c r="E18" s="735"/>
      <c r="F18" s="1183">
        <f t="shared" si="7"/>
        <v>0</v>
      </c>
      <c r="G18" s="1161"/>
      <c r="H18" s="1162"/>
      <c r="I18" s="1200">
        <f t="shared" si="5"/>
        <v>0</v>
      </c>
      <c r="L18" s="533">
        <f t="shared" si="4"/>
        <v>13</v>
      </c>
      <c r="M18" s="15"/>
      <c r="N18" s="69"/>
      <c r="O18" s="244"/>
      <c r="P18" s="105">
        <f t="shared" si="2"/>
        <v>0</v>
      </c>
      <c r="Q18" s="70"/>
      <c r="R18" s="71"/>
      <c r="S18" s="214">
        <f t="shared" si="6"/>
        <v>236.2</v>
      </c>
    </row>
    <row r="19" spans="1:19" ht="15" customHeight="1" x14ac:dyDescent="0.25">
      <c r="B19" s="533">
        <f t="shared" si="3"/>
        <v>0</v>
      </c>
      <c r="C19" s="15"/>
      <c r="D19" s="534"/>
      <c r="E19" s="735"/>
      <c r="F19" s="1183">
        <f t="shared" si="7"/>
        <v>0</v>
      </c>
      <c r="G19" s="1161"/>
      <c r="H19" s="1162"/>
      <c r="I19" s="1200">
        <f t="shared" si="5"/>
        <v>0</v>
      </c>
      <c r="L19" s="533">
        <f t="shared" si="4"/>
        <v>13</v>
      </c>
      <c r="M19" s="15"/>
      <c r="N19" s="69"/>
      <c r="O19" s="244"/>
      <c r="P19" s="105">
        <f t="shared" si="2"/>
        <v>0</v>
      </c>
      <c r="Q19" s="70"/>
      <c r="R19" s="71"/>
      <c r="S19" s="214">
        <f t="shared" si="6"/>
        <v>236.2</v>
      </c>
    </row>
    <row r="20" spans="1:19" ht="15" customHeight="1" x14ac:dyDescent="0.25">
      <c r="B20" s="533">
        <f t="shared" si="3"/>
        <v>0</v>
      </c>
      <c r="C20" s="15"/>
      <c r="D20" s="534"/>
      <c r="E20" s="735"/>
      <c r="F20" s="1183">
        <f t="shared" si="7"/>
        <v>0</v>
      </c>
      <c r="G20" s="1161"/>
      <c r="H20" s="1162"/>
      <c r="I20" s="1200">
        <f t="shared" si="5"/>
        <v>0</v>
      </c>
      <c r="L20" s="533">
        <f t="shared" si="4"/>
        <v>13</v>
      </c>
      <c r="M20" s="15"/>
      <c r="N20" s="69"/>
      <c r="O20" s="244"/>
      <c r="P20" s="105">
        <f t="shared" si="2"/>
        <v>0</v>
      </c>
      <c r="Q20" s="70"/>
      <c r="R20" s="71"/>
      <c r="S20" s="214">
        <f t="shared" si="6"/>
        <v>236.2</v>
      </c>
    </row>
    <row r="21" spans="1:19" ht="15" customHeight="1" x14ac:dyDescent="0.25">
      <c r="B21" s="533">
        <f t="shared" si="3"/>
        <v>0</v>
      </c>
      <c r="C21" s="15"/>
      <c r="D21" s="534"/>
      <c r="E21" s="735"/>
      <c r="F21" s="1183">
        <f t="shared" si="7"/>
        <v>0</v>
      </c>
      <c r="G21" s="1161"/>
      <c r="H21" s="1162"/>
      <c r="I21" s="1200">
        <f t="shared" si="5"/>
        <v>0</v>
      </c>
      <c r="L21" s="533">
        <f t="shared" si="4"/>
        <v>13</v>
      </c>
      <c r="M21" s="15"/>
      <c r="N21" s="69"/>
      <c r="O21" s="244"/>
      <c r="P21" s="105">
        <f t="shared" si="2"/>
        <v>0</v>
      </c>
      <c r="Q21" s="70"/>
      <c r="R21" s="71"/>
      <c r="S21" s="214">
        <f t="shared" si="6"/>
        <v>236.2</v>
      </c>
    </row>
    <row r="22" spans="1:19" ht="15" customHeight="1" x14ac:dyDescent="0.25">
      <c r="B22" s="533">
        <f t="shared" si="3"/>
        <v>0</v>
      </c>
      <c r="C22" s="15"/>
      <c r="D22" s="534"/>
      <c r="E22" s="735"/>
      <c r="F22" s="736">
        <f>D22</f>
        <v>0</v>
      </c>
      <c r="G22" s="329"/>
      <c r="H22" s="330"/>
      <c r="I22" s="214">
        <f t="shared" si="5"/>
        <v>0</v>
      </c>
      <c r="L22" s="533">
        <f t="shared" si="4"/>
        <v>13</v>
      </c>
      <c r="M22" s="15"/>
      <c r="N22" s="69"/>
      <c r="O22" s="244"/>
      <c r="P22" s="105">
        <f>N22</f>
        <v>0</v>
      </c>
      <c r="Q22" s="70"/>
      <c r="R22" s="71"/>
      <c r="S22" s="214">
        <f t="shared" si="6"/>
        <v>236.2</v>
      </c>
    </row>
    <row r="23" spans="1:19" ht="15" customHeight="1" x14ac:dyDescent="0.25">
      <c r="B23" s="533">
        <f t="shared" si="3"/>
        <v>0</v>
      </c>
      <c r="C23" s="15"/>
      <c r="D23" s="534"/>
      <c r="E23" s="735"/>
      <c r="F23" s="736">
        <f>D23</f>
        <v>0</v>
      </c>
      <c r="G23" s="329"/>
      <c r="H23" s="330"/>
      <c r="I23" s="214">
        <f t="shared" si="5"/>
        <v>0</v>
      </c>
      <c r="L23" s="533">
        <f t="shared" si="4"/>
        <v>13</v>
      </c>
      <c r="M23" s="15"/>
      <c r="N23" s="69"/>
      <c r="O23" s="244"/>
      <c r="P23" s="105">
        <f>N23</f>
        <v>0</v>
      </c>
      <c r="Q23" s="70"/>
      <c r="R23" s="71"/>
      <c r="S23" s="214">
        <f t="shared" si="6"/>
        <v>236.2</v>
      </c>
    </row>
    <row r="24" spans="1:19" ht="15" customHeight="1" x14ac:dyDescent="0.25">
      <c r="B24" s="533">
        <f t="shared" si="3"/>
        <v>0</v>
      </c>
      <c r="C24" s="15"/>
      <c r="D24" s="534"/>
      <c r="E24" s="735"/>
      <c r="F24" s="736">
        <f>D24</f>
        <v>0</v>
      </c>
      <c r="G24" s="329"/>
      <c r="H24" s="330"/>
      <c r="I24" s="214">
        <f t="shared" si="5"/>
        <v>0</v>
      </c>
      <c r="L24" s="533">
        <f t="shared" si="4"/>
        <v>13</v>
      </c>
      <c r="M24" s="15"/>
      <c r="N24" s="69"/>
      <c r="O24" s="244"/>
      <c r="P24" s="105">
        <f>N24</f>
        <v>0</v>
      </c>
      <c r="Q24" s="70"/>
      <c r="R24" s="71"/>
      <c r="S24" s="214">
        <f t="shared" si="6"/>
        <v>236.2</v>
      </c>
    </row>
    <row r="25" spans="1:19" ht="15" customHeight="1" x14ac:dyDescent="0.25">
      <c r="B25" s="533">
        <f t="shared" si="3"/>
        <v>0</v>
      </c>
      <c r="C25" s="15"/>
      <c r="D25" s="534"/>
      <c r="E25" s="735"/>
      <c r="F25" s="736">
        <f>D25</f>
        <v>0</v>
      </c>
      <c r="G25" s="329"/>
      <c r="H25" s="330"/>
      <c r="I25" s="214">
        <f t="shared" si="5"/>
        <v>0</v>
      </c>
      <c r="L25" s="533">
        <f t="shared" si="4"/>
        <v>13</v>
      </c>
      <c r="M25" s="15"/>
      <c r="N25" s="69"/>
      <c r="O25" s="244"/>
      <c r="P25" s="105">
        <f>N25</f>
        <v>0</v>
      </c>
      <c r="Q25" s="70"/>
      <c r="R25" s="71"/>
      <c r="S25" s="214">
        <f t="shared" si="6"/>
        <v>236.2</v>
      </c>
    </row>
    <row r="26" spans="1:19" ht="15" customHeight="1" x14ac:dyDescent="0.25">
      <c r="B26" s="533">
        <f t="shared" si="3"/>
        <v>0</v>
      </c>
      <c r="C26" s="15"/>
      <c r="D26" s="534"/>
      <c r="E26" s="989"/>
      <c r="F26" s="990">
        <f>D26</f>
        <v>0</v>
      </c>
      <c r="G26" s="985"/>
      <c r="H26" s="986"/>
      <c r="I26" s="837">
        <f t="shared" si="5"/>
        <v>0</v>
      </c>
      <c r="L26" s="533">
        <f t="shared" si="4"/>
        <v>13</v>
      </c>
      <c r="M26" s="15"/>
      <c r="N26" s="69"/>
      <c r="O26" s="836"/>
      <c r="P26" s="731">
        <f>N26</f>
        <v>0</v>
      </c>
      <c r="Q26" s="695"/>
      <c r="R26" s="696"/>
      <c r="S26" s="837">
        <f t="shared" si="6"/>
        <v>236.2</v>
      </c>
    </row>
    <row r="27" spans="1:19" ht="15" customHeight="1" x14ac:dyDescent="0.25">
      <c r="B27" s="533">
        <f t="shared" si="3"/>
        <v>0</v>
      </c>
      <c r="C27" s="15"/>
      <c r="D27" s="534">
        <v>0</v>
      </c>
      <c r="E27" s="989"/>
      <c r="F27" s="990">
        <f t="shared" si="7"/>
        <v>0</v>
      </c>
      <c r="G27" s="985"/>
      <c r="H27" s="986"/>
      <c r="I27" s="837">
        <f t="shared" si="5"/>
        <v>0</v>
      </c>
      <c r="L27" s="533">
        <f t="shared" si="4"/>
        <v>13</v>
      </c>
      <c r="M27" s="15"/>
      <c r="N27" s="69">
        <v>0</v>
      </c>
      <c r="O27" s="836"/>
      <c r="P27" s="731">
        <f t="shared" ref="P27:P35" si="8">N27</f>
        <v>0</v>
      </c>
      <c r="Q27" s="695"/>
      <c r="R27" s="696"/>
      <c r="S27" s="837">
        <f t="shared" si="6"/>
        <v>236.2</v>
      </c>
    </row>
    <row r="28" spans="1:19" ht="15" customHeight="1" x14ac:dyDescent="0.25">
      <c r="A28" s="47"/>
      <c r="B28" s="533">
        <f t="shared" si="3"/>
        <v>0</v>
      </c>
      <c r="C28" s="15"/>
      <c r="D28" s="534">
        <v>0</v>
      </c>
      <c r="E28" s="989"/>
      <c r="F28" s="990">
        <f t="shared" si="7"/>
        <v>0</v>
      </c>
      <c r="G28" s="985"/>
      <c r="H28" s="986"/>
      <c r="I28" s="837">
        <f t="shared" si="5"/>
        <v>0</v>
      </c>
      <c r="K28" s="47"/>
      <c r="L28" s="533">
        <f t="shared" si="4"/>
        <v>13</v>
      </c>
      <c r="M28" s="15"/>
      <c r="N28" s="69">
        <v>0</v>
      </c>
      <c r="O28" s="836"/>
      <c r="P28" s="731">
        <f t="shared" si="8"/>
        <v>0</v>
      </c>
      <c r="Q28" s="695"/>
      <c r="R28" s="696"/>
      <c r="S28" s="837">
        <f t="shared" si="6"/>
        <v>236.2</v>
      </c>
    </row>
    <row r="29" spans="1:19" ht="15" customHeight="1" x14ac:dyDescent="0.25">
      <c r="A29" s="47"/>
      <c r="B29" s="533">
        <f t="shared" si="3"/>
        <v>0</v>
      </c>
      <c r="C29" s="15"/>
      <c r="D29" s="534">
        <v>0</v>
      </c>
      <c r="E29" s="989"/>
      <c r="F29" s="990">
        <f t="shared" si="7"/>
        <v>0</v>
      </c>
      <c r="G29" s="985"/>
      <c r="H29" s="986"/>
      <c r="I29" s="837">
        <f t="shared" si="5"/>
        <v>0</v>
      </c>
      <c r="K29" s="47"/>
      <c r="L29" s="533">
        <f t="shared" si="4"/>
        <v>13</v>
      </c>
      <c r="M29" s="15"/>
      <c r="N29" s="69">
        <v>0</v>
      </c>
      <c r="O29" s="836"/>
      <c r="P29" s="731">
        <f t="shared" si="8"/>
        <v>0</v>
      </c>
      <c r="Q29" s="695"/>
      <c r="R29" s="696"/>
      <c r="S29" s="837">
        <f t="shared" si="6"/>
        <v>236.2</v>
      </c>
    </row>
    <row r="30" spans="1:19" ht="15" customHeight="1" x14ac:dyDescent="0.25">
      <c r="A30" s="47"/>
      <c r="B30" s="533">
        <f t="shared" si="3"/>
        <v>0</v>
      </c>
      <c r="C30" s="15"/>
      <c r="D30" s="534">
        <v>0</v>
      </c>
      <c r="E30" s="989"/>
      <c r="F30" s="990">
        <f t="shared" si="7"/>
        <v>0</v>
      </c>
      <c r="G30" s="985"/>
      <c r="H30" s="986"/>
      <c r="I30" s="837">
        <f t="shared" si="5"/>
        <v>0</v>
      </c>
      <c r="K30" s="47"/>
      <c r="L30" s="533">
        <f t="shared" si="4"/>
        <v>13</v>
      </c>
      <c r="M30" s="15"/>
      <c r="N30" s="69">
        <v>0</v>
      </c>
      <c r="O30" s="836"/>
      <c r="P30" s="731">
        <f t="shared" si="8"/>
        <v>0</v>
      </c>
      <c r="Q30" s="695"/>
      <c r="R30" s="696"/>
      <c r="S30" s="837">
        <f t="shared" si="6"/>
        <v>236.2</v>
      </c>
    </row>
    <row r="31" spans="1:19" ht="15" customHeight="1" x14ac:dyDescent="0.25">
      <c r="A31" s="47"/>
      <c r="B31" s="533">
        <f t="shared" si="3"/>
        <v>0</v>
      </c>
      <c r="C31" s="15"/>
      <c r="D31" s="534">
        <v>0</v>
      </c>
      <c r="E31" s="735"/>
      <c r="F31" s="736">
        <f t="shared" si="7"/>
        <v>0</v>
      </c>
      <c r="G31" s="329"/>
      <c r="H31" s="330"/>
      <c r="I31" s="214">
        <f t="shared" si="5"/>
        <v>0</v>
      </c>
      <c r="K31" s="47"/>
      <c r="L31" s="533">
        <f t="shared" si="4"/>
        <v>13</v>
      </c>
      <c r="M31" s="15"/>
      <c r="N31" s="69">
        <v>0</v>
      </c>
      <c r="O31" s="244"/>
      <c r="P31" s="105">
        <f t="shared" si="8"/>
        <v>0</v>
      </c>
      <c r="Q31" s="70"/>
      <c r="R31" s="71"/>
      <c r="S31" s="214">
        <f t="shared" si="6"/>
        <v>236.2</v>
      </c>
    </row>
    <row r="32" spans="1:19" ht="15" customHeight="1" x14ac:dyDescent="0.25">
      <c r="A32" s="47"/>
      <c r="B32" s="533">
        <f t="shared" si="3"/>
        <v>0</v>
      </c>
      <c r="C32" s="15"/>
      <c r="D32" s="534">
        <v>0</v>
      </c>
      <c r="E32" s="735"/>
      <c r="F32" s="736">
        <f t="shared" si="7"/>
        <v>0</v>
      </c>
      <c r="G32" s="329"/>
      <c r="H32" s="330"/>
      <c r="I32" s="214">
        <f t="shared" si="5"/>
        <v>0</v>
      </c>
      <c r="K32" s="47"/>
      <c r="L32" s="533">
        <f t="shared" si="4"/>
        <v>13</v>
      </c>
      <c r="M32" s="15"/>
      <c r="N32" s="69">
        <v>0</v>
      </c>
      <c r="O32" s="244"/>
      <c r="P32" s="105">
        <f t="shared" si="8"/>
        <v>0</v>
      </c>
      <c r="Q32" s="70"/>
      <c r="R32" s="71"/>
      <c r="S32" s="214">
        <f t="shared" si="6"/>
        <v>236.2</v>
      </c>
    </row>
    <row r="33" spans="1:19" ht="15" customHeight="1" x14ac:dyDescent="0.25">
      <c r="A33" s="47"/>
      <c r="B33" s="533">
        <f t="shared" si="3"/>
        <v>0</v>
      </c>
      <c r="C33" s="15"/>
      <c r="D33" s="69">
        <v>0</v>
      </c>
      <c r="E33" s="244"/>
      <c r="F33" s="105">
        <f t="shared" si="7"/>
        <v>0</v>
      </c>
      <c r="G33" s="70"/>
      <c r="H33" s="71"/>
      <c r="I33" s="214">
        <f t="shared" si="5"/>
        <v>0</v>
      </c>
      <c r="K33" s="47"/>
      <c r="L33" s="533">
        <f t="shared" si="4"/>
        <v>13</v>
      </c>
      <c r="M33" s="15"/>
      <c r="N33" s="69">
        <v>0</v>
      </c>
      <c r="O33" s="244"/>
      <c r="P33" s="105">
        <f t="shared" si="8"/>
        <v>0</v>
      </c>
      <c r="Q33" s="70"/>
      <c r="R33" s="71"/>
      <c r="S33" s="214">
        <f t="shared" si="6"/>
        <v>236.2</v>
      </c>
    </row>
    <row r="34" spans="1:19" ht="15" customHeight="1" x14ac:dyDescent="0.25">
      <c r="A34" s="47"/>
      <c r="B34" s="533">
        <f t="shared" si="3"/>
        <v>0</v>
      </c>
      <c r="C34" s="15"/>
      <c r="D34" s="69">
        <v>0</v>
      </c>
      <c r="E34" s="244"/>
      <c r="F34" s="105">
        <f t="shared" si="7"/>
        <v>0</v>
      </c>
      <c r="G34" s="70"/>
      <c r="H34" s="71"/>
      <c r="I34" s="214">
        <f t="shared" si="5"/>
        <v>0</v>
      </c>
      <c r="K34" s="47"/>
      <c r="L34" s="533">
        <f t="shared" si="4"/>
        <v>13</v>
      </c>
      <c r="M34" s="15"/>
      <c r="N34" s="69">
        <v>0</v>
      </c>
      <c r="O34" s="244"/>
      <c r="P34" s="105">
        <f t="shared" si="8"/>
        <v>0</v>
      </c>
      <c r="Q34" s="70"/>
      <c r="R34" s="71"/>
      <c r="S34" s="214">
        <f t="shared" si="6"/>
        <v>236.2</v>
      </c>
    </row>
    <row r="35" spans="1:19" ht="15.75" thickBot="1" x14ac:dyDescent="0.3">
      <c r="A35" s="121"/>
      <c r="B35" s="533">
        <f t="shared" si="3"/>
        <v>0</v>
      </c>
      <c r="C35" s="37"/>
      <c r="D35" s="69">
        <v>0</v>
      </c>
      <c r="E35" s="203"/>
      <c r="F35" s="105">
        <f t="shared" si="7"/>
        <v>0</v>
      </c>
      <c r="G35" s="139"/>
      <c r="H35" s="198"/>
      <c r="I35" s="236"/>
      <c r="K35" s="121"/>
      <c r="L35" s="533">
        <f t="shared" si="4"/>
        <v>13</v>
      </c>
      <c r="M35" s="37"/>
      <c r="N35" s="69">
        <v>0</v>
      </c>
      <c r="O35" s="203"/>
      <c r="P35" s="105">
        <f t="shared" si="8"/>
        <v>0</v>
      </c>
      <c r="Q35" s="139"/>
      <c r="R35" s="198"/>
      <c r="S35" s="236"/>
    </row>
    <row r="36" spans="1:19" ht="15.75" thickTop="1" x14ac:dyDescent="0.25">
      <c r="A36" s="47">
        <f>SUM(A28:A35)</f>
        <v>0</v>
      </c>
      <c r="C36" s="73">
        <f>SUM(C8:C35)</f>
        <v>55</v>
      </c>
      <c r="D36" s="105">
        <f>SUM(D8:D35)</f>
        <v>1024.51</v>
      </c>
      <c r="E36" s="75"/>
      <c r="F36" s="105">
        <f>SUM(F8:F35)</f>
        <v>1024.51</v>
      </c>
      <c r="K36" s="47">
        <f>SUM(K28:K35)</f>
        <v>0</v>
      </c>
      <c r="M36" s="73">
        <f>SUM(M8:M35)</f>
        <v>16</v>
      </c>
      <c r="N36" s="105">
        <f>SUM(N8:N35)</f>
        <v>275.48</v>
      </c>
      <c r="O36" s="75"/>
      <c r="P36" s="105">
        <f>SUM(P8:P35)</f>
        <v>275.48</v>
      </c>
    </row>
    <row r="37" spans="1:19" ht="15.75" thickBot="1" x14ac:dyDescent="0.3">
      <c r="A37" s="47"/>
      <c r="K37" s="47"/>
    </row>
    <row r="38" spans="1:19" x14ac:dyDescent="0.25">
      <c r="B38" s="531"/>
      <c r="D38" s="1375" t="s">
        <v>21</v>
      </c>
      <c r="E38" s="1376"/>
      <c r="F38" s="141">
        <f>E4+E5-F36+E6</f>
        <v>0</v>
      </c>
      <c r="L38" s="531"/>
      <c r="N38" s="1375" t="s">
        <v>21</v>
      </c>
      <c r="O38" s="1376"/>
      <c r="P38" s="141">
        <f>O4+O5-P36+O6</f>
        <v>236.2</v>
      </c>
    </row>
    <row r="39" spans="1:19" ht="15.75" thickBot="1" x14ac:dyDescent="0.3">
      <c r="A39" s="125"/>
      <c r="D39" s="262" t="s">
        <v>4</v>
      </c>
      <c r="E39" s="263"/>
      <c r="F39" s="49">
        <f>F4+F5-C36+F6</f>
        <v>0</v>
      </c>
      <c r="K39" s="125"/>
      <c r="N39" s="1110" t="s">
        <v>4</v>
      </c>
      <c r="O39" s="1111"/>
      <c r="P39" s="49">
        <f>P4+P5-M36+P6</f>
        <v>13</v>
      </c>
    </row>
    <row r="40" spans="1:19" x14ac:dyDescent="0.25">
      <c r="B40" s="531"/>
      <c r="L40" s="531"/>
    </row>
  </sheetData>
  <sortState ref="C22:H26">
    <sortCondition ref="G22:G26"/>
  </sortState>
  <mergeCells count="8">
    <mergeCell ref="A1:G1"/>
    <mergeCell ref="A5:A6"/>
    <mergeCell ref="B5:B6"/>
    <mergeCell ref="D38:E38"/>
    <mergeCell ref="K1:Q1"/>
    <mergeCell ref="K5:K6"/>
    <mergeCell ref="L5:L6"/>
    <mergeCell ref="N38:O38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J44"/>
  <sheetViews>
    <sheetView workbookViewId="0">
      <pane ySplit="7" topLeftCell="A8" activePane="bottomLeft" state="frozen"/>
      <selection pane="bottomLeft" activeCell="B22" sqref="B21:B22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  <col min="10" max="10" width="19.140625" customWidth="1"/>
  </cols>
  <sheetData>
    <row r="1" spans="1:10" ht="40.5" x14ac:dyDescent="0.55000000000000004">
      <c r="A1" s="1390"/>
      <c r="B1" s="1390"/>
      <c r="C1" s="1390"/>
      <c r="D1" s="1390"/>
      <c r="E1" s="1390"/>
      <c r="F1" s="1390"/>
      <c r="G1" s="1390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156"/>
      <c r="D4" s="149"/>
      <c r="E4" s="132"/>
      <c r="F4" s="73"/>
      <c r="G4" s="38"/>
    </row>
    <row r="5" spans="1:10" ht="15" customHeight="1" x14ac:dyDescent="0.25">
      <c r="A5" s="1391"/>
      <c r="B5" s="1405" t="s">
        <v>146</v>
      </c>
      <c r="C5" s="156"/>
      <c r="D5" s="149"/>
      <c r="E5" s="132"/>
      <c r="F5" s="73"/>
      <c r="G5" s="88">
        <f>F40</f>
        <v>0</v>
      </c>
      <c r="H5" s="7">
        <f>E5-G5+E4+E6</f>
        <v>0</v>
      </c>
    </row>
    <row r="6" spans="1:10" ht="15.75" customHeight="1" thickBot="1" x14ac:dyDescent="0.3">
      <c r="A6" s="1391"/>
      <c r="B6" s="1406"/>
      <c r="C6" s="128"/>
      <c r="D6" s="149"/>
      <c r="E6" s="86"/>
      <c r="F6" s="73"/>
    </row>
    <row r="7" spans="1:10" ht="16.5" customHeight="1" thickTop="1" thickBot="1" x14ac:dyDescent="0.3">
      <c r="A7" s="332"/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279"/>
      <c r="J7" s="24"/>
    </row>
    <row r="8" spans="1:10" ht="16.5" thickTop="1" x14ac:dyDescent="0.25">
      <c r="A8" s="55" t="s">
        <v>32</v>
      </c>
      <c r="B8" s="182"/>
      <c r="C8" s="15"/>
      <c r="D8" s="69">
        <v>0</v>
      </c>
      <c r="E8" s="244"/>
      <c r="F8" s="105">
        <f t="shared" ref="F8:F15" si="0">D8</f>
        <v>0</v>
      </c>
      <c r="G8" s="70"/>
      <c r="H8" s="71"/>
      <c r="I8" s="473">
        <f>E4+E5+E6-F8</f>
        <v>0</v>
      </c>
      <c r="J8" s="460">
        <f>H8*F8</f>
        <v>0</v>
      </c>
    </row>
    <row r="9" spans="1:10" ht="15.75" x14ac:dyDescent="0.25">
      <c r="B9" s="182"/>
      <c r="C9" s="15"/>
      <c r="D9" s="69">
        <f t="shared" ref="D9:D39" si="1">C9*B9</f>
        <v>0</v>
      </c>
      <c r="E9" s="244"/>
      <c r="F9" s="731">
        <f t="shared" si="0"/>
        <v>0</v>
      </c>
      <c r="G9" s="695"/>
      <c r="H9" s="696"/>
      <c r="I9" s="732">
        <f>I8-F9</f>
        <v>0</v>
      </c>
      <c r="J9" s="733">
        <f t="shared" ref="J9:J39" si="2">H9*F9</f>
        <v>0</v>
      </c>
    </row>
    <row r="10" spans="1:10" ht="15.75" x14ac:dyDescent="0.25">
      <c r="B10" s="182"/>
      <c r="C10" s="15"/>
      <c r="D10" s="69">
        <f t="shared" si="1"/>
        <v>0</v>
      </c>
      <c r="E10" s="244"/>
      <c r="F10" s="731">
        <f t="shared" si="0"/>
        <v>0</v>
      </c>
      <c r="G10" s="695"/>
      <c r="H10" s="696"/>
      <c r="I10" s="732">
        <f t="shared" ref="I10:I38" si="3">I9-F10</f>
        <v>0</v>
      </c>
      <c r="J10" s="733">
        <f t="shared" si="2"/>
        <v>0</v>
      </c>
    </row>
    <row r="11" spans="1:10" ht="15.75" x14ac:dyDescent="0.25">
      <c r="A11" s="55" t="s">
        <v>33</v>
      </c>
      <c r="B11" s="182"/>
      <c r="C11" s="15"/>
      <c r="D11" s="69">
        <f t="shared" si="1"/>
        <v>0</v>
      </c>
      <c r="E11" s="244"/>
      <c r="F11" s="731">
        <f t="shared" si="0"/>
        <v>0</v>
      </c>
      <c r="G11" s="695"/>
      <c r="H11" s="696"/>
      <c r="I11" s="732">
        <f t="shared" si="3"/>
        <v>0</v>
      </c>
      <c r="J11" s="733">
        <f t="shared" si="2"/>
        <v>0</v>
      </c>
    </row>
    <row r="12" spans="1:10" ht="15.75" x14ac:dyDescent="0.25">
      <c r="B12" s="182"/>
      <c r="C12" s="15"/>
      <c r="D12" s="69">
        <f t="shared" si="1"/>
        <v>0</v>
      </c>
      <c r="E12" s="244"/>
      <c r="F12" s="731">
        <f t="shared" si="0"/>
        <v>0</v>
      </c>
      <c r="G12" s="695"/>
      <c r="H12" s="696"/>
      <c r="I12" s="732">
        <f t="shared" si="3"/>
        <v>0</v>
      </c>
      <c r="J12" s="733">
        <f t="shared" si="2"/>
        <v>0</v>
      </c>
    </row>
    <row r="13" spans="1:10" ht="15.75" x14ac:dyDescent="0.25">
      <c r="A13" s="19"/>
      <c r="B13" s="182"/>
      <c r="C13" s="127"/>
      <c r="D13" s="69">
        <f t="shared" si="1"/>
        <v>0</v>
      </c>
      <c r="E13" s="244"/>
      <c r="F13" s="731">
        <f t="shared" si="0"/>
        <v>0</v>
      </c>
      <c r="G13" s="695"/>
      <c r="H13" s="696"/>
      <c r="I13" s="732">
        <f t="shared" si="3"/>
        <v>0</v>
      </c>
      <c r="J13" s="733">
        <f t="shared" si="2"/>
        <v>0</v>
      </c>
    </row>
    <row r="14" spans="1:10" ht="15.75" x14ac:dyDescent="0.25">
      <c r="B14" s="182"/>
      <c r="C14" s="73"/>
      <c r="D14" s="69">
        <f t="shared" si="1"/>
        <v>0</v>
      </c>
      <c r="E14" s="244"/>
      <c r="F14" s="731">
        <f t="shared" si="0"/>
        <v>0</v>
      </c>
      <c r="G14" s="695"/>
      <c r="H14" s="696"/>
      <c r="I14" s="732">
        <f t="shared" si="3"/>
        <v>0</v>
      </c>
      <c r="J14" s="733">
        <f t="shared" si="2"/>
        <v>0</v>
      </c>
    </row>
    <row r="15" spans="1:10" ht="15.75" x14ac:dyDescent="0.25">
      <c r="B15" s="182"/>
      <c r="C15" s="73"/>
      <c r="D15" s="69">
        <f t="shared" si="1"/>
        <v>0</v>
      </c>
      <c r="E15" s="244"/>
      <c r="F15" s="105">
        <f t="shared" si="0"/>
        <v>0</v>
      </c>
      <c r="G15" s="70"/>
      <c r="H15" s="71"/>
      <c r="I15" s="474">
        <f t="shared" si="3"/>
        <v>0</v>
      </c>
      <c r="J15" s="461">
        <f t="shared" si="2"/>
        <v>0</v>
      </c>
    </row>
    <row r="16" spans="1:10" ht="15.75" x14ac:dyDescent="0.25">
      <c r="B16" s="182"/>
      <c r="C16" s="73"/>
      <c r="D16" s="69">
        <f t="shared" si="1"/>
        <v>0</v>
      </c>
      <c r="E16" s="244"/>
      <c r="F16" s="105">
        <f>D16</f>
        <v>0</v>
      </c>
      <c r="G16" s="70"/>
      <c r="H16" s="71"/>
      <c r="I16" s="474">
        <f t="shared" si="3"/>
        <v>0</v>
      </c>
      <c r="J16" s="461">
        <f t="shared" si="2"/>
        <v>0</v>
      </c>
    </row>
    <row r="17" spans="1:10" ht="15.75" x14ac:dyDescent="0.25">
      <c r="B17" s="182"/>
      <c r="C17" s="73"/>
      <c r="D17" s="69">
        <f t="shared" si="1"/>
        <v>0</v>
      </c>
      <c r="E17" s="244"/>
      <c r="F17" s="105">
        <f>D17</f>
        <v>0</v>
      </c>
      <c r="G17" s="70"/>
      <c r="H17" s="71"/>
      <c r="I17" s="474">
        <f t="shared" si="3"/>
        <v>0</v>
      </c>
      <c r="J17" s="461">
        <f t="shared" si="2"/>
        <v>0</v>
      </c>
    </row>
    <row r="18" spans="1:10" ht="15.75" x14ac:dyDescent="0.25">
      <c r="B18" s="182"/>
      <c r="C18" s="73"/>
      <c r="D18" s="69">
        <f t="shared" si="1"/>
        <v>0</v>
      </c>
      <c r="E18" s="244"/>
      <c r="F18" s="105">
        <f t="shared" ref="F18:F39" si="4">D18</f>
        <v>0</v>
      </c>
      <c r="G18" s="70"/>
      <c r="H18" s="379"/>
      <c r="I18" s="474">
        <f t="shared" si="3"/>
        <v>0</v>
      </c>
      <c r="J18" s="461">
        <f t="shared" si="2"/>
        <v>0</v>
      </c>
    </row>
    <row r="19" spans="1:10" ht="15.75" x14ac:dyDescent="0.25">
      <c r="B19" s="182"/>
      <c r="C19" s="73"/>
      <c r="D19" s="69">
        <f t="shared" si="1"/>
        <v>0</v>
      </c>
      <c r="E19" s="244"/>
      <c r="F19" s="105">
        <f t="shared" si="4"/>
        <v>0</v>
      </c>
      <c r="G19" s="70"/>
      <c r="H19" s="379"/>
      <c r="I19" s="474">
        <f t="shared" si="3"/>
        <v>0</v>
      </c>
      <c r="J19" s="461">
        <f t="shared" si="2"/>
        <v>0</v>
      </c>
    </row>
    <row r="20" spans="1:10" ht="15.75" x14ac:dyDescent="0.25">
      <c r="B20" s="182"/>
      <c r="C20" s="73"/>
      <c r="D20" s="69">
        <f t="shared" si="1"/>
        <v>0</v>
      </c>
      <c r="E20" s="244"/>
      <c r="F20" s="105">
        <f t="shared" si="4"/>
        <v>0</v>
      </c>
      <c r="G20" s="70"/>
      <c r="H20" s="379"/>
      <c r="I20" s="474">
        <f t="shared" si="3"/>
        <v>0</v>
      </c>
      <c r="J20" s="461">
        <f t="shared" si="2"/>
        <v>0</v>
      </c>
    </row>
    <row r="21" spans="1:10" ht="15.75" x14ac:dyDescent="0.25">
      <c r="B21" s="182"/>
      <c r="C21" s="73"/>
      <c r="D21" s="69">
        <f t="shared" si="1"/>
        <v>0</v>
      </c>
      <c r="E21" s="244"/>
      <c r="F21" s="105">
        <f t="shared" si="4"/>
        <v>0</v>
      </c>
      <c r="G21" s="70"/>
      <c r="H21" s="379"/>
      <c r="I21" s="474">
        <f t="shared" si="3"/>
        <v>0</v>
      </c>
      <c r="J21" s="461">
        <f t="shared" si="2"/>
        <v>0</v>
      </c>
    </row>
    <row r="22" spans="1:10" ht="15.75" x14ac:dyDescent="0.25">
      <c r="B22" s="182"/>
      <c r="C22" s="73"/>
      <c r="D22" s="69">
        <f t="shared" si="1"/>
        <v>0</v>
      </c>
      <c r="E22" s="244"/>
      <c r="F22" s="105">
        <f t="shared" si="4"/>
        <v>0</v>
      </c>
      <c r="G22" s="70"/>
      <c r="H22" s="379"/>
      <c r="I22" s="474">
        <f t="shared" si="3"/>
        <v>0</v>
      </c>
      <c r="J22" s="461">
        <f t="shared" si="2"/>
        <v>0</v>
      </c>
    </row>
    <row r="23" spans="1:10" ht="15.75" x14ac:dyDescent="0.25">
      <c r="B23" s="182"/>
      <c r="C23" s="73"/>
      <c r="D23" s="69">
        <f t="shared" si="1"/>
        <v>0</v>
      </c>
      <c r="E23" s="244"/>
      <c r="F23" s="105">
        <f t="shared" si="4"/>
        <v>0</v>
      </c>
      <c r="G23" s="70"/>
      <c r="H23" s="330"/>
      <c r="I23" s="474">
        <f t="shared" si="3"/>
        <v>0</v>
      </c>
      <c r="J23" s="461">
        <f t="shared" si="2"/>
        <v>0</v>
      </c>
    </row>
    <row r="24" spans="1:10" ht="15.75" x14ac:dyDescent="0.25">
      <c r="B24" s="182"/>
      <c r="C24" s="73"/>
      <c r="D24" s="69">
        <f t="shared" si="1"/>
        <v>0</v>
      </c>
      <c r="E24" s="244"/>
      <c r="F24" s="105">
        <f t="shared" si="4"/>
        <v>0</v>
      </c>
      <c r="G24" s="70"/>
      <c r="H24" s="330"/>
      <c r="I24" s="474">
        <f t="shared" si="3"/>
        <v>0</v>
      </c>
      <c r="J24" s="461">
        <f t="shared" si="2"/>
        <v>0</v>
      </c>
    </row>
    <row r="25" spans="1:10" ht="15.75" x14ac:dyDescent="0.25">
      <c r="B25" s="182"/>
      <c r="C25" s="73"/>
      <c r="D25" s="69">
        <f t="shared" si="1"/>
        <v>0</v>
      </c>
      <c r="E25" s="244"/>
      <c r="F25" s="105">
        <f t="shared" si="4"/>
        <v>0</v>
      </c>
      <c r="G25" s="70"/>
      <c r="H25" s="330"/>
      <c r="I25" s="474">
        <f t="shared" si="3"/>
        <v>0</v>
      </c>
      <c r="J25" s="461">
        <f t="shared" si="2"/>
        <v>0</v>
      </c>
    </row>
    <row r="26" spans="1:10" ht="15.75" x14ac:dyDescent="0.25">
      <c r="B26" s="182"/>
      <c r="C26" s="73"/>
      <c r="D26" s="69">
        <f t="shared" si="1"/>
        <v>0</v>
      </c>
      <c r="E26" s="244"/>
      <c r="F26" s="105">
        <f t="shared" si="4"/>
        <v>0</v>
      </c>
      <c r="G26" s="70"/>
      <c r="H26" s="330"/>
      <c r="I26" s="474">
        <f t="shared" si="3"/>
        <v>0</v>
      </c>
      <c r="J26" s="461">
        <f t="shared" si="2"/>
        <v>0</v>
      </c>
    </row>
    <row r="27" spans="1:10" ht="15.75" x14ac:dyDescent="0.25">
      <c r="B27" s="182"/>
      <c r="C27" s="73"/>
      <c r="D27" s="69">
        <f t="shared" si="1"/>
        <v>0</v>
      </c>
      <c r="E27" s="244"/>
      <c r="F27" s="105">
        <f t="shared" si="4"/>
        <v>0</v>
      </c>
      <c r="G27" s="70"/>
      <c r="H27" s="330"/>
      <c r="I27" s="474">
        <f t="shared" si="3"/>
        <v>0</v>
      </c>
      <c r="J27" s="461">
        <f t="shared" si="2"/>
        <v>0</v>
      </c>
    </row>
    <row r="28" spans="1:10" ht="15.75" x14ac:dyDescent="0.25">
      <c r="B28" s="182"/>
      <c r="C28" s="73"/>
      <c r="D28" s="69">
        <f t="shared" si="1"/>
        <v>0</v>
      </c>
      <c r="E28" s="244"/>
      <c r="F28" s="105">
        <f t="shared" si="4"/>
        <v>0</v>
      </c>
      <c r="G28" s="70"/>
      <c r="H28" s="330"/>
      <c r="I28" s="474">
        <f t="shared" si="3"/>
        <v>0</v>
      </c>
      <c r="J28" s="461">
        <f t="shared" si="2"/>
        <v>0</v>
      </c>
    </row>
    <row r="29" spans="1:10" ht="15.75" x14ac:dyDescent="0.25">
      <c r="A29" s="47"/>
      <c r="B29" s="182"/>
      <c r="C29" s="73"/>
      <c r="D29" s="69">
        <f t="shared" si="1"/>
        <v>0</v>
      </c>
      <c r="E29" s="244"/>
      <c r="F29" s="105">
        <f t="shared" si="4"/>
        <v>0</v>
      </c>
      <c r="G29" s="70"/>
      <c r="H29" s="330"/>
      <c r="I29" s="474">
        <f t="shared" si="3"/>
        <v>0</v>
      </c>
      <c r="J29" s="461">
        <f t="shared" si="2"/>
        <v>0</v>
      </c>
    </row>
    <row r="30" spans="1:10" ht="15.75" x14ac:dyDescent="0.25">
      <c r="A30" s="47"/>
      <c r="B30" s="182"/>
      <c r="C30" s="73"/>
      <c r="D30" s="69">
        <f t="shared" si="1"/>
        <v>0</v>
      </c>
      <c r="E30" s="244"/>
      <c r="F30" s="105">
        <f t="shared" si="4"/>
        <v>0</v>
      </c>
      <c r="G30" s="70"/>
      <c r="H30" s="330"/>
      <c r="I30" s="474">
        <f t="shared" si="3"/>
        <v>0</v>
      </c>
      <c r="J30" s="461">
        <f t="shared" si="2"/>
        <v>0</v>
      </c>
    </row>
    <row r="31" spans="1:10" ht="15.75" x14ac:dyDescent="0.25">
      <c r="A31" s="47"/>
      <c r="B31" s="182"/>
      <c r="C31" s="73"/>
      <c r="D31" s="69">
        <f t="shared" si="1"/>
        <v>0</v>
      </c>
      <c r="E31" s="244"/>
      <c r="F31" s="105">
        <f t="shared" si="4"/>
        <v>0</v>
      </c>
      <c r="G31" s="70"/>
      <c r="H31" s="330"/>
      <c r="I31" s="474">
        <f t="shared" si="3"/>
        <v>0</v>
      </c>
      <c r="J31" s="461">
        <f t="shared" si="2"/>
        <v>0</v>
      </c>
    </row>
    <row r="32" spans="1:10" ht="15.75" x14ac:dyDescent="0.25">
      <c r="A32" s="47"/>
      <c r="B32" s="182"/>
      <c r="C32" s="73"/>
      <c r="D32" s="69">
        <f t="shared" si="1"/>
        <v>0</v>
      </c>
      <c r="E32" s="244"/>
      <c r="F32" s="105">
        <f t="shared" si="4"/>
        <v>0</v>
      </c>
      <c r="G32" s="70"/>
      <c r="H32" s="330"/>
      <c r="I32" s="474">
        <f t="shared" si="3"/>
        <v>0</v>
      </c>
      <c r="J32" s="461">
        <f t="shared" si="2"/>
        <v>0</v>
      </c>
    </row>
    <row r="33" spans="1:10" ht="15.75" x14ac:dyDescent="0.25">
      <c r="A33" s="47"/>
      <c r="B33" s="182"/>
      <c r="C33" s="73"/>
      <c r="D33" s="69">
        <f t="shared" si="1"/>
        <v>0</v>
      </c>
      <c r="E33" s="244"/>
      <c r="F33" s="105">
        <f t="shared" si="4"/>
        <v>0</v>
      </c>
      <c r="G33" s="70"/>
      <c r="H33" s="330"/>
      <c r="I33" s="474">
        <f t="shared" si="3"/>
        <v>0</v>
      </c>
      <c r="J33" s="461">
        <f t="shared" si="2"/>
        <v>0</v>
      </c>
    </row>
    <row r="34" spans="1:10" ht="15.75" x14ac:dyDescent="0.25">
      <c r="A34" s="47"/>
      <c r="B34" s="182"/>
      <c r="C34" s="73"/>
      <c r="D34" s="69">
        <f t="shared" si="1"/>
        <v>0</v>
      </c>
      <c r="E34" s="244"/>
      <c r="F34" s="105">
        <f t="shared" si="4"/>
        <v>0</v>
      </c>
      <c r="G34" s="70"/>
      <c r="H34" s="330"/>
      <c r="I34" s="474">
        <f t="shared" si="3"/>
        <v>0</v>
      </c>
      <c r="J34" s="461">
        <f t="shared" si="2"/>
        <v>0</v>
      </c>
    </row>
    <row r="35" spans="1:10" ht="15.75" x14ac:dyDescent="0.25">
      <c r="A35" s="47"/>
      <c r="B35" s="182"/>
      <c r="C35" s="73"/>
      <c r="D35" s="69">
        <f t="shared" si="1"/>
        <v>0</v>
      </c>
      <c r="E35" s="244"/>
      <c r="F35" s="105">
        <f t="shared" si="4"/>
        <v>0</v>
      </c>
      <c r="G35" s="70"/>
      <c r="H35" s="330"/>
      <c r="I35" s="474">
        <f t="shared" si="3"/>
        <v>0</v>
      </c>
      <c r="J35" s="461">
        <f t="shared" si="2"/>
        <v>0</v>
      </c>
    </row>
    <row r="36" spans="1:10" ht="15.75" x14ac:dyDescent="0.25">
      <c r="A36" s="47"/>
      <c r="B36" s="182"/>
      <c r="C36" s="73"/>
      <c r="D36" s="69">
        <f t="shared" si="1"/>
        <v>0</v>
      </c>
      <c r="E36" s="244"/>
      <c r="F36" s="105">
        <f t="shared" si="4"/>
        <v>0</v>
      </c>
      <c r="G36" s="70"/>
      <c r="H36" s="71"/>
      <c r="I36" s="474">
        <f t="shared" si="3"/>
        <v>0</v>
      </c>
      <c r="J36" s="461">
        <f t="shared" si="2"/>
        <v>0</v>
      </c>
    </row>
    <row r="37" spans="1:10" ht="15.75" x14ac:dyDescent="0.25">
      <c r="A37" s="47"/>
      <c r="B37" s="182"/>
      <c r="C37" s="73"/>
      <c r="D37" s="69">
        <f t="shared" si="1"/>
        <v>0</v>
      </c>
      <c r="E37" s="244"/>
      <c r="F37" s="105">
        <f t="shared" si="4"/>
        <v>0</v>
      </c>
      <c r="G37" s="70"/>
      <c r="H37" s="71"/>
      <c r="I37" s="474">
        <f t="shared" si="3"/>
        <v>0</v>
      </c>
      <c r="J37" s="461">
        <f t="shared" si="2"/>
        <v>0</v>
      </c>
    </row>
    <row r="38" spans="1:10" ht="15.75" x14ac:dyDescent="0.25">
      <c r="A38" s="47"/>
      <c r="B38" s="182"/>
      <c r="C38" s="15"/>
      <c r="D38" s="69">
        <f t="shared" si="1"/>
        <v>0</v>
      </c>
      <c r="E38" s="244"/>
      <c r="F38" s="105">
        <f t="shared" si="4"/>
        <v>0</v>
      </c>
      <c r="G38" s="70"/>
      <c r="H38" s="71"/>
      <c r="I38" s="474">
        <f t="shared" si="3"/>
        <v>0</v>
      </c>
      <c r="J38" s="461">
        <f t="shared" si="2"/>
        <v>0</v>
      </c>
    </row>
    <row r="39" spans="1:10" ht="15.75" thickBot="1" x14ac:dyDescent="0.3">
      <c r="A39" s="121"/>
      <c r="B39" s="183"/>
      <c r="C39" s="37"/>
      <c r="D39" s="69">
        <f t="shared" si="1"/>
        <v>0</v>
      </c>
      <c r="E39" s="203"/>
      <c r="F39" s="204">
        <f t="shared" si="4"/>
        <v>0</v>
      </c>
      <c r="G39" s="139"/>
      <c r="H39" s="198"/>
      <c r="I39" s="458"/>
      <c r="J39" s="459">
        <f t="shared" si="2"/>
        <v>0</v>
      </c>
    </row>
    <row r="40" spans="1:10" ht="15.75" thickTop="1" x14ac:dyDescent="0.25">
      <c r="A40" s="47">
        <f>SUM(A29:A39)</f>
        <v>0</v>
      </c>
      <c r="C40" s="73">
        <f>SUM(C8:C39)</f>
        <v>0</v>
      </c>
      <c r="D40" s="105">
        <f>SUM(D8:D39)</f>
        <v>0</v>
      </c>
      <c r="E40" s="75"/>
      <c r="F40" s="105">
        <f>SUM(F8:F39)</f>
        <v>0</v>
      </c>
    </row>
    <row r="41" spans="1:10" ht="15.75" thickBot="1" x14ac:dyDescent="0.3">
      <c r="A41" s="47"/>
    </row>
    <row r="42" spans="1:10" x14ac:dyDescent="0.25">
      <c r="B42" s="5"/>
      <c r="D42" s="1375" t="s">
        <v>21</v>
      </c>
      <c r="E42" s="1376"/>
      <c r="F42" s="141">
        <f>E4+E5-F40+E6</f>
        <v>0</v>
      </c>
    </row>
    <row r="43" spans="1:10" ht="15.75" thickBot="1" x14ac:dyDescent="0.3">
      <c r="A43" s="125"/>
      <c r="D43" s="262" t="s">
        <v>4</v>
      </c>
      <c r="E43" s="263"/>
      <c r="F43" s="49">
        <f>F4+F5-C40+F6</f>
        <v>0</v>
      </c>
    </row>
    <row r="44" spans="1:10" x14ac:dyDescent="0.25">
      <c r="B44" s="5"/>
    </row>
  </sheetData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O33"/>
  <sheetViews>
    <sheetView workbookViewId="0">
      <selection activeCell="G13" sqref="G13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390" t="s">
        <v>339</v>
      </c>
      <c r="B1" s="1390"/>
      <c r="C1" s="1390"/>
      <c r="D1" s="1390"/>
      <c r="E1" s="1390"/>
      <c r="F1" s="1390"/>
      <c r="G1" s="1390"/>
      <c r="H1" s="11">
        <v>1</v>
      </c>
    </row>
    <row r="2" spans="1:15" ht="16.5" thickBot="1" x14ac:dyDescent="0.3">
      <c r="K2" s="439"/>
      <c r="L2" s="128"/>
      <c r="M2" s="134"/>
      <c r="N2" s="124"/>
      <c r="O2" s="73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8">
        <v>81</v>
      </c>
      <c r="D4" s="134">
        <v>44916</v>
      </c>
      <c r="E4" s="180">
        <v>255.24</v>
      </c>
      <c r="F4" s="137">
        <v>10</v>
      </c>
      <c r="G4" s="38"/>
    </row>
    <row r="5" spans="1:15" ht="18.75" customHeight="1" x14ac:dyDescent="0.25">
      <c r="A5" s="1391" t="s">
        <v>97</v>
      </c>
      <c r="B5" s="1407" t="s">
        <v>79</v>
      </c>
      <c r="C5" s="128">
        <v>81</v>
      </c>
      <c r="D5" s="134">
        <v>44919</v>
      </c>
      <c r="E5" s="124">
        <v>495.07</v>
      </c>
      <c r="F5" s="73">
        <v>20</v>
      </c>
      <c r="G5" s="88">
        <f>F29</f>
        <v>1061.8500000000001</v>
      </c>
      <c r="H5" s="7">
        <f>E5-G5+E4+E6</f>
        <v>666.93999999999983</v>
      </c>
    </row>
    <row r="6" spans="1:15" ht="16.5" thickBot="1" x14ac:dyDescent="0.3">
      <c r="A6" s="1391"/>
      <c r="B6" s="1408"/>
      <c r="C6" s="128">
        <v>81</v>
      </c>
      <c r="D6" s="134">
        <v>44924</v>
      </c>
      <c r="E6" s="180">
        <v>978.48</v>
      </c>
      <c r="F6" s="137">
        <v>35</v>
      </c>
    </row>
    <row r="7" spans="1:15" ht="16.5" thickTop="1" thickBot="1" x14ac:dyDescent="0.3">
      <c r="B7" s="181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82">
        <f>F4+F5+F6-C8</f>
        <v>63</v>
      </c>
      <c r="C8" s="15">
        <v>2</v>
      </c>
      <c r="D8" s="69">
        <v>47.57</v>
      </c>
      <c r="E8" s="134">
        <v>44916</v>
      </c>
      <c r="F8" s="105">
        <f t="shared" ref="F8:F28" si="0">D8</f>
        <v>47.57</v>
      </c>
      <c r="G8" s="70" t="s">
        <v>774</v>
      </c>
      <c r="H8" s="71">
        <v>83</v>
      </c>
      <c r="I8" s="453">
        <f>E5+E6-F8+E4</f>
        <v>1681.22</v>
      </c>
      <c r="J8" s="454">
        <f>H8*F8</f>
        <v>3948.31</v>
      </c>
    </row>
    <row r="9" spans="1:15" x14ac:dyDescent="0.25">
      <c r="B9" s="182">
        <f>B8-C9</f>
        <v>35</v>
      </c>
      <c r="C9" s="15">
        <v>28</v>
      </c>
      <c r="D9" s="69">
        <v>702.74</v>
      </c>
      <c r="E9" s="134">
        <v>44922</v>
      </c>
      <c r="F9" s="105">
        <f t="shared" si="0"/>
        <v>702.74</v>
      </c>
      <c r="G9" s="70" t="s">
        <v>834</v>
      </c>
      <c r="H9" s="71">
        <v>83</v>
      </c>
      <c r="I9" s="453">
        <f>I8-F9</f>
        <v>978.48</v>
      </c>
      <c r="J9" s="454">
        <f t="shared" ref="J9:J28" si="1">H9*F9</f>
        <v>58327.42</v>
      </c>
    </row>
    <row r="10" spans="1:15" x14ac:dyDescent="0.25">
      <c r="B10" s="182">
        <f t="shared" ref="B10:B27" si="2">B9-C10</f>
        <v>33</v>
      </c>
      <c r="C10" s="15">
        <v>2</v>
      </c>
      <c r="D10" s="69">
        <v>58.24</v>
      </c>
      <c r="E10" s="134">
        <v>44925</v>
      </c>
      <c r="F10" s="105">
        <f t="shared" si="0"/>
        <v>58.24</v>
      </c>
      <c r="G10" s="70" t="s">
        <v>855</v>
      </c>
      <c r="H10" s="71">
        <v>83</v>
      </c>
      <c r="I10" s="453">
        <f t="shared" ref="I10:I27" si="3">I9-F10</f>
        <v>920.24</v>
      </c>
      <c r="J10" s="454">
        <f t="shared" si="1"/>
        <v>4833.92</v>
      </c>
    </row>
    <row r="11" spans="1:15" x14ac:dyDescent="0.25">
      <c r="A11" s="55" t="s">
        <v>33</v>
      </c>
      <c r="B11" s="182">
        <f t="shared" si="2"/>
        <v>32</v>
      </c>
      <c r="C11" s="15">
        <v>1</v>
      </c>
      <c r="D11" s="69">
        <v>30.23</v>
      </c>
      <c r="E11" s="134">
        <v>44925</v>
      </c>
      <c r="F11" s="105">
        <f t="shared" si="0"/>
        <v>30.23</v>
      </c>
      <c r="G11" s="70" t="s">
        <v>856</v>
      </c>
      <c r="H11" s="71">
        <v>83</v>
      </c>
      <c r="I11" s="453">
        <f t="shared" si="3"/>
        <v>890.01</v>
      </c>
      <c r="J11" s="454">
        <f t="shared" si="1"/>
        <v>2509.09</v>
      </c>
    </row>
    <row r="12" spans="1:15" x14ac:dyDescent="0.25">
      <c r="B12" s="182">
        <f t="shared" si="2"/>
        <v>24</v>
      </c>
      <c r="C12" s="15">
        <v>8</v>
      </c>
      <c r="D12" s="69">
        <v>223.07</v>
      </c>
      <c r="E12" s="134">
        <v>44930</v>
      </c>
      <c r="F12" s="105">
        <f t="shared" si="0"/>
        <v>223.07</v>
      </c>
      <c r="G12" s="70" t="s">
        <v>876</v>
      </c>
      <c r="H12" s="71">
        <v>83</v>
      </c>
      <c r="I12" s="453">
        <f t="shared" si="3"/>
        <v>666.94</v>
      </c>
      <c r="J12" s="454">
        <f t="shared" si="1"/>
        <v>18514.809999999998</v>
      </c>
    </row>
    <row r="13" spans="1:15" x14ac:dyDescent="0.25">
      <c r="A13" s="19"/>
      <c r="B13" s="182">
        <f t="shared" si="2"/>
        <v>24</v>
      </c>
      <c r="C13" s="15"/>
      <c r="D13" s="69">
        <v>0</v>
      </c>
      <c r="E13" s="134"/>
      <c r="F13" s="105">
        <f t="shared" si="0"/>
        <v>0</v>
      </c>
      <c r="G13" s="70"/>
      <c r="H13" s="71"/>
      <c r="I13" s="455">
        <f t="shared" si="3"/>
        <v>666.94</v>
      </c>
      <c r="J13" s="454">
        <f t="shared" si="1"/>
        <v>0</v>
      </c>
    </row>
    <row r="14" spans="1:15" x14ac:dyDescent="0.25">
      <c r="A14" s="19"/>
      <c r="B14" s="182">
        <f t="shared" si="2"/>
        <v>24</v>
      </c>
      <c r="C14" s="15"/>
      <c r="D14" s="69">
        <v>0</v>
      </c>
      <c r="E14" s="134"/>
      <c r="F14" s="105">
        <f t="shared" si="0"/>
        <v>0</v>
      </c>
      <c r="G14" s="70"/>
      <c r="H14" s="71"/>
      <c r="I14" s="455">
        <f t="shared" si="3"/>
        <v>666.94</v>
      </c>
      <c r="J14" s="454">
        <f t="shared" si="1"/>
        <v>0</v>
      </c>
    </row>
    <row r="15" spans="1:15" x14ac:dyDescent="0.25">
      <c r="A15" s="19"/>
      <c r="B15" s="182">
        <f t="shared" si="2"/>
        <v>24</v>
      </c>
      <c r="C15" s="15"/>
      <c r="D15" s="69">
        <v>0</v>
      </c>
      <c r="E15" s="134"/>
      <c r="F15" s="105">
        <f t="shared" si="0"/>
        <v>0</v>
      </c>
      <c r="G15" s="70"/>
      <c r="H15" s="71"/>
      <c r="I15" s="455">
        <f t="shared" si="3"/>
        <v>666.94</v>
      </c>
      <c r="J15" s="454">
        <f t="shared" si="1"/>
        <v>0</v>
      </c>
    </row>
    <row r="16" spans="1:15" x14ac:dyDescent="0.25">
      <c r="A16" s="19"/>
      <c r="B16" s="182">
        <f t="shared" si="2"/>
        <v>24</v>
      </c>
      <c r="C16" s="15"/>
      <c r="D16" s="69">
        <v>0</v>
      </c>
      <c r="E16" s="134"/>
      <c r="F16" s="105">
        <f t="shared" si="0"/>
        <v>0</v>
      </c>
      <c r="G16" s="70"/>
      <c r="H16" s="71"/>
      <c r="I16" s="455">
        <f t="shared" si="3"/>
        <v>666.94</v>
      </c>
      <c r="J16" s="454">
        <f t="shared" si="1"/>
        <v>0</v>
      </c>
    </row>
    <row r="17" spans="1:10" x14ac:dyDescent="0.25">
      <c r="A17" s="19"/>
      <c r="B17" s="182">
        <f t="shared" si="2"/>
        <v>24</v>
      </c>
      <c r="C17" s="15"/>
      <c r="D17" s="69">
        <v>0</v>
      </c>
      <c r="E17" s="134"/>
      <c r="F17" s="105">
        <f t="shared" si="0"/>
        <v>0</v>
      </c>
      <c r="G17" s="70"/>
      <c r="H17" s="71"/>
      <c r="I17" s="455">
        <f t="shared" si="3"/>
        <v>666.94</v>
      </c>
      <c r="J17" s="454">
        <f t="shared" si="1"/>
        <v>0</v>
      </c>
    </row>
    <row r="18" spans="1:10" x14ac:dyDescent="0.25">
      <c r="A18" s="19"/>
      <c r="B18" s="182">
        <f t="shared" si="2"/>
        <v>24</v>
      </c>
      <c r="C18" s="15"/>
      <c r="D18" s="69">
        <v>0</v>
      </c>
      <c r="E18" s="134"/>
      <c r="F18" s="105">
        <f t="shared" si="0"/>
        <v>0</v>
      </c>
      <c r="G18" s="70"/>
      <c r="H18" s="71"/>
      <c r="I18" s="455">
        <f t="shared" si="3"/>
        <v>666.94</v>
      </c>
      <c r="J18" s="454">
        <f t="shared" si="1"/>
        <v>0</v>
      </c>
    </row>
    <row r="19" spans="1:10" x14ac:dyDescent="0.25">
      <c r="A19" s="19"/>
      <c r="B19" s="182">
        <f t="shared" si="2"/>
        <v>24</v>
      </c>
      <c r="C19" s="15"/>
      <c r="D19" s="69">
        <v>0</v>
      </c>
      <c r="E19" s="134"/>
      <c r="F19" s="105">
        <f t="shared" si="0"/>
        <v>0</v>
      </c>
      <c r="G19" s="70"/>
      <c r="H19" s="71"/>
      <c r="I19" s="455">
        <f t="shared" si="3"/>
        <v>666.94</v>
      </c>
      <c r="J19" s="454">
        <f t="shared" si="1"/>
        <v>0</v>
      </c>
    </row>
    <row r="20" spans="1:10" x14ac:dyDescent="0.25">
      <c r="A20" s="19"/>
      <c r="B20" s="182">
        <f t="shared" si="2"/>
        <v>24</v>
      </c>
      <c r="C20" s="15"/>
      <c r="D20" s="69">
        <v>0</v>
      </c>
      <c r="E20" s="134"/>
      <c r="F20" s="105">
        <f t="shared" si="0"/>
        <v>0</v>
      </c>
      <c r="G20" s="70"/>
      <c r="H20" s="71"/>
      <c r="I20" s="455">
        <f t="shared" si="3"/>
        <v>666.94</v>
      </c>
      <c r="J20" s="454">
        <f t="shared" si="1"/>
        <v>0</v>
      </c>
    </row>
    <row r="21" spans="1:10" x14ac:dyDescent="0.25">
      <c r="A21" s="19"/>
      <c r="B21" s="182">
        <f t="shared" si="2"/>
        <v>24</v>
      </c>
      <c r="C21" s="15"/>
      <c r="D21" s="69">
        <v>0</v>
      </c>
      <c r="E21" s="134"/>
      <c r="F21" s="105">
        <f t="shared" si="0"/>
        <v>0</v>
      </c>
      <c r="G21" s="70"/>
      <c r="H21" s="71"/>
      <c r="I21" s="455">
        <f t="shared" si="3"/>
        <v>666.94</v>
      </c>
      <c r="J21" s="454">
        <f t="shared" si="1"/>
        <v>0</v>
      </c>
    </row>
    <row r="22" spans="1:10" x14ac:dyDescent="0.25">
      <c r="A22" s="19"/>
      <c r="B22" s="182">
        <f t="shared" si="2"/>
        <v>24</v>
      </c>
      <c r="C22" s="15"/>
      <c r="D22" s="69">
        <v>0</v>
      </c>
      <c r="E22" s="134"/>
      <c r="F22" s="105">
        <f t="shared" si="0"/>
        <v>0</v>
      </c>
      <c r="G22" s="70"/>
      <c r="H22" s="71"/>
      <c r="I22" s="455">
        <f t="shared" si="3"/>
        <v>666.94</v>
      </c>
      <c r="J22" s="454">
        <f t="shared" si="1"/>
        <v>0</v>
      </c>
    </row>
    <row r="23" spans="1:10" x14ac:dyDescent="0.25">
      <c r="A23" s="19"/>
      <c r="B23" s="182">
        <f t="shared" si="2"/>
        <v>24</v>
      </c>
      <c r="C23" s="15"/>
      <c r="D23" s="69">
        <v>0</v>
      </c>
      <c r="E23" s="134"/>
      <c r="F23" s="105">
        <f t="shared" si="0"/>
        <v>0</v>
      </c>
      <c r="G23" s="70"/>
      <c r="H23" s="71"/>
      <c r="I23" s="455">
        <f t="shared" si="3"/>
        <v>666.94</v>
      </c>
      <c r="J23" s="454">
        <f t="shared" si="1"/>
        <v>0</v>
      </c>
    </row>
    <row r="24" spans="1:10" x14ac:dyDescent="0.25">
      <c r="A24" s="19"/>
      <c r="B24" s="182">
        <f t="shared" si="2"/>
        <v>24</v>
      </c>
      <c r="C24" s="15"/>
      <c r="D24" s="69">
        <v>0</v>
      </c>
      <c r="E24" s="134"/>
      <c r="F24" s="105">
        <f t="shared" si="0"/>
        <v>0</v>
      </c>
      <c r="G24" s="70"/>
      <c r="H24" s="71"/>
      <c r="I24" s="455">
        <f t="shared" si="3"/>
        <v>666.94</v>
      </c>
      <c r="J24" s="454">
        <f t="shared" si="1"/>
        <v>0</v>
      </c>
    </row>
    <row r="25" spans="1:10" x14ac:dyDescent="0.25">
      <c r="A25" s="19"/>
      <c r="B25" s="182">
        <f t="shared" si="2"/>
        <v>24</v>
      </c>
      <c r="C25" s="15"/>
      <c r="D25" s="69">
        <v>0</v>
      </c>
      <c r="E25" s="134"/>
      <c r="F25" s="105">
        <f t="shared" si="0"/>
        <v>0</v>
      </c>
      <c r="G25" s="70"/>
      <c r="H25" s="71"/>
      <c r="I25" s="455">
        <f t="shared" si="3"/>
        <v>666.94</v>
      </c>
      <c r="J25" s="454">
        <f t="shared" si="1"/>
        <v>0</v>
      </c>
    </row>
    <row r="26" spans="1:10" x14ac:dyDescent="0.25">
      <c r="A26" s="19"/>
      <c r="B26" s="182">
        <f t="shared" si="2"/>
        <v>24</v>
      </c>
      <c r="C26" s="15"/>
      <c r="D26" s="69">
        <v>0</v>
      </c>
      <c r="E26" s="134"/>
      <c r="F26" s="105">
        <f t="shared" si="0"/>
        <v>0</v>
      </c>
      <c r="G26" s="70"/>
      <c r="H26" s="71"/>
      <c r="I26" s="455">
        <f t="shared" si="3"/>
        <v>666.94</v>
      </c>
      <c r="J26" s="454">
        <f t="shared" si="1"/>
        <v>0</v>
      </c>
    </row>
    <row r="27" spans="1:10" x14ac:dyDescent="0.25">
      <c r="B27" s="182">
        <f t="shared" si="2"/>
        <v>24</v>
      </c>
      <c r="C27" s="15"/>
      <c r="D27" s="69">
        <v>0</v>
      </c>
      <c r="E27" s="134"/>
      <c r="F27" s="105">
        <f t="shared" si="0"/>
        <v>0</v>
      </c>
      <c r="G27" s="70"/>
      <c r="H27" s="71"/>
      <c r="I27" s="453">
        <f t="shared" si="3"/>
        <v>666.94</v>
      </c>
      <c r="J27" s="454">
        <f t="shared" si="1"/>
        <v>0</v>
      </c>
    </row>
    <row r="28" spans="1:10" ht="15.75" thickBot="1" x14ac:dyDescent="0.3">
      <c r="A28" s="121"/>
      <c r="B28" s="183"/>
      <c r="C28" s="37"/>
      <c r="D28" s="69">
        <v>0</v>
      </c>
      <c r="E28" s="246"/>
      <c r="F28" s="204">
        <f t="shared" si="0"/>
        <v>0</v>
      </c>
      <c r="G28" s="139"/>
      <c r="H28" s="198"/>
      <c r="I28" s="456"/>
      <c r="J28" s="457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41</v>
      </c>
      <c r="D29" s="105">
        <f>SUM(D8:D28)</f>
        <v>1061.8500000000001</v>
      </c>
      <c r="E29" s="134"/>
      <c r="F29" s="105">
        <f>SUM(F8:F28)</f>
        <v>1061.8500000000001</v>
      </c>
      <c r="G29" s="152"/>
      <c r="H29" s="152"/>
    </row>
    <row r="30" spans="1:10" ht="15.75" thickBot="1" x14ac:dyDescent="0.3">
      <c r="A30" s="47"/>
    </row>
    <row r="31" spans="1:10" x14ac:dyDescent="0.25">
      <c r="B31" s="184"/>
      <c r="D31" s="1375" t="s">
        <v>21</v>
      </c>
      <c r="E31" s="1376"/>
      <c r="F31" s="141">
        <f>E4+E5-F29+E6</f>
        <v>666.93999999999983</v>
      </c>
    </row>
    <row r="32" spans="1:10" ht="15.75" thickBot="1" x14ac:dyDescent="0.3">
      <c r="A32" s="125"/>
      <c r="D32" s="262" t="s">
        <v>4</v>
      </c>
      <c r="E32" s="263"/>
      <c r="F32" s="49">
        <f>F4+F5-C29+F6</f>
        <v>24</v>
      </c>
    </row>
    <row r="33" spans="2:2" x14ac:dyDescent="0.25">
      <c r="B33" s="184"/>
    </row>
  </sheetData>
  <sortState ref="D4:F6">
    <sortCondition ref="D4:D6"/>
  </sortState>
  <mergeCells count="4">
    <mergeCell ref="A1:G1"/>
    <mergeCell ref="A5:A6"/>
    <mergeCell ref="D31:E31"/>
    <mergeCell ref="B5:B6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O33"/>
  <sheetViews>
    <sheetView workbookViewId="0">
      <selection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390"/>
      <c r="B1" s="1390"/>
      <c r="C1" s="1390"/>
      <c r="D1" s="1390"/>
      <c r="E1" s="1390"/>
      <c r="F1" s="1390"/>
      <c r="G1" s="1390"/>
      <c r="H1" s="11">
        <v>1</v>
      </c>
    </row>
    <row r="2" spans="1:15" ht="16.5" thickBot="1" x14ac:dyDescent="0.3">
      <c r="K2" s="439"/>
      <c r="L2" s="128"/>
      <c r="M2" s="134"/>
      <c r="N2" s="124"/>
      <c r="O2" s="73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22.5" customHeight="1" thickTop="1" x14ac:dyDescent="0.25">
      <c r="B4" s="1409" t="s">
        <v>85</v>
      </c>
      <c r="C4" s="128"/>
      <c r="D4" s="134"/>
      <c r="E4" s="180"/>
      <c r="F4" s="137"/>
      <c r="G4" s="38"/>
    </row>
    <row r="5" spans="1:15" ht="15.75" x14ac:dyDescent="0.25">
      <c r="A5" s="1391"/>
      <c r="B5" s="1407"/>
      <c r="C5" s="128"/>
      <c r="D5" s="134"/>
      <c r="E5" s="180"/>
      <c r="F5" s="137"/>
      <c r="G5" s="88">
        <f>F29</f>
        <v>0</v>
      </c>
      <c r="H5" s="7">
        <f>E5-G5+E4+E6</f>
        <v>0</v>
      </c>
    </row>
    <row r="6" spans="1:15" ht="15.75" thickBot="1" x14ac:dyDescent="0.3">
      <c r="A6" s="1391"/>
      <c r="B6" s="178"/>
      <c r="C6" s="128"/>
      <c r="D6" s="134"/>
      <c r="E6" s="124"/>
      <c r="F6" s="73"/>
    </row>
    <row r="7" spans="1:15" ht="16.5" thickTop="1" thickBot="1" x14ac:dyDescent="0.3">
      <c r="B7" s="181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82"/>
      <c r="C8" s="15"/>
      <c r="D8" s="69">
        <v>0</v>
      </c>
      <c r="E8" s="134"/>
      <c r="F8" s="105">
        <f t="shared" ref="F8:F28" si="0">D8</f>
        <v>0</v>
      </c>
      <c r="G8" s="70"/>
      <c r="H8" s="71"/>
      <c r="I8" s="453">
        <f>E5+E6-F8+E4</f>
        <v>0</v>
      </c>
      <c r="J8" s="454">
        <f>H8*F8</f>
        <v>0</v>
      </c>
    </row>
    <row r="9" spans="1:15" x14ac:dyDescent="0.25">
      <c r="B9" s="182"/>
      <c r="C9" s="15"/>
      <c r="D9" s="69">
        <v>0</v>
      </c>
      <c r="E9" s="134"/>
      <c r="F9" s="105">
        <f t="shared" si="0"/>
        <v>0</v>
      </c>
      <c r="G9" s="70"/>
      <c r="H9" s="71"/>
      <c r="I9" s="453">
        <f>I8-F9</f>
        <v>0</v>
      </c>
      <c r="J9" s="454">
        <f t="shared" ref="J9:J28" si="1">H9*F9</f>
        <v>0</v>
      </c>
    </row>
    <row r="10" spans="1:15" x14ac:dyDescent="0.25">
      <c r="B10" s="182"/>
      <c r="C10" s="15"/>
      <c r="D10" s="69">
        <v>0</v>
      </c>
      <c r="E10" s="134"/>
      <c r="F10" s="105">
        <f t="shared" si="0"/>
        <v>0</v>
      </c>
      <c r="G10" s="70"/>
      <c r="H10" s="71"/>
      <c r="I10" s="453">
        <f t="shared" ref="I10:I27" si="2">I9-F10</f>
        <v>0</v>
      </c>
      <c r="J10" s="454">
        <f t="shared" si="1"/>
        <v>0</v>
      </c>
    </row>
    <row r="11" spans="1:15" x14ac:dyDescent="0.25">
      <c r="A11" s="55" t="s">
        <v>33</v>
      </c>
      <c r="B11" s="182"/>
      <c r="C11" s="15"/>
      <c r="D11" s="69">
        <v>0</v>
      </c>
      <c r="E11" s="134"/>
      <c r="F11" s="105">
        <f t="shared" si="0"/>
        <v>0</v>
      </c>
      <c r="G11" s="70"/>
      <c r="H11" s="71"/>
      <c r="I11" s="453">
        <f t="shared" si="2"/>
        <v>0</v>
      </c>
      <c r="J11" s="454">
        <f t="shared" si="1"/>
        <v>0</v>
      </c>
    </row>
    <row r="12" spans="1:15" x14ac:dyDescent="0.25">
      <c r="B12" s="182"/>
      <c r="C12" s="15"/>
      <c r="D12" s="69">
        <v>0</v>
      </c>
      <c r="E12" s="134"/>
      <c r="F12" s="105">
        <f t="shared" si="0"/>
        <v>0</v>
      </c>
      <c r="G12" s="70"/>
      <c r="H12" s="71"/>
      <c r="I12" s="453">
        <f t="shared" si="2"/>
        <v>0</v>
      </c>
      <c r="J12" s="454">
        <f t="shared" si="1"/>
        <v>0</v>
      </c>
    </row>
    <row r="13" spans="1:15" x14ac:dyDescent="0.25">
      <c r="A13" s="19"/>
      <c r="B13" s="182"/>
      <c r="C13" s="15"/>
      <c r="D13" s="69">
        <v>0</v>
      </c>
      <c r="E13" s="134"/>
      <c r="F13" s="105">
        <f t="shared" si="0"/>
        <v>0</v>
      </c>
      <c r="G13" s="70"/>
      <c r="H13" s="71"/>
      <c r="I13" s="455">
        <f t="shared" si="2"/>
        <v>0</v>
      </c>
      <c r="J13" s="454">
        <f t="shared" si="1"/>
        <v>0</v>
      </c>
    </row>
    <row r="14" spans="1:15" x14ac:dyDescent="0.25">
      <c r="A14" s="19"/>
      <c r="B14" s="182"/>
      <c r="C14" s="15"/>
      <c r="D14" s="69">
        <v>0</v>
      </c>
      <c r="E14" s="134"/>
      <c r="F14" s="105">
        <f t="shared" si="0"/>
        <v>0</v>
      </c>
      <c r="G14" s="70"/>
      <c r="H14" s="71"/>
      <c r="I14" s="455">
        <f t="shared" si="2"/>
        <v>0</v>
      </c>
      <c r="J14" s="454">
        <f t="shared" si="1"/>
        <v>0</v>
      </c>
    </row>
    <row r="15" spans="1:15" x14ac:dyDescent="0.25">
      <c r="A15" s="19"/>
      <c r="B15" s="182"/>
      <c r="C15" s="15"/>
      <c r="D15" s="69">
        <v>0</v>
      </c>
      <c r="E15" s="134"/>
      <c r="F15" s="105">
        <f t="shared" si="0"/>
        <v>0</v>
      </c>
      <c r="G15" s="70"/>
      <c r="H15" s="71"/>
      <c r="I15" s="455">
        <f t="shared" si="2"/>
        <v>0</v>
      </c>
      <c r="J15" s="454">
        <f t="shared" si="1"/>
        <v>0</v>
      </c>
    </row>
    <row r="16" spans="1:15" x14ac:dyDescent="0.25">
      <c r="A16" s="19"/>
      <c r="B16" s="182"/>
      <c r="C16" s="15"/>
      <c r="D16" s="69">
        <v>0</v>
      </c>
      <c r="E16" s="134"/>
      <c r="F16" s="105">
        <f t="shared" si="0"/>
        <v>0</v>
      </c>
      <c r="G16" s="70"/>
      <c r="H16" s="71"/>
      <c r="I16" s="455">
        <f t="shared" si="2"/>
        <v>0</v>
      </c>
      <c r="J16" s="454">
        <f t="shared" si="1"/>
        <v>0</v>
      </c>
    </row>
    <row r="17" spans="1:10" x14ac:dyDescent="0.25">
      <c r="A17" s="19"/>
      <c r="B17" s="182"/>
      <c r="C17" s="15"/>
      <c r="D17" s="69">
        <v>0</v>
      </c>
      <c r="E17" s="134"/>
      <c r="F17" s="105">
        <f t="shared" si="0"/>
        <v>0</v>
      </c>
      <c r="G17" s="70"/>
      <c r="H17" s="71"/>
      <c r="I17" s="455">
        <f t="shared" si="2"/>
        <v>0</v>
      </c>
      <c r="J17" s="454">
        <f t="shared" si="1"/>
        <v>0</v>
      </c>
    </row>
    <row r="18" spans="1:10" x14ac:dyDescent="0.25">
      <c r="A18" s="19"/>
      <c r="B18" s="182"/>
      <c r="C18" s="15"/>
      <c r="D18" s="69">
        <v>0</v>
      </c>
      <c r="E18" s="134"/>
      <c r="F18" s="105">
        <f t="shared" si="0"/>
        <v>0</v>
      </c>
      <c r="G18" s="70"/>
      <c r="H18" s="71"/>
      <c r="I18" s="455">
        <f t="shared" si="2"/>
        <v>0</v>
      </c>
      <c r="J18" s="454">
        <f t="shared" si="1"/>
        <v>0</v>
      </c>
    </row>
    <row r="19" spans="1:10" x14ac:dyDescent="0.25">
      <c r="A19" s="19"/>
      <c r="B19" s="182"/>
      <c r="C19" s="15"/>
      <c r="D19" s="69">
        <v>0</v>
      </c>
      <c r="E19" s="134"/>
      <c r="F19" s="105">
        <f t="shared" si="0"/>
        <v>0</v>
      </c>
      <c r="G19" s="70"/>
      <c r="H19" s="71"/>
      <c r="I19" s="455">
        <f t="shared" si="2"/>
        <v>0</v>
      </c>
      <c r="J19" s="454">
        <f t="shared" si="1"/>
        <v>0</v>
      </c>
    </row>
    <row r="20" spans="1:10" x14ac:dyDescent="0.25">
      <c r="A20" s="19"/>
      <c r="B20" s="182"/>
      <c r="C20" s="15"/>
      <c r="D20" s="69">
        <v>0</v>
      </c>
      <c r="E20" s="134"/>
      <c r="F20" s="105">
        <f t="shared" si="0"/>
        <v>0</v>
      </c>
      <c r="G20" s="70"/>
      <c r="H20" s="71"/>
      <c r="I20" s="455">
        <f t="shared" si="2"/>
        <v>0</v>
      </c>
      <c r="J20" s="454">
        <f t="shared" si="1"/>
        <v>0</v>
      </c>
    </row>
    <row r="21" spans="1:10" x14ac:dyDescent="0.25">
      <c r="A21" s="19"/>
      <c r="B21" s="182"/>
      <c r="C21" s="15"/>
      <c r="D21" s="69">
        <v>0</v>
      </c>
      <c r="E21" s="134"/>
      <c r="F21" s="105">
        <f t="shared" si="0"/>
        <v>0</v>
      </c>
      <c r="G21" s="70"/>
      <c r="H21" s="71"/>
      <c r="I21" s="455">
        <f t="shared" si="2"/>
        <v>0</v>
      </c>
      <c r="J21" s="454">
        <f t="shared" si="1"/>
        <v>0</v>
      </c>
    </row>
    <row r="22" spans="1:10" x14ac:dyDescent="0.25">
      <c r="A22" s="19"/>
      <c r="B22" s="182"/>
      <c r="C22" s="15"/>
      <c r="D22" s="69">
        <v>0</v>
      </c>
      <c r="E22" s="134"/>
      <c r="F22" s="105">
        <f t="shared" si="0"/>
        <v>0</v>
      </c>
      <c r="G22" s="70"/>
      <c r="H22" s="71"/>
      <c r="I22" s="455">
        <f t="shared" si="2"/>
        <v>0</v>
      </c>
      <c r="J22" s="454">
        <f t="shared" si="1"/>
        <v>0</v>
      </c>
    </row>
    <row r="23" spans="1:10" x14ac:dyDescent="0.25">
      <c r="A23" s="19"/>
      <c r="B23" s="182"/>
      <c r="C23" s="15"/>
      <c r="D23" s="69">
        <v>0</v>
      </c>
      <c r="E23" s="134"/>
      <c r="F23" s="105">
        <f t="shared" si="0"/>
        <v>0</v>
      </c>
      <c r="G23" s="70"/>
      <c r="H23" s="71"/>
      <c r="I23" s="455">
        <f t="shared" si="2"/>
        <v>0</v>
      </c>
      <c r="J23" s="454">
        <f t="shared" si="1"/>
        <v>0</v>
      </c>
    </row>
    <row r="24" spans="1:10" x14ac:dyDescent="0.25">
      <c r="A24" s="19"/>
      <c r="B24" s="182"/>
      <c r="C24" s="15"/>
      <c r="D24" s="69">
        <v>0</v>
      </c>
      <c r="E24" s="134"/>
      <c r="F24" s="105">
        <f t="shared" si="0"/>
        <v>0</v>
      </c>
      <c r="G24" s="70"/>
      <c r="H24" s="71"/>
      <c r="I24" s="455">
        <f t="shared" si="2"/>
        <v>0</v>
      </c>
      <c r="J24" s="454">
        <f t="shared" si="1"/>
        <v>0</v>
      </c>
    </row>
    <row r="25" spans="1:10" x14ac:dyDescent="0.25">
      <c r="A25" s="19"/>
      <c r="B25" s="182"/>
      <c r="C25" s="15"/>
      <c r="D25" s="69">
        <v>0</v>
      </c>
      <c r="E25" s="134"/>
      <c r="F25" s="105">
        <f t="shared" si="0"/>
        <v>0</v>
      </c>
      <c r="G25" s="70"/>
      <c r="H25" s="71"/>
      <c r="I25" s="455">
        <f t="shared" si="2"/>
        <v>0</v>
      </c>
      <c r="J25" s="454">
        <f t="shared" si="1"/>
        <v>0</v>
      </c>
    </row>
    <row r="26" spans="1:10" x14ac:dyDescent="0.25">
      <c r="A26" s="19"/>
      <c r="B26" s="182"/>
      <c r="C26" s="15"/>
      <c r="D26" s="69">
        <v>0</v>
      </c>
      <c r="E26" s="134"/>
      <c r="F26" s="105">
        <f t="shared" si="0"/>
        <v>0</v>
      </c>
      <c r="G26" s="70"/>
      <c r="H26" s="71"/>
      <c r="I26" s="455">
        <f t="shared" si="2"/>
        <v>0</v>
      </c>
      <c r="J26" s="454">
        <f t="shared" si="1"/>
        <v>0</v>
      </c>
    </row>
    <row r="27" spans="1:10" x14ac:dyDescent="0.25">
      <c r="B27" s="182"/>
      <c r="C27" s="15"/>
      <c r="D27" s="69">
        <v>0</v>
      </c>
      <c r="E27" s="134"/>
      <c r="F27" s="105">
        <f t="shared" si="0"/>
        <v>0</v>
      </c>
      <c r="G27" s="70"/>
      <c r="H27" s="71"/>
      <c r="I27" s="453">
        <f t="shared" si="2"/>
        <v>0</v>
      </c>
      <c r="J27" s="454">
        <f t="shared" si="1"/>
        <v>0</v>
      </c>
    </row>
    <row r="28" spans="1:10" ht="15.75" thickBot="1" x14ac:dyDescent="0.3">
      <c r="A28" s="121"/>
      <c r="B28" s="183"/>
      <c r="C28" s="37"/>
      <c r="D28" s="69">
        <v>0</v>
      </c>
      <c r="E28" s="246"/>
      <c r="F28" s="204">
        <f t="shared" si="0"/>
        <v>0</v>
      </c>
      <c r="G28" s="139"/>
      <c r="H28" s="198"/>
      <c r="I28" s="456"/>
      <c r="J28" s="457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2"/>
      <c r="H29" s="152"/>
    </row>
    <row r="30" spans="1:10" ht="15.75" thickBot="1" x14ac:dyDescent="0.3">
      <c r="A30" s="47"/>
    </row>
    <row r="31" spans="1:10" x14ac:dyDescent="0.25">
      <c r="B31" s="184"/>
      <c r="D31" s="1375" t="s">
        <v>21</v>
      </c>
      <c r="E31" s="1376"/>
      <c r="F31" s="141">
        <f>E4+E5-F29+E6</f>
        <v>0</v>
      </c>
    </row>
    <row r="32" spans="1:10" ht="15.75" thickBot="1" x14ac:dyDescent="0.3">
      <c r="A32" s="125"/>
      <c r="D32" s="262" t="s">
        <v>4</v>
      </c>
      <c r="E32" s="263"/>
      <c r="F32" s="49">
        <f>F4+F5-C29+F6</f>
        <v>0</v>
      </c>
    </row>
    <row r="33" spans="2:2" x14ac:dyDescent="0.25">
      <c r="B33" s="184"/>
    </row>
  </sheetData>
  <mergeCells count="4">
    <mergeCell ref="A1:G1"/>
    <mergeCell ref="D31:E31"/>
    <mergeCell ref="A5:A6"/>
    <mergeCell ref="B4:B5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9" max="9" width="11.42578125" style="439"/>
    <col min="10" max="10" width="17.5703125" customWidth="1"/>
  </cols>
  <sheetData>
    <row r="1" spans="1:11" ht="40.5" x14ac:dyDescent="0.55000000000000004">
      <c r="A1" s="1390"/>
      <c r="B1" s="1390"/>
      <c r="C1" s="1390"/>
      <c r="D1" s="1390"/>
      <c r="E1" s="1390"/>
      <c r="F1" s="1390"/>
      <c r="G1" s="1390"/>
      <c r="H1" s="11">
        <v>1</v>
      </c>
    </row>
    <row r="2" spans="1:11" ht="16.5" thickBot="1" x14ac:dyDescent="0.3">
      <c r="K2" s="439"/>
    </row>
    <row r="3" spans="1:11" ht="17.2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28"/>
      <c r="D4" s="134"/>
      <c r="E4" s="180"/>
      <c r="F4" s="137"/>
      <c r="G4" s="38"/>
    </row>
    <row r="5" spans="1:11" ht="18.75" x14ac:dyDescent="0.3">
      <c r="A5" s="75"/>
      <c r="B5" s="362" t="s">
        <v>56</v>
      </c>
      <c r="C5" s="128"/>
      <c r="D5" s="134"/>
      <c r="E5" s="180"/>
      <c r="F5" s="137"/>
      <c r="G5" s="88">
        <f>F29</f>
        <v>0</v>
      </c>
      <c r="H5" s="7">
        <f>E5-G5+E4+E6</f>
        <v>0</v>
      </c>
    </row>
    <row r="6" spans="1:11" ht="16.5" thickBot="1" x14ac:dyDescent="0.3">
      <c r="B6" s="178"/>
      <c r="C6" s="128"/>
      <c r="D6" s="134"/>
      <c r="E6" s="124"/>
      <c r="F6" s="73"/>
    </row>
    <row r="7" spans="1:11" ht="17.25" thickTop="1" thickBot="1" x14ac:dyDescent="0.3">
      <c r="B7" s="181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470"/>
      <c r="J7" s="24"/>
    </row>
    <row r="8" spans="1:11" ht="16.5" thickTop="1" x14ac:dyDescent="0.25">
      <c r="A8" s="55" t="s">
        <v>32</v>
      </c>
      <c r="B8" s="182">
        <f>F4+F5+F6-C8</f>
        <v>0</v>
      </c>
      <c r="C8" s="15"/>
      <c r="D8" s="69">
        <v>0</v>
      </c>
      <c r="E8" s="134"/>
      <c r="F8" s="105">
        <f t="shared" ref="F8:F9" si="0">D8</f>
        <v>0</v>
      </c>
      <c r="G8" s="70"/>
      <c r="H8" s="71"/>
      <c r="I8" s="471">
        <f>E5+E6-F8+E4</f>
        <v>0</v>
      </c>
      <c r="J8" s="454">
        <f>H8*F8</f>
        <v>0</v>
      </c>
    </row>
    <row r="9" spans="1:11" x14ac:dyDescent="0.25">
      <c r="B9" s="182">
        <f>B8-C9</f>
        <v>0</v>
      </c>
      <c r="C9" s="15"/>
      <c r="D9" s="69">
        <v>0</v>
      </c>
      <c r="E9" s="134"/>
      <c r="F9" s="105">
        <f t="shared" si="0"/>
        <v>0</v>
      </c>
      <c r="G9" s="70"/>
      <c r="H9" s="71"/>
      <c r="I9" s="471">
        <f>I8-F9</f>
        <v>0</v>
      </c>
      <c r="J9" s="454">
        <f t="shared" ref="J9:J28" si="1">H9*F9</f>
        <v>0</v>
      </c>
    </row>
    <row r="10" spans="1:11" x14ac:dyDescent="0.25">
      <c r="B10" s="182">
        <f t="shared" ref="B10:B27" si="2">B9-C10</f>
        <v>0</v>
      </c>
      <c r="C10" s="15"/>
      <c r="D10" s="69">
        <v>0</v>
      </c>
      <c r="E10" s="134"/>
      <c r="F10" s="105">
        <f t="shared" ref="F10:F28" si="3">D10</f>
        <v>0</v>
      </c>
      <c r="G10" s="70"/>
      <c r="H10" s="71"/>
      <c r="I10" s="471">
        <f t="shared" ref="I10:I27" si="4">I9-F10</f>
        <v>0</v>
      </c>
      <c r="J10" s="454">
        <f t="shared" si="1"/>
        <v>0</v>
      </c>
    </row>
    <row r="11" spans="1:11" x14ac:dyDescent="0.25">
      <c r="A11" s="55" t="s">
        <v>33</v>
      </c>
      <c r="B11" s="182">
        <f t="shared" si="2"/>
        <v>0</v>
      </c>
      <c r="C11" s="15"/>
      <c r="D11" s="69">
        <v>0</v>
      </c>
      <c r="E11" s="134"/>
      <c r="F11" s="105">
        <f t="shared" si="3"/>
        <v>0</v>
      </c>
      <c r="G11" s="70"/>
      <c r="H11" s="71"/>
      <c r="I11" s="471">
        <f t="shared" si="4"/>
        <v>0</v>
      </c>
      <c r="J11" s="454">
        <f t="shared" si="1"/>
        <v>0</v>
      </c>
    </row>
    <row r="12" spans="1:11" x14ac:dyDescent="0.25">
      <c r="B12" s="182">
        <f t="shared" si="2"/>
        <v>0</v>
      </c>
      <c r="C12" s="15"/>
      <c r="D12" s="69">
        <v>0</v>
      </c>
      <c r="E12" s="134"/>
      <c r="F12" s="105">
        <f t="shared" si="3"/>
        <v>0</v>
      </c>
      <c r="G12" s="70"/>
      <c r="H12" s="71"/>
      <c r="I12" s="471">
        <f t="shared" si="4"/>
        <v>0</v>
      </c>
      <c r="J12" s="454">
        <f t="shared" si="1"/>
        <v>0</v>
      </c>
    </row>
    <row r="13" spans="1:11" x14ac:dyDescent="0.25">
      <c r="A13" s="19"/>
      <c r="B13" s="182">
        <f t="shared" si="2"/>
        <v>0</v>
      </c>
      <c r="C13" s="15"/>
      <c r="D13" s="69">
        <v>0</v>
      </c>
      <c r="E13" s="134"/>
      <c r="F13" s="105">
        <f t="shared" si="3"/>
        <v>0</v>
      </c>
      <c r="G13" s="70"/>
      <c r="H13" s="71"/>
      <c r="I13" s="471">
        <f t="shared" si="4"/>
        <v>0</v>
      </c>
      <c r="J13" s="454">
        <f t="shared" si="1"/>
        <v>0</v>
      </c>
    </row>
    <row r="14" spans="1:11" x14ac:dyDescent="0.25">
      <c r="A14" s="19"/>
      <c r="B14" s="182">
        <f t="shared" si="2"/>
        <v>0</v>
      </c>
      <c r="C14" s="15"/>
      <c r="D14" s="69">
        <v>0</v>
      </c>
      <c r="E14" s="134"/>
      <c r="F14" s="105">
        <f t="shared" si="3"/>
        <v>0</v>
      </c>
      <c r="G14" s="70"/>
      <c r="H14" s="71"/>
      <c r="I14" s="471">
        <f t="shared" si="4"/>
        <v>0</v>
      </c>
      <c r="J14" s="454">
        <f t="shared" si="1"/>
        <v>0</v>
      </c>
    </row>
    <row r="15" spans="1:11" x14ac:dyDescent="0.25">
      <c r="A15" s="19"/>
      <c r="B15" s="182">
        <f t="shared" si="2"/>
        <v>0</v>
      </c>
      <c r="C15" s="15"/>
      <c r="D15" s="69">
        <v>0</v>
      </c>
      <c r="E15" s="134"/>
      <c r="F15" s="105">
        <f t="shared" si="3"/>
        <v>0</v>
      </c>
      <c r="G15" s="70"/>
      <c r="H15" s="71"/>
      <c r="I15" s="471">
        <f t="shared" si="4"/>
        <v>0</v>
      </c>
      <c r="J15" s="454">
        <f t="shared" si="1"/>
        <v>0</v>
      </c>
    </row>
    <row r="16" spans="1:11" x14ac:dyDescent="0.25">
      <c r="A16" s="19"/>
      <c r="B16" s="182">
        <f t="shared" si="2"/>
        <v>0</v>
      </c>
      <c r="C16" s="15"/>
      <c r="D16" s="69">
        <v>0</v>
      </c>
      <c r="E16" s="134"/>
      <c r="F16" s="105">
        <f t="shared" si="3"/>
        <v>0</v>
      </c>
      <c r="G16" s="70"/>
      <c r="H16" s="71"/>
      <c r="I16" s="471">
        <f t="shared" si="4"/>
        <v>0</v>
      </c>
      <c r="J16" s="454">
        <f t="shared" si="1"/>
        <v>0</v>
      </c>
    </row>
    <row r="17" spans="1:10" x14ac:dyDescent="0.25">
      <c r="A17" s="19"/>
      <c r="B17" s="182">
        <f t="shared" si="2"/>
        <v>0</v>
      </c>
      <c r="C17" s="15"/>
      <c r="D17" s="69">
        <v>0</v>
      </c>
      <c r="E17" s="134"/>
      <c r="F17" s="105">
        <f t="shared" si="3"/>
        <v>0</v>
      </c>
      <c r="G17" s="70"/>
      <c r="H17" s="71"/>
      <c r="I17" s="471">
        <f t="shared" si="4"/>
        <v>0</v>
      </c>
      <c r="J17" s="454">
        <f t="shared" si="1"/>
        <v>0</v>
      </c>
    </row>
    <row r="18" spans="1:10" x14ac:dyDescent="0.25">
      <c r="A18" s="19"/>
      <c r="B18" s="182">
        <f t="shared" si="2"/>
        <v>0</v>
      </c>
      <c r="C18" s="15"/>
      <c r="D18" s="69">
        <v>0</v>
      </c>
      <c r="E18" s="134"/>
      <c r="F18" s="105">
        <f t="shared" si="3"/>
        <v>0</v>
      </c>
      <c r="G18" s="70"/>
      <c r="H18" s="71"/>
      <c r="I18" s="471">
        <f t="shared" si="4"/>
        <v>0</v>
      </c>
      <c r="J18" s="454">
        <f t="shared" si="1"/>
        <v>0</v>
      </c>
    </row>
    <row r="19" spans="1:10" x14ac:dyDescent="0.25">
      <c r="A19" s="19"/>
      <c r="B19" s="182">
        <f t="shared" si="2"/>
        <v>0</v>
      </c>
      <c r="C19" s="15"/>
      <c r="D19" s="69">
        <v>0</v>
      </c>
      <c r="E19" s="134"/>
      <c r="F19" s="105">
        <f t="shared" si="3"/>
        <v>0</v>
      </c>
      <c r="G19" s="70"/>
      <c r="H19" s="71"/>
      <c r="I19" s="471">
        <f t="shared" si="4"/>
        <v>0</v>
      </c>
      <c r="J19" s="454">
        <f t="shared" si="1"/>
        <v>0</v>
      </c>
    </row>
    <row r="20" spans="1:10" x14ac:dyDescent="0.25">
      <c r="A20" s="19"/>
      <c r="B20" s="182">
        <f t="shared" si="2"/>
        <v>0</v>
      </c>
      <c r="C20" s="15"/>
      <c r="D20" s="69">
        <v>0</v>
      </c>
      <c r="E20" s="134"/>
      <c r="F20" s="105">
        <f t="shared" si="3"/>
        <v>0</v>
      </c>
      <c r="G20" s="70"/>
      <c r="H20" s="71"/>
      <c r="I20" s="471">
        <f t="shared" si="4"/>
        <v>0</v>
      </c>
      <c r="J20" s="454">
        <f t="shared" si="1"/>
        <v>0</v>
      </c>
    </row>
    <row r="21" spans="1:10" x14ac:dyDescent="0.25">
      <c r="A21" s="19"/>
      <c r="B21" s="182">
        <f t="shared" si="2"/>
        <v>0</v>
      </c>
      <c r="C21" s="15"/>
      <c r="D21" s="69">
        <v>0</v>
      </c>
      <c r="E21" s="134"/>
      <c r="F21" s="105">
        <f t="shared" si="3"/>
        <v>0</v>
      </c>
      <c r="G21" s="70"/>
      <c r="H21" s="71"/>
      <c r="I21" s="471">
        <f t="shared" si="4"/>
        <v>0</v>
      </c>
      <c r="J21" s="454">
        <f t="shared" si="1"/>
        <v>0</v>
      </c>
    </row>
    <row r="22" spans="1:10" x14ac:dyDescent="0.25">
      <c r="A22" s="19"/>
      <c r="B22" s="182">
        <f t="shared" si="2"/>
        <v>0</v>
      </c>
      <c r="C22" s="15"/>
      <c r="D22" s="69">
        <v>0</v>
      </c>
      <c r="E22" s="134"/>
      <c r="F22" s="105">
        <f t="shared" si="3"/>
        <v>0</v>
      </c>
      <c r="G22" s="70"/>
      <c r="H22" s="71"/>
      <c r="I22" s="471">
        <f t="shared" si="4"/>
        <v>0</v>
      </c>
      <c r="J22" s="454">
        <f t="shared" si="1"/>
        <v>0</v>
      </c>
    </row>
    <row r="23" spans="1:10" x14ac:dyDescent="0.25">
      <c r="A23" s="19"/>
      <c r="B23" s="182">
        <f t="shared" si="2"/>
        <v>0</v>
      </c>
      <c r="C23" s="15"/>
      <c r="D23" s="69">
        <v>0</v>
      </c>
      <c r="E23" s="134"/>
      <c r="F23" s="105">
        <f t="shared" si="3"/>
        <v>0</v>
      </c>
      <c r="G23" s="70"/>
      <c r="H23" s="71"/>
      <c r="I23" s="471">
        <f t="shared" si="4"/>
        <v>0</v>
      </c>
      <c r="J23" s="454">
        <f t="shared" si="1"/>
        <v>0</v>
      </c>
    </row>
    <row r="24" spans="1:10" x14ac:dyDescent="0.25">
      <c r="A24" s="19"/>
      <c r="B24" s="182">
        <f t="shared" si="2"/>
        <v>0</v>
      </c>
      <c r="C24" s="15"/>
      <c r="D24" s="69">
        <v>0</v>
      </c>
      <c r="E24" s="134"/>
      <c r="F24" s="105">
        <f t="shared" si="3"/>
        <v>0</v>
      </c>
      <c r="G24" s="70"/>
      <c r="H24" s="71"/>
      <c r="I24" s="471">
        <f t="shared" si="4"/>
        <v>0</v>
      </c>
      <c r="J24" s="454">
        <f t="shared" si="1"/>
        <v>0</v>
      </c>
    </row>
    <row r="25" spans="1:10" x14ac:dyDescent="0.25">
      <c r="A25" s="19"/>
      <c r="B25" s="182">
        <f t="shared" si="2"/>
        <v>0</v>
      </c>
      <c r="C25" s="15"/>
      <c r="D25" s="69">
        <v>0</v>
      </c>
      <c r="E25" s="134"/>
      <c r="F25" s="105">
        <f t="shared" si="3"/>
        <v>0</v>
      </c>
      <c r="G25" s="70"/>
      <c r="H25" s="71"/>
      <c r="I25" s="471">
        <f t="shared" si="4"/>
        <v>0</v>
      </c>
      <c r="J25" s="454">
        <f t="shared" si="1"/>
        <v>0</v>
      </c>
    </row>
    <row r="26" spans="1:10" x14ac:dyDescent="0.25">
      <c r="A26" s="19"/>
      <c r="B26" s="182">
        <f t="shared" si="2"/>
        <v>0</v>
      </c>
      <c r="C26" s="15"/>
      <c r="D26" s="69">
        <v>0</v>
      </c>
      <c r="E26" s="134"/>
      <c r="F26" s="105">
        <f t="shared" si="3"/>
        <v>0</v>
      </c>
      <c r="G26" s="70"/>
      <c r="H26" s="71"/>
      <c r="I26" s="471">
        <f t="shared" si="4"/>
        <v>0</v>
      </c>
      <c r="J26" s="454">
        <f t="shared" si="1"/>
        <v>0</v>
      </c>
    </row>
    <row r="27" spans="1:10" x14ac:dyDescent="0.25">
      <c r="B27" s="182">
        <f t="shared" si="2"/>
        <v>0</v>
      </c>
      <c r="C27" s="15"/>
      <c r="D27" s="69">
        <v>0</v>
      </c>
      <c r="E27" s="134"/>
      <c r="F27" s="105">
        <f t="shared" si="3"/>
        <v>0</v>
      </c>
      <c r="G27" s="70"/>
      <c r="H27" s="71"/>
      <c r="I27" s="471">
        <f t="shared" si="4"/>
        <v>0</v>
      </c>
      <c r="J27" s="454">
        <f t="shared" si="1"/>
        <v>0</v>
      </c>
    </row>
    <row r="28" spans="1:10" ht="16.5" thickBot="1" x14ac:dyDescent="0.3">
      <c r="A28" s="121"/>
      <c r="B28" s="183"/>
      <c r="C28" s="37"/>
      <c r="D28" s="69">
        <v>0</v>
      </c>
      <c r="E28" s="246"/>
      <c r="F28" s="204">
        <f t="shared" si="3"/>
        <v>0</v>
      </c>
      <c r="G28" s="139"/>
      <c r="H28" s="198"/>
      <c r="I28" s="472"/>
      <c r="J28" s="457">
        <f t="shared" si="1"/>
        <v>0</v>
      </c>
    </row>
    <row r="29" spans="1:10" ht="16.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2"/>
      <c r="H29" s="152"/>
    </row>
    <row r="30" spans="1:10" ht="16.5" thickBot="1" x14ac:dyDescent="0.3">
      <c r="A30" s="47"/>
    </row>
    <row r="31" spans="1:10" x14ac:dyDescent="0.25">
      <c r="B31" s="184"/>
      <c r="D31" s="1375" t="s">
        <v>21</v>
      </c>
      <c r="E31" s="1376"/>
      <c r="F31" s="141">
        <f>E4+E5-F29+E6</f>
        <v>0</v>
      </c>
    </row>
    <row r="32" spans="1:10" ht="16.5" thickBot="1" x14ac:dyDescent="0.3">
      <c r="A32" s="125"/>
      <c r="D32" s="262" t="s">
        <v>4</v>
      </c>
      <c r="E32" s="263"/>
      <c r="F32" s="49">
        <f>F4+F5-C29+F6</f>
        <v>0</v>
      </c>
    </row>
    <row r="33" spans="2:2" x14ac:dyDescent="0.25">
      <c r="B33" s="184"/>
    </row>
  </sheetData>
  <mergeCells count="2">
    <mergeCell ref="A1:G1"/>
    <mergeCell ref="D31:E3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34"/>
  <sheetViews>
    <sheetView zoomScaleNormal="100" workbookViewId="0">
      <selection activeCell="D12" sqref="D12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379"/>
      <c r="B1" s="1379"/>
      <c r="C1" s="1379"/>
      <c r="D1" s="1379"/>
      <c r="E1" s="1379"/>
      <c r="F1" s="1379"/>
      <c r="G1" s="1379"/>
      <c r="H1" s="268">
        <v>1</v>
      </c>
      <c r="I1" s="394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393"/>
    </row>
    <row r="3" spans="1:10" ht="16.5" thickTop="1" thickBot="1" x14ac:dyDescent="0.3">
      <c r="A3" s="72"/>
      <c r="B3" s="503" t="s">
        <v>1</v>
      </c>
      <c r="C3" s="72"/>
      <c r="D3" s="72"/>
      <c r="E3" s="72"/>
      <c r="F3" s="72"/>
      <c r="G3" s="278" t="s">
        <v>20</v>
      </c>
      <c r="H3" s="277" t="s">
        <v>6</v>
      </c>
      <c r="I3" s="395"/>
    </row>
    <row r="4" spans="1:10" ht="15.75" customHeight="1" thickTop="1" x14ac:dyDescent="0.25">
      <c r="A4" s="75"/>
      <c r="B4" s="571"/>
      <c r="C4" s="243"/>
      <c r="D4" s="134"/>
      <c r="E4" s="378"/>
      <c r="F4" s="73"/>
      <c r="G4" s="237"/>
      <c r="H4" s="148"/>
      <c r="I4" s="399"/>
    </row>
    <row r="5" spans="1:10" ht="14.25" customHeight="1" x14ac:dyDescent="0.25">
      <c r="A5" s="1398" t="s">
        <v>95</v>
      </c>
      <c r="B5" s="1410" t="s">
        <v>96</v>
      </c>
      <c r="C5" s="391"/>
      <c r="D5" s="134"/>
      <c r="E5" s="86"/>
      <c r="F5" s="73"/>
      <c r="G5" s="48">
        <f>F30</f>
        <v>0</v>
      </c>
      <c r="H5" s="138">
        <f>E5-G5+E4+E6+E7</f>
        <v>0</v>
      </c>
      <c r="I5" s="396"/>
    </row>
    <row r="6" spans="1:10" x14ac:dyDescent="0.25">
      <c r="A6" s="1398"/>
      <c r="B6" s="1410"/>
      <c r="C6" s="393"/>
      <c r="D6" s="134"/>
      <c r="E6" s="75"/>
      <c r="F6" s="73"/>
      <c r="G6" s="73"/>
      <c r="H6" s="75"/>
      <c r="I6" s="243"/>
    </row>
    <row r="7" spans="1:10" ht="15.75" thickBot="1" x14ac:dyDescent="0.3">
      <c r="A7" s="225"/>
      <c r="B7" s="469"/>
      <c r="C7" s="393"/>
      <c r="D7" s="134"/>
      <c r="E7" s="75"/>
      <c r="F7" s="73"/>
      <c r="G7" s="73"/>
      <c r="H7" s="75"/>
      <c r="I7" s="243"/>
    </row>
    <row r="8" spans="1:10" ht="16.5" thickTop="1" thickBot="1" x14ac:dyDescent="0.3">
      <c r="A8" s="75"/>
      <c r="B8" s="285" t="s">
        <v>7</v>
      </c>
      <c r="C8" s="281" t="s">
        <v>8</v>
      </c>
      <c r="D8" s="282" t="s">
        <v>17</v>
      </c>
      <c r="E8" s="283" t="s">
        <v>2</v>
      </c>
      <c r="F8" s="276" t="s">
        <v>18</v>
      </c>
      <c r="G8" s="284"/>
      <c r="H8" s="279"/>
      <c r="I8" s="397"/>
    </row>
    <row r="9" spans="1:10" ht="15.75" thickTop="1" x14ac:dyDescent="0.25">
      <c r="A9" s="61"/>
      <c r="B9" s="182">
        <f>F4+F5+F6-C9+F7</f>
        <v>0</v>
      </c>
      <c r="C9" s="15"/>
      <c r="D9" s="69">
        <v>0</v>
      </c>
      <c r="E9" s="252"/>
      <c r="F9" s="92">
        <f>D9</f>
        <v>0</v>
      </c>
      <c r="G9" s="70"/>
      <c r="H9" s="71"/>
      <c r="I9" s="243">
        <f>E4+E5+E6-F9+E7</f>
        <v>0</v>
      </c>
      <c r="J9" s="60">
        <f>H9*F9</f>
        <v>0</v>
      </c>
    </row>
    <row r="10" spans="1:10" x14ac:dyDescent="0.25">
      <c r="A10" s="75"/>
      <c r="B10" s="182">
        <f>B9-C10</f>
        <v>0</v>
      </c>
      <c r="C10" s="15"/>
      <c r="D10" s="69">
        <v>0</v>
      </c>
      <c r="E10" s="252"/>
      <c r="F10" s="92">
        <f t="shared" ref="F10:F29" si="0">D10</f>
        <v>0</v>
      </c>
      <c r="G10" s="70"/>
      <c r="H10" s="71"/>
      <c r="I10" s="243">
        <f>I9-F10</f>
        <v>0</v>
      </c>
      <c r="J10" s="60">
        <f t="shared" ref="J10:J28" si="1">H10*F10</f>
        <v>0</v>
      </c>
    </row>
    <row r="11" spans="1:10" x14ac:dyDescent="0.25">
      <c r="A11" s="75"/>
      <c r="B11" s="182">
        <f t="shared" ref="B11:B29" si="2">B10-C11</f>
        <v>0</v>
      </c>
      <c r="C11" s="15"/>
      <c r="D11" s="69">
        <v>0</v>
      </c>
      <c r="E11" s="252"/>
      <c r="F11" s="92">
        <f t="shared" si="0"/>
        <v>0</v>
      </c>
      <c r="G11" s="70"/>
      <c r="H11" s="71"/>
      <c r="I11" s="243">
        <f t="shared" ref="I11:I28" si="3">I10-F11</f>
        <v>0</v>
      </c>
      <c r="J11" s="60">
        <f t="shared" si="1"/>
        <v>0</v>
      </c>
    </row>
    <row r="12" spans="1:10" x14ac:dyDescent="0.25">
      <c r="A12" s="61"/>
      <c r="B12" s="182">
        <f t="shared" si="2"/>
        <v>0</v>
      </c>
      <c r="C12" s="15"/>
      <c r="D12" s="69">
        <v>0</v>
      </c>
      <c r="E12" s="252"/>
      <c r="F12" s="92">
        <f t="shared" si="0"/>
        <v>0</v>
      </c>
      <c r="G12" s="70"/>
      <c r="H12" s="71"/>
      <c r="I12" s="243">
        <f t="shared" si="3"/>
        <v>0</v>
      </c>
      <c r="J12" s="60">
        <f t="shared" si="1"/>
        <v>0</v>
      </c>
    </row>
    <row r="13" spans="1:10" x14ac:dyDescent="0.25">
      <c r="A13" s="75"/>
      <c r="B13" s="182">
        <f t="shared" si="2"/>
        <v>0</v>
      </c>
      <c r="C13" s="15"/>
      <c r="D13" s="69">
        <v>0</v>
      </c>
      <c r="E13" s="252"/>
      <c r="F13" s="92">
        <f t="shared" si="0"/>
        <v>0</v>
      </c>
      <c r="G13" s="70"/>
      <c r="H13" s="71"/>
      <c r="I13" s="243">
        <f t="shared" si="3"/>
        <v>0</v>
      </c>
      <c r="J13" s="60">
        <f t="shared" si="1"/>
        <v>0</v>
      </c>
    </row>
    <row r="14" spans="1:10" x14ac:dyDescent="0.25">
      <c r="A14" s="75"/>
      <c r="B14" s="182">
        <f t="shared" si="2"/>
        <v>0</v>
      </c>
      <c r="C14" s="15"/>
      <c r="D14" s="69">
        <v>0</v>
      </c>
      <c r="E14" s="252"/>
      <c r="F14" s="92">
        <f t="shared" si="0"/>
        <v>0</v>
      </c>
      <c r="G14" s="70"/>
      <c r="H14" s="71"/>
      <c r="I14" s="243">
        <f t="shared" si="3"/>
        <v>0</v>
      </c>
      <c r="J14" s="60">
        <f t="shared" si="1"/>
        <v>0</v>
      </c>
    </row>
    <row r="15" spans="1:10" x14ac:dyDescent="0.25">
      <c r="A15" s="75"/>
      <c r="B15" s="182">
        <f t="shared" si="2"/>
        <v>0</v>
      </c>
      <c r="C15" s="15"/>
      <c r="D15" s="69">
        <v>0</v>
      </c>
      <c r="E15" s="252"/>
      <c r="F15" s="92">
        <f t="shared" si="0"/>
        <v>0</v>
      </c>
      <c r="G15" s="70"/>
      <c r="H15" s="71"/>
      <c r="I15" s="243">
        <f t="shared" si="3"/>
        <v>0</v>
      </c>
      <c r="J15" s="60">
        <f t="shared" si="1"/>
        <v>0</v>
      </c>
    </row>
    <row r="16" spans="1:10" x14ac:dyDescent="0.25">
      <c r="A16" s="75"/>
      <c r="B16" s="182">
        <f t="shared" si="2"/>
        <v>0</v>
      </c>
      <c r="C16" s="15"/>
      <c r="D16" s="69">
        <v>0</v>
      </c>
      <c r="E16" s="252"/>
      <c r="F16" s="92">
        <f t="shared" si="0"/>
        <v>0</v>
      </c>
      <c r="G16" s="70"/>
      <c r="H16" s="71"/>
      <c r="I16" s="243">
        <f t="shared" si="3"/>
        <v>0</v>
      </c>
      <c r="J16" s="60">
        <f t="shared" si="1"/>
        <v>0</v>
      </c>
    </row>
    <row r="17" spans="1:10" x14ac:dyDescent="0.25">
      <c r="A17" s="75"/>
      <c r="B17" s="182">
        <f t="shared" si="2"/>
        <v>0</v>
      </c>
      <c r="C17" s="15"/>
      <c r="D17" s="69">
        <v>0</v>
      </c>
      <c r="E17" s="252"/>
      <c r="F17" s="92">
        <f t="shared" si="0"/>
        <v>0</v>
      </c>
      <c r="G17" s="70"/>
      <c r="H17" s="71"/>
      <c r="I17" s="243">
        <f t="shared" si="3"/>
        <v>0</v>
      </c>
      <c r="J17" s="60">
        <f t="shared" si="1"/>
        <v>0</v>
      </c>
    </row>
    <row r="18" spans="1:10" x14ac:dyDescent="0.25">
      <c r="A18" s="75"/>
      <c r="B18" s="182">
        <f t="shared" si="2"/>
        <v>0</v>
      </c>
      <c r="C18" s="15"/>
      <c r="D18" s="69">
        <v>0</v>
      </c>
      <c r="E18" s="252"/>
      <c r="F18" s="92">
        <f t="shared" si="0"/>
        <v>0</v>
      </c>
      <c r="G18" s="70"/>
      <c r="H18" s="71"/>
      <c r="I18" s="243">
        <f t="shared" si="3"/>
        <v>0</v>
      </c>
      <c r="J18" s="60">
        <f t="shared" si="1"/>
        <v>0</v>
      </c>
    </row>
    <row r="19" spans="1:10" x14ac:dyDescent="0.25">
      <c r="A19" s="75"/>
      <c r="B19" s="182">
        <f t="shared" si="2"/>
        <v>0</v>
      </c>
      <c r="C19" s="15"/>
      <c r="D19" s="69">
        <v>0</v>
      </c>
      <c r="E19" s="252"/>
      <c r="F19" s="92">
        <f t="shared" si="0"/>
        <v>0</v>
      </c>
      <c r="G19" s="70"/>
      <c r="H19" s="71"/>
      <c r="I19" s="243">
        <f t="shared" si="3"/>
        <v>0</v>
      </c>
      <c r="J19" s="60">
        <f t="shared" si="1"/>
        <v>0</v>
      </c>
    </row>
    <row r="20" spans="1:10" x14ac:dyDescent="0.25">
      <c r="A20" s="75"/>
      <c r="B20" s="182">
        <f t="shared" si="2"/>
        <v>0</v>
      </c>
      <c r="C20" s="15"/>
      <c r="D20" s="69">
        <v>0</v>
      </c>
      <c r="E20" s="252"/>
      <c r="F20" s="92">
        <f t="shared" si="0"/>
        <v>0</v>
      </c>
      <c r="G20" s="70"/>
      <c r="H20" s="71"/>
      <c r="I20" s="243">
        <f t="shared" si="3"/>
        <v>0</v>
      </c>
      <c r="J20" s="60">
        <f t="shared" si="1"/>
        <v>0</v>
      </c>
    </row>
    <row r="21" spans="1:10" x14ac:dyDescent="0.25">
      <c r="A21" s="75"/>
      <c r="B21" s="182">
        <f t="shared" si="2"/>
        <v>0</v>
      </c>
      <c r="C21" s="15"/>
      <c r="D21" s="69">
        <v>0</v>
      </c>
      <c r="E21" s="252"/>
      <c r="F21" s="92">
        <f t="shared" si="0"/>
        <v>0</v>
      </c>
      <c r="G21" s="70"/>
      <c r="H21" s="71"/>
      <c r="I21" s="243">
        <f t="shared" si="3"/>
        <v>0</v>
      </c>
      <c r="J21" s="60">
        <f t="shared" si="1"/>
        <v>0</v>
      </c>
    </row>
    <row r="22" spans="1:10" x14ac:dyDescent="0.25">
      <c r="A22" s="75"/>
      <c r="B22" s="182">
        <f t="shared" si="2"/>
        <v>0</v>
      </c>
      <c r="C22" s="15"/>
      <c r="D22" s="69">
        <v>0</v>
      </c>
      <c r="E22" s="252"/>
      <c r="F22" s="92">
        <f t="shared" si="0"/>
        <v>0</v>
      </c>
      <c r="G22" s="70"/>
      <c r="H22" s="71"/>
      <c r="I22" s="243">
        <f t="shared" si="3"/>
        <v>0</v>
      </c>
      <c r="J22" s="60">
        <f t="shared" si="1"/>
        <v>0</v>
      </c>
    </row>
    <row r="23" spans="1:10" x14ac:dyDescent="0.25">
      <c r="A23" s="19"/>
      <c r="B23" s="182">
        <f t="shared" si="2"/>
        <v>0</v>
      </c>
      <c r="C23" s="73"/>
      <c r="D23" s="69">
        <v>0</v>
      </c>
      <c r="E23" s="134"/>
      <c r="F23" s="92">
        <f t="shared" si="0"/>
        <v>0</v>
      </c>
      <c r="G23" s="70"/>
      <c r="H23" s="71"/>
      <c r="I23" s="243">
        <f t="shared" si="3"/>
        <v>0</v>
      </c>
      <c r="J23" s="60">
        <f t="shared" si="1"/>
        <v>0</v>
      </c>
    </row>
    <row r="24" spans="1:10" x14ac:dyDescent="0.25">
      <c r="A24" s="19"/>
      <c r="B24" s="182">
        <f t="shared" si="2"/>
        <v>0</v>
      </c>
      <c r="C24" s="73"/>
      <c r="D24" s="69">
        <v>0</v>
      </c>
      <c r="E24" s="563"/>
      <c r="F24" s="92">
        <f t="shared" si="0"/>
        <v>0</v>
      </c>
      <c r="G24" s="70"/>
      <c r="H24" s="71"/>
      <c r="I24" s="243">
        <f t="shared" si="3"/>
        <v>0</v>
      </c>
      <c r="J24" s="60">
        <f t="shared" si="1"/>
        <v>0</v>
      </c>
    </row>
    <row r="25" spans="1:10" x14ac:dyDescent="0.25">
      <c r="A25" s="19"/>
      <c r="B25" s="182">
        <f t="shared" si="2"/>
        <v>0</v>
      </c>
      <c r="C25" s="73"/>
      <c r="D25" s="69">
        <v>0</v>
      </c>
      <c r="E25" s="563"/>
      <c r="F25" s="92">
        <f t="shared" si="0"/>
        <v>0</v>
      </c>
      <c r="G25" s="561"/>
      <c r="H25" s="562"/>
      <c r="I25" s="243">
        <f t="shared" si="3"/>
        <v>0</v>
      </c>
      <c r="J25" s="60">
        <f t="shared" si="1"/>
        <v>0</v>
      </c>
    </row>
    <row r="26" spans="1:10" x14ac:dyDescent="0.25">
      <c r="A26" s="19"/>
      <c r="B26" s="182">
        <f t="shared" si="2"/>
        <v>0</v>
      </c>
      <c r="C26" s="15"/>
      <c r="D26" s="69">
        <v>0</v>
      </c>
      <c r="E26" s="563"/>
      <c r="F26" s="92">
        <f t="shared" si="0"/>
        <v>0</v>
      </c>
      <c r="G26" s="561"/>
      <c r="H26" s="562"/>
      <c r="I26" s="243">
        <f t="shared" si="3"/>
        <v>0</v>
      </c>
      <c r="J26" s="60">
        <f t="shared" si="1"/>
        <v>0</v>
      </c>
    </row>
    <row r="27" spans="1:10" x14ac:dyDescent="0.25">
      <c r="A27" s="19"/>
      <c r="B27" s="182">
        <f t="shared" si="2"/>
        <v>0</v>
      </c>
      <c r="C27" s="15"/>
      <c r="D27" s="69">
        <v>0</v>
      </c>
      <c r="E27" s="563"/>
      <c r="F27" s="92">
        <f t="shared" si="0"/>
        <v>0</v>
      </c>
      <c r="G27" s="561"/>
      <c r="H27" s="562"/>
      <c r="I27" s="243">
        <f t="shared" si="3"/>
        <v>0</v>
      </c>
      <c r="J27" s="60">
        <f t="shared" si="1"/>
        <v>0</v>
      </c>
    </row>
    <row r="28" spans="1:10" x14ac:dyDescent="0.25">
      <c r="B28" s="182">
        <f t="shared" si="2"/>
        <v>0</v>
      </c>
      <c r="C28" s="15"/>
      <c r="D28" s="69">
        <v>0</v>
      </c>
      <c r="E28" s="134"/>
      <c r="F28" s="92">
        <f t="shared" si="0"/>
        <v>0</v>
      </c>
      <c r="G28" s="70"/>
      <c r="H28" s="71"/>
      <c r="I28" s="243">
        <f t="shared" si="3"/>
        <v>0</v>
      </c>
      <c r="J28" s="60">
        <f t="shared" si="1"/>
        <v>0</v>
      </c>
    </row>
    <row r="29" spans="1:10" ht="15.75" thickBot="1" x14ac:dyDescent="0.3">
      <c r="A29" s="121"/>
      <c r="B29" s="182">
        <f t="shared" si="2"/>
        <v>0</v>
      </c>
      <c r="C29" s="37"/>
      <c r="D29" s="69">
        <v>0</v>
      </c>
      <c r="E29" s="246"/>
      <c r="F29" s="92">
        <f t="shared" si="0"/>
        <v>0</v>
      </c>
      <c r="G29" s="139"/>
      <c r="H29" s="198"/>
      <c r="I29" s="152"/>
      <c r="J29" s="60">
        <f>SUM(J9:J28)</f>
        <v>0</v>
      </c>
    </row>
    <row r="30" spans="1:10" ht="15.75" thickTop="1" x14ac:dyDescent="0.25">
      <c r="A30" s="47">
        <f>SUM(A29:A29)</f>
        <v>0</v>
      </c>
      <c r="C30" s="73"/>
      <c r="D30" s="105">
        <f>SUM(D9:D29)</f>
        <v>0</v>
      </c>
      <c r="E30" s="134"/>
      <c r="F30" s="105">
        <f>SUM(F9:F29)</f>
        <v>0</v>
      </c>
      <c r="G30" s="152"/>
      <c r="H30" s="152"/>
    </row>
    <row r="31" spans="1:10" ht="15.75" thickBot="1" x14ac:dyDescent="0.3">
      <c r="A31" s="47"/>
    </row>
    <row r="32" spans="1:10" x14ac:dyDescent="0.25">
      <c r="B32" s="184"/>
      <c r="D32" s="1375" t="s">
        <v>21</v>
      </c>
      <c r="E32" s="1376"/>
      <c r="F32" s="141">
        <f>G5-F30</f>
        <v>0</v>
      </c>
    </row>
    <row r="33" spans="1:6" ht="15.75" thickBot="1" x14ac:dyDescent="0.3">
      <c r="A33" s="125"/>
      <c r="D33" s="262" t="s">
        <v>4</v>
      </c>
      <c r="E33" s="263"/>
      <c r="F33" s="49">
        <v>0</v>
      </c>
    </row>
    <row r="34" spans="1:6" x14ac:dyDescent="0.25">
      <c r="B34" s="184"/>
    </row>
  </sheetData>
  <mergeCells count="4">
    <mergeCell ref="A1:G1"/>
    <mergeCell ref="D32:E32"/>
    <mergeCell ref="A5:A6"/>
    <mergeCell ref="B5:B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FH92"/>
  <sheetViews>
    <sheetView topLeftCell="SM1" zoomScaleNormal="100" workbookViewId="0">
      <pane ySplit="7" topLeftCell="A14" activePane="bottomLeft" state="frozen"/>
      <selection activeCell="AO1" sqref="AO1"/>
      <selection pane="bottomLeft" activeCell="SV23" sqref="SV23"/>
    </sheetView>
  </sheetViews>
  <sheetFormatPr baseColWidth="10" defaultColWidth="11.42578125" defaultRowHeight="15.75" x14ac:dyDescent="0.25"/>
  <cols>
    <col min="1" max="1" width="6.85546875" style="137" customWidth="1"/>
    <col min="2" max="2" width="26" style="75" customWidth="1"/>
    <col min="3" max="3" width="17.7109375" style="75" customWidth="1"/>
    <col min="4" max="4" width="13.42578125" style="75" bestFit="1" customWidth="1"/>
    <col min="5" max="5" width="11.28515625" style="135" customWidth="1"/>
    <col min="6" max="6" width="11.42578125" style="105"/>
    <col min="7" max="8" width="11.42578125" style="75"/>
    <col min="9" max="9" width="11" style="75" customWidth="1"/>
    <col min="10" max="10" width="11.42578125" style="75"/>
    <col min="11" max="11" width="31.28515625" style="75" bestFit="1" customWidth="1"/>
    <col min="12" max="12" width="21" style="75" customWidth="1"/>
    <col min="13" max="13" width="15.5703125" style="75" bestFit="1" customWidth="1"/>
    <col min="14" max="14" width="11.28515625" style="75" customWidth="1"/>
    <col min="15" max="16" width="11.42578125" style="75"/>
    <col min="17" max="17" width="11.85546875" style="75" bestFit="1" customWidth="1"/>
    <col min="18" max="18" width="11.42578125" style="75"/>
    <col min="19" max="19" width="15.5703125" style="75" bestFit="1" customWidth="1"/>
    <col min="20" max="20" width="11.42578125" style="75"/>
    <col min="21" max="21" width="28.5703125" style="75" bestFit="1" customWidth="1"/>
    <col min="22" max="22" width="17.42578125" style="75" bestFit="1" customWidth="1"/>
    <col min="23" max="23" width="15.5703125" style="75" bestFit="1" customWidth="1"/>
    <col min="24" max="24" width="11.28515625" style="75" customWidth="1"/>
    <col min="25" max="28" width="11.42578125" style="75"/>
    <col min="29" max="29" width="15.5703125" style="393" bestFit="1" customWidth="1"/>
    <col min="30" max="30" width="11.42578125" style="75"/>
    <col min="31" max="31" width="31.28515625" style="75" bestFit="1" customWidth="1"/>
    <col min="32" max="32" width="19" style="75" customWidth="1"/>
    <col min="33" max="33" width="15.5703125" style="75" bestFit="1" customWidth="1"/>
    <col min="34" max="35" width="11.42578125" style="75"/>
    <col min="36" max="36" width="10.42578125" style="75" customWidth="1"/>
    <col min="37" max="37" width="12.85546875" style="75" bestFit="1" customWidth="1"/>
    <col min="38" max="38" width="11.42578125" style="75"/>
    <col min="39" max="39" width="15.5703125" style="75" bestFit="1" customWidth="1"/>
    <col min="40" max="40" width="11.42578125" style="75"/>
    <col min="41" max="41" width="31.5703125" style="75" customWidth="1"/>
    <col min="42" max="42" width="19.140625" style="75" customWidth="1"/>
    <col min="43" max="43" width="14.28515625" style="75" customWidth="1"/>
    <col min="44" max="44" width="13.7109375" style="75" customWidth="1"/>
    <col min="45" max="45" width="13.28515625" style="75" customWidth="1"/>
    <col min="46" max="46" width="11.7109375" style="75" customWidth="1"/>
    <col min="47" max="47" width="13.85546875" style="75" customWidth="1"/>
    <col min="48" max="48" width="11.5703125" style="75" customWidth="1"/>
    <col min="49" max="49" width="17" style="393" customWidth="1"/>
    <col min="50" max="50" width="12.85546875" style="75" customWidth="1"/>
    <col min="51" max="51" width="34.7109375" style="75" customWidth="1"/>
    <col min="52" max="52" width="17.42578125" style="95" bestFit="1" customWidth="1"/>
    <col min="53" max="53" width="14.42578125" style="75" bestFit="1" customWidth="1"/>
    <col min="54" max="56" width="11.42578125" style="75" customWidth="1"/>
    <col min="57" max="57" width="12.85546875" style="75" bestFit="1" customWidth="1"/>
    <col min="58" max="58" width="14.5703125" style="75" customWidth="1"/>
    <col min="59" max="59" width="19.5703125" style="393" customWidth="1"/>
    <col min="60" max="60" width="11.42578125" style="75" customWidth="1"/>
    <col min="61" max="61" width="28.7109375" style="75" customWidth="1"/>
    <col min="62" max="62" width="19.85546875" style="75" customWidth="1"/>
    <col min="63" max="63" width="14.28515625" style="75" bestFit="1" customWidth="1"/>
    <col min="64" max="64" width="11.5703125" style="75" customWidth="1"/>
    <col min="65" max="65" width="12.5703125" style="75" customWidth="1"/>
    <col min="66" max="66" width="12" style="75" customWidth="1"/>
    <col min="67" max="67" width="12.85546875" style="75" bestFit="1" customWidth="1"/>
    <col min="68" max="68" width="9.5703125" style="75" bestFit="1" customWidth="1"/>
    <col min="69" max="69" width="16" style="393" customWidth="1"/>
    <col min="70" max="70" width="9.85546875" style="75" customWidth="1"/>
    <col min="71" max="71" width="28.5703125" style="75" bestFit="1" customWidth="1"/>
    <col min="72" max="72" width="18.42578125" style="75" customWidth="1"/>
    <col min="73" max="73" width="13.5703125" style="75" customWidth="1"/>
    <col min="74" max="76" width="11.42578125" style="75"/>
    <col min="77" max="77" width="12.85546875" style="75" bestFit="1" customWidth="1"/>
    <col min="78" max="78" width="11.42578125" style="75"/>
    <col min="79" max="79" width="15.5703125" style="393" bestFit="1" customWidth="1"/>
    <col min="80" max="80" width="13.85546875" style="393" customWidth="1"/>
    <col min="81" max="81" width="31" style="75" customWidth="1"/>
    <col min="82" max="82" width="18.42578125" style="75" customWidth="1"/>
    <col min="83" max="83" width="15" style="75" customWidth="1"/>
    <col min="84" max="85" width="11.5703125" style="75" customWidth="1"/>
    <col min="86" max="86" width="11.42578125" style="75"/>
    <col min="87" max="87" width="12.85546875" style="75" bestFit="1" customWidth="1"/>
    <col min="88" max="88" width="11.42578125" style="75"/>
    <col min="89" max="89" width="15.5703125" style="393" bestFit="1" customWidth="1"/>
    <col min="90" max="90" width="11.42578125" style="393"/>
    <col min="91" max="91" width="28.5703125" style="75" bestFit="1" customWidth="1"/>
    <col min="92" max="92" width="18.42578125" style="75" customWidth="1"/>
    <col min="93" max="93" width="15.5703125" style="75" bestFit="1" customWidth="1"/>
    <col min="94" max="94" width="14.85546875" style="75" bestFit="1" customWidth="1"/>
    <col min="95" max="95" width="13" style="75" bestFit="1" customWidth="1"/>
    <col min="96" max="96" width="14.42578125" style="75" bestFit="1" customWidth="1"/>
    <col min="97" max="97" width="13.5703125" style="75" bestFit="1" customWidth="1"/>
    <col min="98" max="98" width="11.42578125" style="75"/>
    <col min="99" max="99" width="15.5703125" style="393" bestFit="1" customWidth="1"/>
    <col min="100" max="100" width="11.42578125" style="75"/>
    <col min="101" max="101" width="28.5703125" style="75" bestFit="1" customWidth="1"/>
    <col min="102" max="102" width="18.42578125" style="75" customWidth="1"/>
    <col min="103" max="103" width="15.5703125" style="75" bestFit="1" customWidth="1"/>
    <col min="104" max="106" width="11.42578125" style="75"/>
    <col min="107" max="107" width="12.85546875" style="75" bestFit="1" customWidth="1"/>
    <col min="108" max="108" width="11.42578125" style="75"/>
    <col min="109" max="109" width="15.5703125" style="393" bestFit="1" customWidth="1"/>
    <col min="110" max="110" width="11.42578125" style="75"/>
    <col min="111" max="111" width="27.85546875" style="75" customWidth="1"/>
    <col min="112" max="112" width="19.7109375" style="75" customWidth="1"/>
    <col min="113" max="113" width="13.5703125" style="75" customWidth="1"/>
    <col min="114" max="114" width="11.42578125" style="75" customWidth="1"/>
    <col min="115" max="115" width="12" style="75" customWidth="1"/>
    <col min="116" max="116" width="10.5703125" style="75" bestFit="1" customWidth="1"/>
    <col min="117" max="117" width="12.85546875" style="75" bestFit="1" customWidth="1"/>
    <col min="118" max="118" width="9.5703125" style="75" bestFit="1" customWidth="1"/>
    <col min="119" max="119" width="15.5703125" style="393" bestFit="1" customWidth="1"/>
    <col min="120" max="120" width="11.42578125" style="75"/>
    <col min="121" max="121" width="33" style="75" customWidth="1"/>
    <col min="122" max="122" width="18.42578125" style="75" customWidth="1"/>
    <col min="123" max="123" width="13.28515625" style="75" bestFit="1" customWidth="1"/>
    <col min="124" max="124" width="11.42578125" style="75"/>
    <col min="125" max="125" width="13" style="75" bestFit="1" customWidth="1"/>
    <col min="126" max="126" width="11.42578125" style="75"/>
    <col min="127" max="127" width="13.5703125" style="75" bestFit="1" customWidth="1"/>
    <col min="128" max="128" width="11.42578125" style="75"/>
    <col min="129" max="129" width="17.85546875" style="393" customWidth="1"/>
    <col min="130" max="130" width="11.42578125" style="75"/>
    <col min="131" max="131" width="29.140625" style="75" bestFit="1" customWidth="1"/>
    <col min="132" max="132" width="18.28515625" style="75" customWidth="1"/>
    <col min="133" max="133" width="13.7109375" style="75" bestFit="1" customWidth="1"/>
    <col min="134" max="134" width="11.42578125" style="75"/>
    <col min="135" max="135" width="13" style="75" bestFit="1" customWidth="1"/>
    <col min="136" max="136" width="11.42578125" style="75"/>
    <col min="137" max="137" width="13.5703125" style="75" bestFit="1" customWidth="1"/>
    <col min="138" max="138" width="11.42578125" style="75"/>
    <col min="139" max="139" width="15.5703125" style="393" bestFit="1" customWidth="1"/>
    <col min="140" max="140" width="11.42578125" style="75"/>
    <col min="141" max="141" width="31.28515625" style="75" bestFit="1" customWidth="1"/>
    <col min="142" max="142" width="19.7109375" style="75" customWidth="1"/>
    <col min="143" max="143" width="15.5703125" style="75" bestFit="1" customWidth="1"/>
    <col min="144" max="146" width="11.28515625" style="75" customWidth="1"/>
    <col min="147" max="147" width="13.140625" style="75" bestFit="1" customWidth="1"/>
    <col min="148" max="148" width="11.42578125" style="75"/>
    <col min="149" max="149" width="16" style="393" customWidth="1"/>
    <col min="150" max="150" width="11.42578125" style="75"/>
    <col min="151" max="151" width="28.5703125" style="75" bestFit="1" customWidth="1"/>
    <col min="152" max="152" width="19.7109375" style="75" customWidth="1"/>
    <col min="153" max="153" width="15.5703125" style="75" bestFit="1" customWidth="1"/>
    <col min="154" max="155" width="11.28515625" style="75" customWidth="1"/>
    <col min="156" max="156" width="10.5703125" style="75" customWidth="1"/>
    <col min="157" max="157" width="11.28515625" style="75" customWidth="1"/>
    <col min="158" max="158" width="11.42578125" style="75"/>
    <col min="159" max="159" width="15.5703125" style="393" customWidth="1"/>
    <col min="160" max="160" width="11.42578125" style="75"/>
    <col min="161" max="161" width="31" style="75" customWidth="1"/>
    <col min="162" max="162" width="18.42578125" style="75" customWidth="1"/>
    <col min="163" max="163" width="13.28515625" style="75" bestFit="1" customWidth="1"/>
    <col min="164" max="166" width="11.42578125" style="75"/>
    <col min="167" max="167" width="12.85546875" style="75" bestFit="1" customWidth="1"/>
    <col min="168" max="168" width="11.42578125" style="75"/>
    <col min="169" max="169" width="15.5703125" style="393" customWidth="1"/>
    <col min="170" max="170" width="11.42578125" style="75"/>
    <col min="171" max="171" width="30.42578125" style="75" bestFit="1" customWidth="1"/>
    <col min="172" max="172" width="18.42578125" style="75" customWidth="1"/>
    <col min="173" max="173" width="13.28515625" style="75" bestFit="1" customWidth="1"/>
    <col min="174" max="176" width="11.42578125" style="75"/>
    <col min="177" max="177" width="12.85546875" style="75" bestFit="1" customWidth="1"/>
    <col min="178" max="178" width="11.42578125" style="75"/>
    <col min="179" max="179" width="15.5703125" style="393" bestFit="1" customWidth="1"/>
    <col min="180" max="180" width="12.42578125" style="75" bestFit="1" customWidth="1"/>
    <col min="181" max="181" width="27.28515625" style="75" customWidth="1"/>
    <col min="182" max="182" width="18.5703125" style="75" customWidth="1"/>
    <col min="183" max="183" width="16.140625" style="75" customWidth="1"/>
    <col min="184" max="184" width="11.42578125" style="75"/>
    <col min="185" max="185" width="14.140625" style="75" bestFit="1" customWidth="1"/>
    <col min="186" max="186" width="11.42578125" style="75"/>
    <col min="187" max="187" width="12.85546875" style="75" bestFit="1" customWidth="1"/>
    <col min="188" max="188" width="11.42578125" style="75"/>
    <col min="189" max="189" width="16" style="393" customWidth="1"/>
    <col min="190" max="190" width="11.42578125" style="75"/>
    <col min="191" max="191" width="28.5703125" style="75" bestFit="1" customWidth="1"/>
    <col min="192" max="192" width="18.42578125" style="75" customWidth="1"/>
    <col min="193" max="193" width="13.42578125" style="75" customWidth="1"/>
    <col min="194" max="196" width="11.42578125" style="75"/>
    <col min="197" max="197" width="12.85546875" style="75" bestFit="1" customWidth="1"/>
    <col min="198" max="198" width="11.42578125" style="75"/>
    <col min="199" max="199" width="16" style="393" customWidth="1"/>
    <col min="200" max="200" width="11.42578125" style="75"/>
    <col min="201" max="201" width="31.28515625" style="75" bestFit="1" customWidth="1"/>
    <col min="202" max="202" width="18.140625" style="75" customWidth="1"/>
    <col min="203" max="203" width="14.42578125" style="75" bestFit="1" customWidth="1"/>
    <col min="204" max="206" width="11.42578125" style="75"/>
    <col min="207" max="207" width="13" style="75" bestFit="1" customWidth="1"/>
    <col min="208" max="208" width="11.42578125" style="75"/>
    <col min="209" max="209" width="16.5703125" style="393" customWidth="1"/>
    <col min="210" max="210" width="11.42578125" style="75"/>
    <col min="211" max="211" width="28.5703125" style="75" bestFit="1" customWidth="1"/>
    <col min="212" max="212" width="18.5703125" style="75" customWidth="1"/>
    <col min="213" max="213" width="13.28515625" style="75" bestFit="1" customWidth="1"/>
    <col min="214" max="218" width="11.42578125" style="75"/>
    <col min="219" max="219" width="17.28515625" style="393" customWidth="1"/>
    <col min="220" max="220" width="11.42578125" style="75"/>
    <col min="221" max="221" width="31.28515625" style="75" bestFit="1" customWidth="1"/>
    <col min="222" max="222" width="17.7109375" style="75" bestFit="1" customWidth="1"/>
    <col min="223" max="223" width="14.42578125" style="75" bestFit="1" customWidth="1"/>
    <col min="224" max="224" width="11.28515625" style="75" customWidth="1"/>
    <col min="225" max="228" width="11.42578125" style="75"/>
    <col min="229" max="229" width="15.5703125" style="393" bestFit="1" customWidth="1"/>
    <col min="230" max="230" width="11.42578125" style="75"/>
    <col min="231" max="231" width="29.140625" style="75" bestFit="1" customWidth="1"/>
    <col min="232" max="232" width="18.7109375" style="75" customWidth="1"/>
    <col min="233" max="233" width="15.5703125" style="75" bestFit="1" customWidth="1"/>
    <col min="234" max="234" width="11.28515625" style="75" customWidth="1"/>
    <col min="235" max="238" width="11.42578125" style="75"/>
    <col min="239" max="239" width="15.5703125" style="393" bestFit="1" customWidth="1"/>
    <col min="240" max="240" width="11.42578125" style="75"/>
    <col min="241" max="241" width="28.5703125" style="75" bestFit="1" customWidth="1"/>
    <col min="242" max="242" width="16.28515625" style="75" bestFit="1" customWidth="1"/>
    <col min="243" max="243" width="15.5703125" style="75" bestFit="1" customWidth="1"/>
    <col min="244" max="244" width="11.28515625" style="75" customWidth="1"/>
    <col min="245" max="245" width="11.7109375" style="75" customWidth="1"/>
    <col min="246" max="246" width="11.42578125" style="75"/>
    <col min="247" max="247" width="13.140625" style="75" bestFit="1" customWidth="1"/>
    <col min="248" max="248" width="11.42578125" style="75"/>
    <col min="249" max="249" width="16.28515625" style="393" customWidth="1"/>
    <col min="250" max="250" width="11.42578125" style="75"/>
    <col min="251" max="251" width="28.5703125" style="75" bestFit="1" customWidth="1"/>
    <col min="252" max="252" width="17.42578125" style="75" bestFit="1" customWidth="1"/>
    <col min="253" max="253" width="15.5703125" style="75" bestFit="1" customWidth="1"/>
    <col min="254" max="254" width="11.28515625" style="75" customWidth="1"/>
    <col min="255" max="258" width="11.42578125" style="75"/>
    <col min="259" max="259" width="15.5703125" style="393" bestFit="1" customWidth="1"/>
    <col min="260" max="260" width="12.5703125" style="75" customWidth="1"/>
    <col min="261" max="261" width="32.42578125" style="75" customWidth="1"/>
    <col min="262" max="262" width="18.28515625" style="75" customWidth="1"/>
    <col min="263" max="263" width="14.42578125" style="75" bestFit="1" customWidth="1"/>
    <col min="264" max="265" width="11.5703125" style="75" customWidth="1"/>
    <col min="266" max="267" width="12.42578125" style="75" customWidth="1"/>
    <col min="268" max="268" width="9.5703125" style="75" bestFit="1" customWidth="1"/>
    <col min="269" max="269" width="16.28515625" style="393" customWidth="1"/>
    <col min="270" max="270" width="10.5703125" style="75" customWidth="1"/>
    <col min="271" max="271" width="33.42578125" style="75" bestFit="1" customWidth="1"/>
    <col min="272" max="272" width="17.7109375" style="75" bestFit="1" customWidth="1"/>
    <col min="273" max="273" width="14.42578125" style="75" bestFit="1" customWidth="1"/>
    <col min="274" max="274" width="11.28515625" style="75" bestFit="1" customWidth="1"/>
    <col min="275" max="275" width="11.7109375" style="75" customWidth="1"/>
    <col min="276" max="276" width="10.5703125" style="75" bestFit="1" customWidth="1"/>
    <col min="277" max="277" width="12.85546875" style="75" bestFit="1" customWidth="1"/>
    <col min="278" max="278" width="9.5703125" style="75" bestFit="1" customWidth="1"/>
    <col min="279" max="279" width="15.7109375" style="393" customWidth="1"/>
    <col min="280" max="280" width="13.28515625" style="75" customWidth="1"/>
    <col min="281" max="281" width="31.28515625" style="75" bestFit="1" customWidth="1"/>
    <col min="282" max="282" width="18" style="75" customWidth="1"/>
    <col min="283" max="283" width="14.7109375" style="75" customWidth="1"/>
    <col min="284" max="284" width="11.140625" style="75" customWidth="1"/>
    <col min="285" max="285" width="11.5703125" style="75" customWidth="1"/>
    <col min="286" max="286" width="10.5703125" style="75" bestFit="1" customWidth="1"/>
    <col min="287" max="287" width="11.85546875" style="75" bestFit="1" customWidth="1"/>
    <col min="288" max="288" width="11.42578125" style="75" customWidth="1"/>
    <col min="289" max="289" width="16.5703125" style="393" customWidth="1"/>
    <col min="290" max="290" width="8.5703125" style="75" customWidth="1"/>
    <col min="291" max="291" width="29.140625" style="75" bestFit="1" customWidth="1"/>
    <col min="292" max="292" width="18.28515625" style="75" customWidth="1"/>
    <col min="293" max="293" width="14.42578125" style="75" bestFit="1" customWidth="1"/>
    <col min="294" max="294" width="12" style="75" customWidth="1"/>
    <col min="295" max="295" width="12.42578125" style="75" customWidth="1"/>
    <col min="296" max="296" width="10.5703125" style="75" bestFit="1" customWidth="1"/>
    <col min="297" max="297" width="12.85546875" style="75" bestFit="1" customWidth="1"/>
    <col min="298" max="298" width="9.5703125" style="75" bestFit="1" customWidth="1"/>
    <col min="299" max="299" width="15.5703125" style="393" customWidth="1"/>
    <col min="300" max="300" width="16.42578125" style="75" customWidth="1"/>
    <col min="301" max="301" width="30" style="75" bestFit="1" customWidth="1"/>
    <col min="302" max="302" width="18.42578125" style="75" customWidth="1"/>
    <col min="303" max="303" width="15.5703125" style="75" bestFit="1" customWidth="1"/>
    <col min="304" max="304" width="14.85546875" style="75" bestFit="1" customWidth="1"/>
    <col min="305" max="306" width="10.7109375" style="75" bestFit="1" customWidth="1"/>
    <col min="307" max="307" width="13.140625" style="75" bestFit="1" customWidth="1"/>
    <col min="308" max="308" width="13.85546875" style="75" customWidth="1"/>
    <col min="309" max="309" width="18.85546875" style="393" customWidth="1"/>
    <col min="310" max="310" width="12.42578125" style="75" customWidth="1"/>
    <col min="311" max="311" width="31.28515625" style="75" bestFit="1" customWidth="1"/>
    <col min="312" max="312" width="17.7109375" style="75" bestFit="1" customWidth="1"/>
    <col min="313" max="313" width="15.5703125" style="75" bestFit="1" customWidth="1"/>
    <col min="314" max="314" width="12.28515625" style="75" customWidth="1"/>
    <col min="315" max="315" width="11.5703125" style="75" customWidth="1"/>
    <col min="316" max="316" width="10.5703125" style="75" bestFit="1" customWidth="1"/>
    <col min="317" max="317" width="12.85546875" style="75" bestFit="1" customWidth="1"/>
    <col min="318" max="318" width="9.5703125" style="75" bestFit="1" customWidth="1"/>
    <col min="319" max="319" width="16.42578125" style="393" customWidth="1"/>
    <col min="320" max="320" width="11.140625" style="75" customWidth="1"/>
    <col min="321" max="321" width="28.5703125" style="75" bestFit="1" customWidth="1"/>
    <col min="322" max="322" width="16.28515625" style="75" bestFit="1" customWidth="1"/>
    <col min="323" max="323" width="16.42578125" style="75" customWidth="1"/>
    <col min="324" max="324" width="11.140625" style="75" bestFit="1" customWidth="1"/>
    <col min="325" max="325" width="11.7109375" style="75" customWidth="1"/>
    <col min="326" max="326" width="10.5703125" style="75" bestFit="1" customWidth="1"/>
    <col min="327" max="327" width="12.85546875" style="75" bestFit="1" customWidth="1"/>
    <col min="328" max="328" width="9.5703125" style="75" bestFit="1" customWidth="1"/>
    <col min="329" max="329" width="15.28515625" style="393" customWidth="1"/>
    <col min="330" max="330" width="12.42578125" style="75" customWidth="1"/>
    <col min="331" max="331" width="31.28515625" style="75" bestFit="1" customWidth="1"/>
    <col min="332" max="332" width="18" style="75" customWidth="1"/>
    <col min="333" max="333" width="13.28515625" style="75" customWidth="1"/>
    <col min="334" max="334" width="11.85546875" style="75" customWidth="1"/>
    <col min="335" max="335" width="11.5703125" style="75" customWidth="1"/>
    <col min="336" max="336" width="10.5703125" style="75" bestFit="1" customWidth="1"/>
    <col min="337" max="337" width="12.85546875" style="75" bestFit="1" customWidth="1"/>
    <col min="338" max="338" width="9.5703125" style="75" bestFit="1" customWidth="1"/>
    <col min="339" max="339" width="15.5703125" style="75" bestFit="1" customWidth="1"/>
    <col min="340" max="340" width="13.85546875" style="75" customWidth="1"/>
    <col min="341" max="341" width="27.85546875" style="75" bestFit="1" customWidth="1"/>
    <col min="342" max="342" width="18.5703125" style="75" customWidth="1"/>
    <col min="343" max="343" width="13.28515625" style="75" bestFit="1" customWidth="1"/>
    <col min="344" max="344" width="11" style="75" bestFit="1" customWidth="1"/>
    <col min="345" max="345" width="11.42578125" style="75" customWidth="1"/>
    <col min="346" max="346" width="10.5703125" style="75" bestFit="1" customWidth="1"/>
    <col min="347" max="347" width="12.85546875" style="75" bestFit="1" customWidth="1"/>
    <col min="348" max="348" width="9.5703125" style="75" bestFit="1" customWidth="1"/>
    <col min="349" max="349" width="15.5703125" style="75" customWidth="1"/>
    <col min="350" max="350" width="11" style="75" customWidth="1"/>
    <col min="351" max="351" width="28.5703125" style="75" bestFit="1" customWidth="1"/>
    <col min="352" max="352" width="18.28515625" style="75" customWidth="1"/>
    <col min="353" max="353" width="13.28515625" style="75" bestFit="1" customWidth="1"/>
    <col min="354" max="358" width="11.42578125" style="75"/>
    <col min="359" max="359" width="17.140625" style="75" customWidth="1"/>
    <col min="360" max="360" width="11.42578125" style="75"/>
    <col min="361" max="361" width="31.28515625" style="75" bestFit="1" customWidth="1"/>
    <col min="362" max="362" width="17.7109375" style="75" bestFit="1" customWidth="1"/>
    <col min="363" max="363" width="13.28515625" style="75" bestFit="1" customWidth="1"/>
    <col min="364" max="368" width="11.42578125" style="75"/>
    <col min="369" max="369" width="15.7109375" style="75" customWidth="1"/>
    <col min="370" max="370" width="11.42578125" style="75"/>
    <col min="371" max="371" width="28.5703125" style="75" bestFit="1" customWidth="1"/>
    <col min="372" max="372" width="17.7109375" style="75" bestFit="1" customWidth="1"/>
    <col min="373" max="373" width="12.28515625" style="75" bestFit="1" customWidth="1"/>
    <col min="374" max="376" width="11.42578125" style="75"/>
    <col min="377" max="377" width="11.85546875" style="75" bestFit="1" customWidth="1"/>
    <col min="378" max="378" width="11.42578125" style="75"/>
    <col min="379" max="379" width="16" style="75" customWidth="1"/>
    <col min="380" max="380" width="11.42578125" style="75"/>
    <col min="381" max="381" width="28.5703125" style="75" bestFit="1" customWidth="1"/>
    <col min="382" max="382" width="17.7109375" style="75" bestFit="1" customWidth="1"/>
    <col min="383" max="383" width="13" style="75" customWidth="1"/>
    <col min="384" max="388" width="11.42578125" style="75"/>
    <col min="389" max="389" width="13.85546875" style="75" customWidth="1"/>
    <col min="390" max="390" width="11.42578125" style="75"/>
    <col min="391" max="391" width="28.5703125" style="75" bestFit="1" customWidth="1"/>
    <col min="392" max="392" width="16.28515625" style="75" bestFit="1" customWidth="1"/>
    <col min="393" max="393" width="13.28515625" style="75" bestFit="1" customWidth="1"/>
    <col min="394" max="396" width="11.42578125" style="75"/>
    <col min="397" max="397" width="11.85546875" style="75" bestFit="1" customWidth="1"/>
    <col min="398" max="398" width="11.42578125" style="75"/>
    <col min="399" max="399" width="16.5703125" style="75" customWidth="1"/>
    <col min="400" max="400" width="11.42578125" style="75"/>
    <col min="401" max="401" width="28.5703125" style="75" bestFit="1" customWidth="1"/>
    <col min="402" max="402" width="16.28515625" style="75" bestFit="1" customWidth="1"/>
    <col min="403" max="403" width="11.42578125" style="75"/>
    <col min="404" max="404" width="11.28515625" style="75" customWidth="1"/>
    <col min="405" max="408" width="11.42578125" style="75"/>
    <col min="409" max="409" width="16.85546875" style="75" customWidth="1"/>
    <col min="410" max="410" width="11.42578125" style="75"/>
    <col min="411" max="411" width="28.5703125" style="75" bestFit="1" customWidth="1"/>
    <col min="412" max="412" width="17" style="75" customWidth="1"/>
    <col min="413" max="413" width="14.7109375" style="75" customWidth="1"/>
    <col min="414" max="414" width="11.28515625" style="75" customWidth="1"/>
    <col min="415" max="416" width="11.42578125" style="75"/>
    <col min="417" max="417" width="13.5703125" style="75" bestFit="1" customWidth="1"/>
    <col min="418" max="418" width="11.42578125" style="75"/>
    <col min="419" max="419" width="15.85546875" style="75" customWidth="1"/>
    <col min="420" max="420" width="11.42578125" style="75"/>
    <col min="421" max="421" width="28.5703125" style="75" bestFit="1" customWidth="1"/>
    <col min="422" max="422" width="17.7109375" style="75" bestFit="1" customWidth="1"/>
    <col min="423" max="423" width="12.28515625" style="75" bestFit="1" customWidth="1"/>
    <col min="424" max="424" width="11.28515625" style="75" customWidth="1"/>
    <col min="425" max="428" width="11.42578125" style="75"/>
    <col min="429" max="429" width="16.42578125" style="75" customWidth="1"/>
    <col min="430" max="431" width="11.42578125" style="75"/>
    <col min="432" max="432" width="25.28515625" style="75" bestFit="1" customWidth="1"/>
    <col min="433" max="433" width="16.28515625" style="75" bestFit="1" customWidth="1"/>
    <col min="434" max="434" width="11.42578125" style="75"/>
    <col min="435" max="435" width="11.28515625" style="75" customWidth="1"/>
    <col min="436" max="437" width="11.42578125" style="75"/>
    <col min="438" max="438" width="11.85546875" style="75" bestFit="1" customWidth="1"/>
    <col min="439" max="439" width="11.42578125" style="75"/>
    <col min="440" max="440" width="15.28515625" style="75" customWidth="1"/>
    <col min="441" max="441" width="11.42578125" style="75"/>
    <col min="442" max="442" width="28.5703125" style="75" bestFit="1" customWidth="1"/>
    <col min="443" max="443" width="16.28515625" style="75" bestFit="1" customWidth="1"/>
    <col min="444" max="444" width="11.42578125" style="75"/>
    <col min="445" max="445" width="11.28515625" style="75" customWidth="1"/>
    <col min="446" max="449" width="11.42578125" style="75"/>
    <col min="450" max="450" width="14.140625" style="75" customWidth="1"/>
    <col min="451" max="451" width="11.42578125" style="75"/>
    <col min="452" max="452" width="25.28515625" style="75" bestFit="1" customWidth="1"/>
    <col min="453" max="453" width="16.28515625" style="75" bestFit="1" customWidth="1"/>
    <col min="454" max="454" width="11.42578125" style="75"/>
    <col min="455" max="455" width="11.28515625" style="75" customWidth="1"/>
    <col min="456" max="461" width="11.42578125" style="75"/>
    <col min="462" max="462" width="25.28515625" style="75" bestFit="1" customWidth="1"/>
    <col min="463" max="463" width="16.28515625" style="75" bestFit="1" customWidth="1"/>
    <col min="464" max="464" width="14.42578125" style="75" customWidth="1"/>
    <col min="465" max="465" width="11.28515625" style="75" customWidth="1"/>
    <col min="466" max="469" width="11.42578125" style="75"/>
    <col min="470" max="470" width="12.42578125" style="75" bestFit="1" customWidth="1"/>
    <col min="471" max="471" width="11.42578125" style="75"/>
    <col min="472" max="472" width="25.28515625" style="75" bestFit="1" customWidth="1"/>
    <col min="473" max="473" width="17.7109375" style="75" bestFit="1" customWidth="1"/>
    <col min="474" max="474" width="11.42578125" style="75"/>
    <col min="475" max="475" width="11.28515625" style="75" customWidth="1"/>
    <col min="476" max="479" width="11.42578125" style="75"/>
    <col min="480" max="480" width="15" style="75" customWidth="1"/>
    <col min="481" max="481" width="11.42578125" style="75"/>
    <col min="482" max="482" width="25.28515625" style="75" bestFit="1" customWidth="1"/>
    <col min="483" max="483" width="16.28515625" style="75" bestFit="1" customWidth="1"/>
    <col min="484" max="484" width="11.42578125" style="75"/>
    <col min="485" max="485" width="11.28515625" style="75" customWidth="1"/>
    <col min="486" max="489" width="11.42578125" style="75"/>
    <col min="490" max="490" width="12.42578125" style="75" bestFit="1" customWidth="1"/>
    <col min="491" max="491" width="11.42578125" style="75"/>
    <col min="492" max="492" width="25.28515625" style="75" bestFit="1" customWidth="1"/>
    <col min="493" max="493" width="16.28515625" style="75" bestFit="1" customWidth="1"/>
    <col min="494" max="494" width="11.42578125" style="75"/>
    <col min="495" max="495" width="11.28515625" style="75" customWidth="1"/>
    <col min="496" max="499" width="11.42578125" style="75"/>
    <col min="500" max="500" width="14.5703125" style="75" customWidth="1"/>
    <col min="501" max="501" width="11.42578125" style="75"/>
    <col min="502" max="502" width="25.28515625" style="75" bestFit="1" customWidth="1"/>
    <col min="503" max="503" width="17.7109375" style="75" bestFit="1" customWidth="1"/>
    <col min="504" max="504" width="11.42578125" style="75"/>
    <col min="505" max="505" width="11.28515625" style="75" customWidth="1"/>
    <col min="506" max="507" width="11.42578125" style="75"/>
    <col min="508" max="508" width="11.85546875" style="75" bestFit="1" customWidth="1"/>
    <col min="509" max="509" width="11.42578125" style="75"/>
    <col min="510" max="510" width="14.7109375" style="75" customWidth="1"/>
    <col min="511" max="511" width="11.42578125" style="75"/>
    <col min="512" max="512" width="26.7109375" style="75" customWidth="1"/>
    <col min="513" max="513" width="16.28515625" style="75" bestFit="1" customWidth="1"/>
    <col min="514" max="514" width="13.42578125" style="75" customWidth="1"/>
    <col min="515" max="515" width="11.28515625" style="75" customWidth="1"/>
    <col min="516" max="519" width="11.42578125" style="75"/>
    <col min="520" max="520" width="12.42578125" style="75" bestFit="1" customWidth="1"/>
    <col min="521" max="521" width="11.42578125" style="75"/>
    <col min="522" max="522" width="25.28515625" style="75" bestFit="1" customWidth="1"/>
    <col min="523" max="523" width="16.28515625" style="75" bestFit="1" customWidth="1"/>
    <col min="524" max="524" width="14.28515625" style="75" customWidth="1"/>
    <col min="525" max="525" width="11.28515625" style="75" customWidth="1"/>
    <col min="526" max="529" width="11.42578125" style="75"/>
    <col min="530" max="530" width="14.85546875" style="75" customWidth="1"/>
    <col min="531" max="531" width="11.42578125" style="75"/>
    <col min="532" max="532" width="25.28515625" style="75" bestFit="1" customWidth="1"/>
    <col min="533" max="533" width="16.28515625" style="75" bestFit="1" customWidth="1"/>
    <col min="534" max="534" width="11.42578125" style="75"/>
    <col min="535" max="535" width="11.28515625" style="75" customWidth="1"/>
    <col min="536" max="541" width="11.42578125" style="75"/>
    <col min="542" max="542" width="28.5703125" style="75" bestFit="1" customWidth="1"/>
    <col min="543" max="543" width="16.28515625" style="75" bestFit="1" customWidth="1"/>
    <col min="544" max="544" width="11.42578125" style="75"/>
    <col min="545" max="545" width="11.28515625" style="75" customWidth="1"/>
    <col min="546" max="550" width="11.42578125" style="75"/>
    <col min="551" max="551" width="25.28515625" style="75" bestFit="1" customWidth="1"/>
    <col min="552" max="552" width="16.28515625" style="75" bestFit="1" customWidth="1"/>
    <col min="553" max="553" width="11.42578125" style="75"/>
    <col min="554" max="554" width="11.28515625" style="75" customWidth="1"/>
    <col min="555" max="559" width="11.42578125" style="75"/>
    <col min="560" max="560" width="25.28515625" style="75" bestFit="1" customWidth="1"/>
    <col min="561" max="561" width="16.28515625" style="75" bestFit="1" customWidth="1"/>
    <col min="562" max="562" width="11.42578125" style="75"/>
    <col min="563" max="563" width="11.28515625" style="75" customWidth="1"/>
    <col min="564" max="568" width="11.42578125" style="75"/>
    <col min="569" max="569" width="28.5703125" style="75" bestFit="1" customWidth="1"/>
    <col min="570" max="570" width="16.28515625" style="75" bestFit="1" customWidth="1"/>
    <col min="571" max="571" width="11.42578125" style="75"/>
    <col min="572" max="572" width="11.28515625" style="75" customWidth="1"/>
    <col min="573" max="577" width="11.42578125" style="75"/>
    <col min="578" max="578" width="25.28515625" style="75" bestFit="1" customWidth="1"/>
    <col min="579" max="579" width="16.28515625" style="75" bestFit="1" customWidth="1"/>
    <col min="580" max="580" width="11.42578125" style="75"/>
    <col min="581" max="581" width="11.28515625" style="75" customWidth="1"/>
    <col min="582" max="586" width="11.42578125" style="75"/>
    <col min="587" max="587" width="28.42578125" style="75" customWidth="1"/>
    <col min="588" max="588" width="16.28515625" style="75" bestFit="1" customWidth="1"/>
    <col min="589" max="589" width="11.42578125" style="75"/>
    <col min="590" max="590" width="11.28515625" style="75" customWidth="1"/>
    <col min="591" max="595" width="11.42578125" style="75"/>
    <col min="596" max="596" width="25.28515625" style="75" bestFit="1" customWidth="1"/>
    <col min="597" max="597" width="16.28515625" style="75" bestFit="1" customWidth="1"/>
    <col min="598" max="598" width="11.42578125" style="75"/>
    <col min="599" max="599" width="11.28515625" style="75" customWidth="1"/>
    <col min="600" max="604" width="11.42578125" style="75"/>
    <col min="605" max="605" width="25.28515625" style="75" bestFit="1" customWidth="1"/>
    <col min="606" max="606" width="16.28515625" style="75" bestFit="1" customWidth="1"/>
    <col min="607" max="607" width="11.42578125" style="75"/>
    <col min="608" max="608" width="11.28515625" style="75" customWidth="1"/>
    <col min="609" max="613" width="11.42578125" style="75"/>
    <col min="614" max="614" width="25.28515625" style="75" bestFit="1" customWidth="1"/>
    <col min="615" max="615" width="16.28515625" style="75" bestFit="1" customWidth="1"/>
    <col min="616" max="616" width="11.42578125" style="75"/>
    <col min="617" max="617" width="11.28515625" style="75" customWidth="1"/>
    <col min="618" max="622" width="11.42578125" style="75"/>
    <col min="623" max="623" width="25.28515625" style="75" bestFit="1" customWidth="1"/>
    <col min="624" max="624" width="16.28515625" style="75" bestFit="1" customWidth="1"/>
    <col min="625" max="625" width="11.42578125" style="75"/>
    <col min="626" max="626" width="11.28515625" style="75" customWidth="1"/>
    <col min="627" max="631" width="11.42578125" style="75"/>
    <col min="632" max="632" width="25.28515625" style="75" bestFit="1" customWidth="1"/>
    <col min="633" max="633" width="16.28515625" style="75" bestFit="1" customWidth="1"/>
    <col min="634" max="634" width="11.42578125" style="75"/>
    <col min="635" max="635" width="11.28515625" style="75" customWidth="1"/>
    <col min="636" max="640" width="11.42578125" style="75"/>
    <col min="641" max="641" width="25.28515625" style="75" bestFit="1" customWidth="1"/>
    <col min="642" max="642" width="16.28515625" style="75" bestFit="1" customWidth="1"/>
    <col min="643" max="643" width="11.42578125" style="75"/>
    <col min="644" max="644" width="11.28515625" style="75" customWidth="1"/>
    <col min="645" max="649" width="11.42578125" style="75"/>
    <col min="650" max="650" width="25.28515625" style="75" bestFit="1" customWidth="1"/>
    <col min="651" max="651" width="16.28515625" style="75" bestFit="1" customWidth="1"/>
    <col min="652" max="652" width="11.42578125" style="75"/>
    <col min="653" max="653" width="11.28515625" style="75" customWidth="1"/>
    <col min="654" max="658" width="11.42578125" style="75"/>
    <col min="659" max="659" width="25.28515625" style="75" bestFit="1" customWidth="1"/>
    <col min="660" max="660" width="16.28515625" style="75" bestFit="1" customWidth="1"/>
    <col min="661" max="661" width="11.42578125" style="75"/>
    <col min="662" max="662" width="11.28515625" style="75" customWidth="1"/>
    <col min="663" max="667" width="11.42578125" style="75"/>
    <col min="668" max="668" width="29.42578125" style="75" customWidth="1"/>
    <col min="669" max="669" width="16.28515625" style="75" bestFit="1" customWidth="1"/>
    <col min="670" max="670" width="11.42578125" style="75"/>
    <col min="671" max="671" width="11.28515625" style="75" customWidth="1"/>
    <col min="672" max="676" width="11.42578125" style="75"/>
    <col min="677" max="677" width="25.28515625" style="75" bestFit="1" customWidth="1"/>
    <col min="678" max="678" width="16.28515625" style="75" bestFit="1" customWidth="1"/>
    <col min="679" max="679" width="11.42578125" style="75"/>
    <col min="680" max="680" width="11.28515625" style="75" customWidth="1"/>
    <col min="681" max="685" width="11.42578125" style="75"/>
    <col min="686" max="686" width="25.28515625" style="75" bestFit="1" customWidth="1"/>
    <col min="687" max="687" width="16.28515625" style="75" bestFit="1" customWidth="1"/>
    <col min="688" max="688" width="11.42578125" style="75"/>
    <col min="689" max="689" width="11.28515625" style="75" customWidth="1"/>
    <col min="690" max="694" width="11.42578125" style="75"/>
    <col min="695" max="695" width="25.28515625" style="75" bestFit="1" customWidth="1"/>
    <col min="696" max="696" width="16.28515625" style="75" bestFit="1" customWidth="1"/>
    <col min="697" max="697" width="11.42578125" style="75"/>
    <col min="698" max="698" width="11.28515625" style="75" customWidth="1"/>
    <col min="699" max="703" width="11.42578125" style="75"/>
    <col min="704" max="704" width="25.28515625" style="75" bestFit="1" customWidth="1"/>
    <col min="705" max="705" width="16.28515625" style="75" bestFit="1" customWidth="1"/>
    <col min="706" max="706" width="11.42578125" style="75"/>
    <col min="707" max="707" width="11.28515625" style="75" customWidth="1"/>
    <col min="708" max="712" width="11.42578125" style="75"/>
    <col min="713" max="713" width="25.28515625" style="75" bestFit="1" customWidth="1"/>
    <col min="714" max="714" width="16.28515625" style="75" bestFit="1" customWidth="1"/>
    <col min="715" max="715" width="11.42578125" style="75"/>
    <col min="716" max="716" width="11.28515625" style="75" customWidth="1"/>
    <col min="717" max="721" width="11.42578125" style="75"/>
    <col min="722" max="722" width="25.28515625" style="75" bestFit="1" customWidth="1"/>
    <col min="723" max="723" width="16.28515625" style="75" bestFit="1" customWidth="1"/>
    <col min="724" max="724" width="11.42578125" style="75"/>
    <col min="725" max="725" width="11.28515625" style="75" customWidth="1"/>
    <col min="726" max="730" width="11.42578125" style="75"/>
    <col min="731" max="731" width="25.28515625" style="75" bestFit="1" customWidth="1"/>
    <col min="732" max="732" width="16.28515625" style="75" bestFit="1" customWidth="1"/>
    <col min="733" max="733" width="11.42578125" style="75"/>
    <col min="734" max="734" width="11.28515625" style="75" customWidth="1"/>
    <col min="735" max="739" width="11.42578125" style="75"/>
    <col min="740" max="740" width="25.28515625" style="75" bestFit="1" customWidth="1"/>
    <col min="741" max="741" width="16.28515625" style="75" bestFit="1" customWidth="1"/>
    <col min="742" max="742" width="11.42578125" style="75"/>
    <col min="743" max="743" width="11.28515625" style="75" customWidth="1"/>
    <col min="744" max="748" width="11.42578125" style="75"/>
    <col min="749" max="749" width="25.28515625" style="75" bestFit="1" customWidth="1"/>
    <col min="750" max="750" width="16.28515625" style="75" bestFit="1" customWidth="1"/>
    <col min="751" max="751" width="11.42578125" style="75"/>
    <col min="752" max="752" width="11.28515625" style="75" customWidth="1"/>
    <col min="753" max="757" width="11.42578125" style="75"/>
    <col min="758" max="758" width="25.28515625" style="75" bestFit="1" customWidth="1"/>
    <col min="759" max="759" width="16.28515625" style="75" bestFit="1" customWidth="1"/>
    <col min="760" max="760" width="11.42578125" style="75"/>
    <col min="761" max="761" width="11.28515625" style="75" customWidth="1"/>
    <col min="762" max="766" width="11.42578125" style="75"/>
    <col min="767" max="767" width="25.28515625" style="75" bestFit="1" customWidth="1"/>
    <col min="768" max="768" width="16.28515625" style="75" bestFit="1" customWidth="1"/>
    <col min="769" max="769" width="11.42578125" style="75"/>
    <col min="770" max="770" width="11.28515625" style="75" customWidth="1"/>
    <col min="771" max="775" width="11.42578125" style="75"/>
    <col min="776" max="776" width="25.28515625" style="75" bestFit="1" customWidth="1"/>
    <col min="777" max="777" width="16.28515625" style="75" bestFit="1" customWidth="1"/>
    <col min="778" max="778" width="11.42578125" style="75"/>
    <col min="779" max="779" width="11.28515625" style="75" customWidth="1"/>
    <col min="780" max="784" width="11.42578125" style="75"/>
    <col min="785" max="785" width="25.28515625" style="75" bestFit="1" customWidth="1"/>
    <col min="786" max="786" width="16.28515625" style="75" bestFit="1" customWidth="1"/>
    <col min="787" max="787" width="11.42578125" style="75"/>
    <col min="788" max="788" width="11.28515625" style="75" customWidth="1"/>
    <col min="789" max="793" width="11.42578125" style="75"/>
    <col min="794" max="794" width="25.28515625" style="75" bestFit="1" customWidth="1"/>
    <col min="795" max="795" width="16.28515625" style="75" bestFit="1" customWidth="1"/>
    <col min="796" max="796" width="11.42578125" style="75"/>
    <col min="797" max="797" width="11.28515625" style="75" customWidth="1"/>
    <col min="798" max="802" width="11.42578125" style="75"/>
    <col min="803" max="803" width="25.28515625" style="75" bestFit="1" customWidth="1"/>
    <col min="804" max="804" width="16.28515625" style="75" bestFit="1" customWidth="1"/>
    <col min="805" max="805" width="11.42578125" style="75"/>
    <col min="806" max="806" width="11.28515625" style="75" customWidth="1"/>
    <col min="807" max="811" width="11.42578125" style="75"/>
    <col min="812" max="812" width="25.28515625" style="75" bestFit="1" customWidth="1"/>
    <col min="813" max="813" width="16.28515625" style="75" bestFit="1" customWidth="1"/>
    <col min="814" max="814" width="11.42578125" style="75"/>
    <col min="815" max="815" width="11.28515625" style="75" customWidth="1"/>
    <col min="816" max="820" width="11.42578125" style="75"/>
    <col min="821" max="821" width="25.28515625" style="75" bestFit="1" customWidth="1"/>
    <col min="822" max="822" width="16.28515625" style="75" bestFit="1" customWidth="1"/>
    <col min="823" max="823" width="11.42578125" style="75"/>
    <col min="824" max="824" width="11.28515625" style="75" customWidth="1"/>
    <col min="825" max="829" width="11.42578125" style="75"/>
    <col min="830" max="830" width="25.28515625" style="75" bestFit="1" customWidth="1"/>
    <col min="831" max="831" width="16.28515625" style="75" bestFit="1" customWidth="1"/>
    <col min="832" max="832" width="11.42578125" style="75"/>
    <col min="833" max="833" width="11.28515625" style="75" customWidth="1"/>
    <col min="834" max="16384" width="11.42578125" style="75"/>
  </cols>
  <sheetData>
    <row r="1" spans="1:837" ht="36.75" customHeight="1" thickBot="1" x14ac:dyDescent="0.55000000000000004">
      <c r="B1" s="264" t="s">
        <v>35</v>
      </c>
      <c r="C1" s="265"/>
      <c r="D1" s="265"/>
      <c r="E1" s="258"/>
      <c r="F1" s="266"/>
      <c r="G1" s="267"/>
      <c r="H1" s="267"/>
      <c r="I1" s="267"/>
      <c r="K1" s="1385" t="s">
        <v>318</v>
      </c>
      <c r="L1" s="1385"/>
      <c r="M1" s="1385"/>
      <c r="N1" s="1385"/>
      <c r="O1" s="1385"/>
      <c r="P1" s="1385"/>
      <c r="Q1" s="1385"/>
      <c r="R1" s="268">
        <f>I1+1</f>
        <v>1</v>
      </c>
      <c r="S1" s="268"/>
      <c r="U1" s="1379" t="str">
        <f>K1</f>
        <v>ENTRADA DEL MES DE    DICIEMBRE    2022</v>
      </c>
      <c r="V1" s="1379"/>
      <c r="W1" s="1379"/>
      <c r="X1" s="1379"/>
      <c r="Y1" s="1379"/>
      <c r="Z1" s="1379"/>
      <c r="AA1" s="1379"/>
      <c r="AB1" s="268">
        <f>R1+1</f>
        <v>2</v>
      </c>
      <c r="AC1" s="394"/>
      <c r="AE1" s="1379" t="str">
        <f>U1</f>
        <v>ENTRADA DEL MES DE    DICIEMBRE    2022</v>
      </c>
      <c r="AF1" s="1379"/>
      <c r="AG1" s="1379"/>
      <c r="AH1" s="1379"/>
      <c r="AI1" s="1379"/>
      <c r="AJ1" s="1379"/>
      <c r="AK1" s="1379"/>
      <c r="AL1" s="268">
        <f>AB1+1</f>
        <v>3</v>
      </c>
      <c r="AM1" s="268"/>
      <c r="AO1" s="1379" t="str">
        <f>AE1</f>
        <v>ENTRADA DEL MES DE    DICIEMBRE    2022</v>
      </c>
      <c r="AP1" s="1379"/>
      <c r="AQ1" s="1379"/>
      <c r="AR1" s="1379"/>
      <c r="AS1" s="1379"/>
      <c r="AT1" s="1379"/>
      <c r="AU1" s="1379"/>
      <c r="AV1" s="268">
        <f>AL1+1</f>
        <v>4</v>
      </c>
      <c r="AW1" s="394"/>
      <c r="AY1" s="1379" t="str">
        <f>AO1</f>
        <v>ENTRADA DEL MES DE    DICIEMBRE    2022</v>
      </c>
      <c r="AZ1" s="1379"/>
      <c r="BA1" s="1379"/>
      <c r="BB1" s="1379"/>
      <c r="BC1" s="1379"/>
      <c r="BD1" s="1379"/>
      <c r="BE1" s="1379"/>
      <c r="BF1" s="268">
        <f>AV1+1</f>
        <v>5</v>
      </c>
      <c r="BG1" s="410"/>
      <c r="BI1" s="1379" t="str">
        <f>AY1</f>
        <v>ENTRADA DEL MES DE    DICIEMBRE    2022</v>
      </c>
      <c r="BJ1" s="1379"/>
      <c r="BK1" s="1379"/>
      <c r="BL1" s="1379"/>
      <c r="BM1" s="1379"/>
      <c r="BN1" s="1379"/>
      <c r="BO1" s="1379"/>
      <c r="BP1" s="268">
        <f>BF1+1</f>
        <v>6</v>
      </c>
      <c r="BQ1" s="394"/>
      <c r="BS1" s="1379" t="str">
        <f>BI1</f>
        <v>ENTRADA DEL MES DE    DICIEMBRE    2022</v>
      </c>
      <c r="BT1" s="1379"/>
      <c r="BU1" s="1379"/>
      <c r="BV1" s="1379"/>
      <c r="BW1" s="1379"/>
      <c r="BX1" s="1379"/>
      <c r="BY1" s="1379"/>
      <c r="BZ1" s="268">
        <f>BP1+1</f>
        <v>7</v>
      </c>
      <c r="CC1" s="1379" t="str">
        <f>BS1</f>
        <v>ENTRADA DEL MES DE    DICIEMBRE    2022</v>
      </c>
      <c r="CD1" s="1379"/>
      <c r="CE1" s="1379"/>
      <c r="CF1" s="1379"/>
      <c r="CG1" s="1379"/>
      <c r="CH1" s="1379"/>
      <c r="CI1" s="1379"/>
      <c r="CJ1" s="268">
        <f>BZ1+1</f>
        <v>8</v>
      </c>
      <c r="CM1" s="1379" t="str">
        <f>CC1</f>
        <v>ENTRADA DEL MES DE    DICIEMBRE    2022</v>
      </c>
      <c r="CN1" s="1379"/>
      <c r="CO1" s="1379"/>
      <c r="CP1" s="1379"/>
      <c r="CQ1" s="1379"/>
      <c r="CR1" s="1379"/>
      <c r="CS1" s="1379"/>
      <c r="CT1" s="268">
        <f>CJ1+1</f>
        <v>9</v>
      </c>
      <c r="CU1" s="394"/>
      <c r="CW1" s="1379" t="str">
        <f>CM1</f>
        <v>ENTRADA DEL MES DE    DICIEMBRE    2022</v>
      </c>
      <c r="CX1" s="1379"/>
      <c r="CY1" s="1379"/>
      <c r="CZ1" s="1379"/>
      <c r="DA1" s="1379"/>
      <c r="DB1" s="1379"/>
      <c r="DC1" s="1379"/>
      <c r="DD1" s="268">
        <f>CT1+1</f>
        <v>10</v>
      </c>
      <c r="DE1" s="394"/>
      <c r="DG1" s="1379" t="str">
        <f>CW1</f>
        <v>ENTRADA DEL MES DE    DICIEMBRE    2022</v>
      </c>
      <c r="DH1" s="1379"/>
      <c r="DI1" s="1379"/>
      <c r="DJ1" s="1379"/>
      <c r="DK1" s="1379"/>
      <c r="DL1" s="1379"/>
      <c r="DM1" s="1379"/>
      <c r="DN1" s="268">
        <f>DD1+1</f>
        <v>11</v>
      </c>
      <c r="DO1" s="394"/>
      <c r="DQ1" s="1379" t="str">
        <f>DG1</f>
        <v>ENTRADA DEL MES DE    DICIEMBRE    2022</v>
      </c>
      <c r="DR1" s="1379"/>
      <c r="DS1" s="1379"/>
      <c r="DT1" s="1379"/>
      <c r="DU1" s="1379"/>
      <c r="DV1" s="1379"/>
      <c r="DW1" s="1379"/>
      <c r="DX1" s="268">
        <f>DN1+1</f>
        <v>12</v>
      </c>
      <c r="EA1" s="1379" t="str">
        <f>DQ1</f>
        <v>ENTRADA DEL MES DE    DICIEMBRE    2022</v>
      </c>
      <c r="EB1" s="1379"/>
      <c r="EC1" s="1379"/>
      <c r="ED1" s="1379"/>
      <c r="EE1" s="1379"/>
      <c r="EF1" s="1379"/>
      <c r="EG1" s="1379"/>
      <c r="EH1" s="268">
        <f>DX1+1</f>
        <v>13</v>
      </c>
      <c r="EI1" s="394"/>
      <c r="EK1" s="1379" t="str">
        <f>EA1</f>
        <v>ENTRADA DEL MES DE    DICIEMBRE    2022</v>
      </c>
      <c r="EL1" s="1379"/>
      <c r="EM1" s="1379"/>
      <c r="EN1" s="1379"/>
      <c r="EO1" s="1379"/>
      <c r="EP1" s="1379"/>
      <c r="EQ1" s="1379"/>
      <c r="ER1" s="268">
        <f>EH1+1</f>
        <v>14</v>
      </c>
      <c r="ES1" s="394"/>
      <c r="EU1" s="1379" t="str">
        <f>EK1</f>
        <v>ENTRADA DEL MES DE    DICIEMBRE    2022</v>
      </c>
      <c r="EV1" s="1379"/>
      <c r="EW1" s="1379"/>
      <c r="EX1" s="1379"/>
      <c r="EY1" s="1379"/>
      <c r="EZ1" s="1379"/>
      <c r="FA1" s="1379"/>
      <c r="FB1" s="268">
        <f>ER1+1</f>
        <v>15</v>
      </c>
      <c r="FC1" s="394"/>
      <c r="FE1" s="1379" t="str">
        <f>EU1</f>
        <v>ENTRADA DEL MES DE    DICIEMBRE    2022</v>
      </c>
      <c r="FF1" s="1379"/>
      <c r="FG1" s="1379"/>
      <c r="FH1" s="1379"/>
      <c r="FI1" s="1379"/>
      <c r="FJ1" s="1379"/>
      <c r="FK1" s="1379"/>
      <c r="FL1" s="268">
        <f>FB1+1</f>
        <v>16</v>
      </c>
      <c r="FM1" s="394"/>
      <c r="FO1" s="1379" t="str">
        <f>FE1</f>
        <v>ENTRADA DEL MES DE    DICIEMBRE    2022</v>
      </c>
      <c r="FP1" s="1379"/>
      <c r="FQ1" s="1379"/>
      <c r="FR1" s="1379"/>
      <c r="FS1" s="1379"/>
      <c r="FT1" s="1379"/>
      <c r="FU1" s="1379"/>
      <c r="FV1" s="268">
        <f>FL1+1</f>
        <v>17</v>
      </c>
      <c r="FW1" s="394"/>
      <c r="FY1" s="1379" t="str">
        <f>FO1</f>
        <v>ENTRADA DEL MES DE    DICIEMBRE    2022</v>
      </c>
      <c r="FZ1" s="1379"/>
      <c r="GA1" s="1379"/>
      <c r="GB1" s="1379"/>
      <c r="GC1" s="1379"/>
      <c r="GD1" s="1379"/>
      <c r="GE1" s="1379"/>
      <c r="GF1" s="268">
        <f>FV1+1</f>
        <v>18</v>
      </c>
      <c r="GG1" s="394"/>
      <c r="GH1" s="75" t="s">
        <v>37</v>
      </c>
      <c r="GI1" s="1379" t="str">
        <f>FY1</f>
        <v>ENTRADA DEL MES DE    DICIEMBRE    2022</v>
      </c>
      <c r="GJ1" s="1379"/>
      <c r="GK1" s="1379"/>
      <c r="GL1" s="1379"/>
      <c r="GM1" s="1379"/>
      <c r="GN1" s="1379"/>
      <c r="GO1" s="1379"/>
      <c r="GP1" s="268">
        <f>GF1+1</f>
        <v>19</v>
      </c>
      <c r="GQ1" s="394"/>
      <c r="GS1" s="1379" t="str">
        <f>GI1</f>
        <v>ENTRADA DEL MES DE    DICIEMBRE    2022</v>
      </c>
      <c r="GT1" s="1379"/>
      <c r="GU1" s="1379"/>
      <c r="GV1" s="1379"/>
      <c r="GW1" s="1379"/>
      <c r="GX1" s="1379"/>
      <c r="GY1" s="1379"/>
      <c r="GZ1" s="268">
        <f>GP1+1</f>
        <v>20</v>
      </c>
      <c r="HA1" s="394"/>
      <c r="HC1" s="1379" t="str">
        <f>GS1</f>
        <v>ENTRADA DEL MES DE    DICIEMBRE    2022</v>
      </c>
      <c r="HD1" s="1379"/>
      <c r="HE1" s="1379"/>
      <c r="HF1" s="1379"/>
      <c r="HG1" s="1379"/>
      <c r="HH1" s="1379"/>
      <c r="HI1" s="1379"/>
      <c r="HJ1" s="268">
        <f>GZ1+1</f>
        <v>21</v>
      </c>
      <c r="HK1" s="394"/>
      <c r="HM1" s="1379" t="str">
        <f>HC1</f>
        <v>ENTRADA DEL MES DE    DICIEMBRE    2022</v>
      </c>
      <c r="HN1" s="1379"/>
      <c r="HO1" s="1379"/>
      <c r="HP1" s="1379"/>
      <c r="HQ1" s="1379"/>
      <c r="HR1" s="1379"/>
      <c r="HS1" s="1379"/>
      <c r="HT1" s="268">
        <f>HJ1+1</f>
        <v>22</v>
      </c>
      <c r="HU1" s="394"/>
      <c r="HW1" s="1379" t="str">
        <f>HM1</f>
        <v>ENTRADA DEL MES DE    DICIEMBRE    2022</v>
      </c>
      <c r="HX1" s="1379"/>
      <c r="HY1" s="1379"/>
      <c r="HZ1" s="1379"/>
      <c r="IA1" s="1379"/>
      <c r="IB1" s="1379"/>
      <c r="IC1" s="1379"/>
      <c r="ID1" s="268">
        <f>HT1+1</f>
        <v>23</v>
      </c>
      <c r="IE1" s="394"/>
      <c r="IG1" s="1379" t="str">
        <f>HW1</f>
        <v>ENTRADA DEL MES DE    DICIEMBRE    2022</v>
      </c>
      <c r="IH1" s="1379"/>
      <c r="II1" s="1379"/>
      <c r="IJ1" s="1379"/>
      <c r="IK1" s="1379"/>
      <c r="IL1" s="1379"/>
      <c r="IM1" s="1379"/>
      <c r="IN1" s="268">
        <f>ID1+1</f>
        <v>24</v>
      </c>
      <c r="IO1" s="394"/>
      <c r="IQ1" s="1379" t="str">
        <f>IG1</f>
        <v>ENTRADA DEL MES DE    DICIEMBRE    2022</v>
      </c>
      <c r="IR1" s="1379"/>
      <c r="IS1" s="1379"/>
      <c r="IT1" s="1379"/>
      <c r="IU1" s="1379"/>
      <c r="IV1" s="1379"/>
      <c r="IW1" s="1379"/>
      <c r="IX1" s="268">
        <f>IN1+1</f>
        <v>25</v>
      </c>
      <c r="IY1" s="394"/>
      <c r="JA1" s="1379" t="str">
        <f>IQ1</f>
        <v>ENTRADA DEL MES DE    DICIEMBRE    2022</v>
      </c>
      <c r="JB1" s="1379"/>
      <c r="JC1" s="1379"/>
      <c r="JD1" s="1379"/>
      <c r="JE1" s="1379"/>
      <c r="JF1" s="1379"/>
      <c r="JG1" s="1379"/>
      <c r="JH1" s="268">
        <f>IX1+1</f>
        <v>26</v>
      </c>
      <c r="JI1" s="394"/>
      <c r="JK1" s="1380" t="str">
        <f>JA1</f>
        <v>ENTRADA DEL MES DE    DICIEMBRE    2022</v>
      </c>
      <c r="JL1" s="1380"/>
      <c r="JM1" s="1380"/>
      <c r="JN1" s="1380"/>
      <c r="JO1" s="1380"/>
      <c r="JP1" s="1380"/>
      <c r="JQ1" s="1380"/>
      <c r="JR1" s="268">
        <f>JH1+1</f>
        <v>27</v>
      </c>
      <c r="JS1" s="394"/>
      <c r="JU1" s="1379" t="str">
        <f>JK1</f>
        <v>ENTRADA DEL MES DE    DICIEMBRE    2022</v>
      </c>
      <c r="JV1" s="1379"/>
      <c r="JW1" s="1379"/>
      <c r="JX1" s="1379"/>
      <c r="JY1" s="1379"/>
      <c r="JZ1" s="1379"/>
      <c r="KA1" s="1379"/>
      <c r="KB1" s="268">
        <f>JR1+1</f>
        <v>28</v>
      </c>
      <c r="KC1" s="394"/>
      <c r="KE1" s="1379" t="str">
        <f>JU1</f>
        <v>ENTRADA DEL MES DE    DICIEMBRE    2022</v>
      </c>
      <c r="KF1" s="1379"/>
      <c r="KG1" s="1379"/>
      <c r="KH1" s="1379"/>
      <c r="KI1" s="1379"/>
      <c r="KJ1" s="1379"/>
      <c r="KK1" s="1379"/>
      <c r="KL1" s="268">
        <f>KB1+1</f>
        <v>29</v>
      </c>
      <c r="KM1" s="394"/>
      <c r="KO1" s="1379" t="str">
        <f>KE1</f>
        <v>ENTRADA DEL MES DE    DICIEMBRE    2022</v>
      </c>
      <c r="KP1" s="1379"/>
      <c r="KQ1" s="1379"/>
      <c r="KR1" s="1379"/>
      <c r="KS1" s="1379"/>
      <c r="KT1" s="1379"/>
      <c r="KU1" s="1379"/>
      <c r="KV1" s="268">
        <f>KL1+1</f>
        <v>30</v>
      </c>
      <c r="KW1" s="394"/>
      <c r="KY1" s="1379" t="str">
        <f>KO1</f>
        <v>ENTRADA DEL MES DE    DICIEMBRE    2022</v>
      </c>
      <c r="KZ1" s="1379"/>
      <c r="LA1" s="1379"/>
      <c r="LB1" s="1379"/>
      <c r="LC1" s="1379"/>
      <c r="LD1" s="1379"/>
      <c r="LE1" s="1379"/>
      <c r="LF1" s="268">
        <f>KV1+1</f>
        <v>31</v>
      </c>
      <c r="LG1" s="394"/>
      <c r="LI1" s="1379" t="str">
        <f>KY1</f>
        <v>ENTRADA DEL MES DE    DICIEMBRE    2022</v>
      </c>
      <c r="LJ1" s="1379"/>
      <c r="LK1" s="1379"/>
      <c r="LL1" s="1379"/>
      <c r="LM1" s="1379"/>
      <c r="LN1" s="1379"/>
      <c r="LO1" s="1379"/>
      <c r="LP1" s="268">
        <f>LF1+1</f>
        <v>32</v>
      </c>
      <c r="LQ1" s="394"/>
      <c r="LS1" s="1379" t="str">
        <f>LI1</f>
        <v>ENTRADA DEL MES DE    DICIEMBRE    2022</v>
      </c>
      <c r="LT1" s="1379"/>
      <c r="LU1" s="1379"/>
      <c r="LV1" s="1379"/>
      <c r="LW1" s="1379"/>
      <c r="LX1" s="1379"/>
      <c r="LY1" s="1379"/>
      <c r="LZ1" s="268">
        <f>LP1+1</f>
        <v>33</v>
      </c>
      <c r="MC1" s="1379" t="str">
        <f>LS1</f>
        <v>ENTRADA DEL MES DE    DICIEMBRE    2022</v>
      </c>
      <c r="MD1" s="1379"/>
      <c r="ME1" s="1379"/>
      <c r="MF1" s="1379"/>
      <c r="MG1" s="1379"/>
      <c r="MH1" s="1379"/>
      <c r="MI1" s="1379"/>
      <c r="MJ1" s="268">
        <f>LZ1+1</f>
        <v>34</v>
      </c>
      <c r="MK1" s="268"/>
      <c r="MM1" s="1379" t="str">
        <f>MC1</f>
        <v>ENTRADA DEL MES DE    DICIEMBRE    2022</v>
      </c>
      <c r="MN1" s="1379"/>
      <c r="MO1" s="1379"/>
      <c r="MP1" s="1379"/>
      <c r="MQ1" s="1379"/>
      <c r="MR1" s="1379"/>
      <c r="MS1" s="1379"/>
      <c r="MT1" s="268">
        <f>MJ1+1</f>
        <v>35</v>
      </c>
      <c r="MU1" s="268"/>
      <c r="MW1" s="1379" t="str">
        <f>MM1</f>
        <v>ENTRADA DEL MES DE    DICIEMBRE    2022</v>
      </c>
      <c r="MX1" s="1379"/>
      <c r="MY1" s="1379"/>
      <c r="MZ1" s="1379"/>
      <c r="NA1" s="1379"/>
      <c r="NB1" s="1379"/>
      <c r="NC1" s="1379"/>
      <c r="ND1" s="268">
        <f>MT1+1</f>
        <v>36</v>
      </c>
      <c r="NE1" s="268"/>
      <c r="NG1" s="1379" t="str">
        <f>MW1</f>
        <v>ENTRADA DEL MES DE    DICIEMBRE    2022</v>
      </c>
      <c r="NH1" s="1379"/>
      <c r="NI1" s="1379"/>
      <c r="NJ1" s="1379"/>
      <c r="NK1" s="1379"/>
      <c r="NL1" s="1379"/>
      <c r="NM1" s="1379"/>
      <c r="NN1" s="268">
        <f>ND1+1</f>
        <v>37</v>
      </c>
      <c r="NO1" s="268"/>
      <c r="NQ1" s="1379" t="str">
        <f>NG1</f>
        <v>ENTRADA DEL MES DE    DICIEMBRE    2022</v>
      </c>
      <c r="NR1" s="1379"/>
      <c r="NS1" s="1379"/>
      <c r="NT1" s="1379"/>
      <c r="NU1" s="1379"/>
      <c r="NV1" s="1379"/>
      <c r="NW1" s="1379"/>
      <c r="NX1" s="268">
        <f>NN1+1</f>
        <v>38</v>
      </c>
      <c r="NY1" s="268"/>
      <c r="OA1" s="1379" t="str">
        <f>NQ1</f>
        <v>ENTRADA DEL MES DE    DICIEMBRE    2022</v>
      </c>
      <c r="OB1" s="1379"/>
      <c r="OC1" s="1379"/>
      <c r="OD1" s="1379"/>
      <c r="OE1" s="1379"/>
      <c r="OF1" s="1379"/>
      <c r="OG1" s="1379"/>
      <c r="OH1" s="268">
        <f>NX1+1</f>
        <v>39</v>
      </c>
      <c r="OI1" s="268"/>
      <c r="OK1" s="1379" t="str">
        <f>OA1</f>
        <v>ENTRADA DEL MES DE    DICIEMBRE    2022</v>
      </c>
      <c r="OL1" s="1379"/>
      <c r="OM1" s="1379"/>
      <c r="ON1" s="1379"/>
      <c r="OO1" s="1379"/>
      <c r="OP1" s="1379"/>
      <c r="OQ1" s="1379"/>
      <c r="OR1" s="268">
        <f>OH1+1</f>
        <v>40</v>
      </c>
      <c r="OS1" s="268"/>
      <c r="OU1" s="1379" t="str">
        <f>OK1</f>
        <v>ENTRADA DEL MES DE    DICIEMBRE    2022</v>
      </c>
      <c r="OV1" s="1379"/>
      <c r="OW1" s="1379"/>
      <c r="OX1" s="1379"/>
      <c r="OY1" s="1379"/>
      <c r="OZ1" s="1379"/>
      <c r="PA1" s="1379"/>
      <c r="PB1" s="268">
        <f>OR1+1</f>
        <v>41</v>
      </c>
      <c r="PC1" s="268"/>
      <c r="PE1" s="1379" t="str">
        <f>OU1</f>
        <v>ENTRADA DEL MES DE    DICIEMBRE    2022</v>
      </c>
      <c r="PF1" s="1379"/>
      <c r="PG1" s="1379"/>
      <c r="PH1" s="1379"/>
      <c r="PI1" s="1379"/>
      <c r="PJ1" s="1379"/>
      <c r="PK1" s="1379"/>
      <c r="PL1" s="268">
        <f>PB1+1</f>
        <v>42</v>
      </c>
      <c r="PM1" s="268"/>
      <c r="PN1" s="268"/>
      <c r="PP1" s="1379" t="str">
        <f>PE1</f>
        <v>ENTRADA DEL MES DE    DICIEMBRE    2022</v>
      </c>
      <c r="PQ1" s="1379"/>
      <c r="PR1" s="1379"/>
      <c r="PS1" s="1379"/>
      <c r="PT1" s="1379"/>
      <c r="PU1" s="1379"/>
      <c r="PV1" s="1379"/>
      <c r="PW1" s="268">
        <f>PL1+1</f>
        <v>43</v>
      </c>
      <c r="PX1" s="268"/>
      <c r="PZ1" s="1379" t="str">
        <f>PP1</f>
        <v>ENTRADA DEL MES DE    DICIEMBRE    2022</v>
      </c>
      <c r="QA1" s="1379"/>
      <c r="QB1" s="1379"/>
      <c r="QC1" s="1379"/>
      <c r="QD1" s="1379"/>
      <c r="QE1" s="1379"/>
      <c r="QF1" s="1379"/>
      <c r="QG1" s="268">
        <f>PW1+1</f>
        <v>44</v>
      </c>
      <c r="QH1" s="268"/>
      <c r="QJ1" s="1379" t="str">
        <f>PZ1</f>
        <v>ENTRADA DEL MES DE    DICIEMBRE    2022</v>
      </c>
      <c r="QK1" s="1379"/>
      <c r="QL1" s="1379"/>
      <c r="QM1" s="1379"/>
      <c r="QN1" s="1379"/>
      <c r="QO1" s="1379"/>
      <c r="QP1" s="1379"/>
      <c r="QQ1" s="268">
        <f>QG1+1</f>
        <v>45</v>
      </c>
      <c r="QR1" s="268"/>
      <c r="QT1" s="1379" t="str">
        <f>QJ1</f>
        <v>ENTRADA DEL MES DE    DICIEMBRE    2022</v>
      </c>
      <c r="QU1" s="1379"/>
      <c r="QV1" s="1379"/>
      <c r="QW1" s="1379"/>
      <c r="QX1" s="1379"/>
      <c r="QY1" s="1379"/>
      <c r="QZ1" s="1379"/>
      <c r="RA1" s="268">
        <f>QQ1+1</f>
        <v>46</v>
      </c>
      <c r="RB1" s="268"/>
      <c r="RD1" s="1379" t="str">
        <f>QT1</f>
        <v>ENTRADA DEL MES DE    DICIEMBRE    2022</v>
      </c>
      <c r="RE1" s="1379"/>
      <c r="RF1" s="1379"/>
      <c r="RG1" s="1379"/>
      <c r="RH1" s="1379"/>
      <c r="RI1" s="1379"/>
      <c r="RJ1" s="1379"/>
      <c r="RK1" s="268">
        <f>RA1+1</f>
        <v>47</v>
      </c>
      <c r="RL1" s="268"/>
      <c r="RN1" s="1379" t="str">
        <f>RD1</f>
        <v>ENTRADA DEL MES DE    DICIEMBRE    2022</v>
      </c>
      <c r="RO1" s="1379"/>
      <c r="RP1" s="1379"/>
      <c r="RQ1" s="1379"/>
      <c r="RR1" s="1379"/>
      <c r="RS1" s="1379"/>
      <c r="RT1" s="1379"/>
      <c r="RU1" s="268">
        <f>RK1+1</f>
        <v>48</v>
      </c>
      <c r="RV1" s="268"/>
      <c r="RX1" s="1379" t="str">
        <f>RN1</f>
        <v>ENTRADA DEL MES DE    DICIEMBRE    2022</v>
      </c>
      <c r="RY1" s="1379"/>
      <c r="RZ1" s="1379"/>
      <c r="SA1" s="1379"/>
      <c r="SB1" s="1379"/>
      <c r="SC1" s="1379"/>
      <c r="SD1" s="1379"/>
      <c r="SE1" s="268">
        <f>RU1+1</f>
        <v>49</v>
      </c>
      <c r="SF1" s="268"/>
      <c r="SH1" s="1379" t="str">
        <f>RX1</f>
        <v>ENTRADA DEL MES DE    DICIEMBRE    2022</v>
      </c>
      <c r="SI1" s="1379"/>
      <c r="SJ1" s="1379"/>
      <c r="SK1" s="1379"/>
      <c r="SL1" s="1379"/>
      <c r="SM1" s="1379"/>
      <c r="SN1" s="1379"/>
      <c r="SO1" s="268">
        <f>SE1+1</f>
        <v>50</v>
      </c>
      <c r="SP1" s="268"/>
      <c r="SR1" s="1379" t="str">
        <f>SH1</f>
        <v>ENTRADA DEL MES DE    DICIEMBRE    2022</v>
      </c>
      <c r="SS1" s="1379"/>
      <c r="ST1" s="1379"/>
      <c r="SU1" s="1379"/>
      <c r="SV1" s="1379"/>
      <c r="SW1" s="1379"/>
      <c r="SX1" s="1379"/>
      <c r="SY1" s="268">
        <f>SO1+1</f>
        <v>51</v>
      </c>
      <c r="SZ1" s="268"/>
      <c r="TB1" s="1379" t="str">
        <f>SR1</f>
        <v>ENTRADA DEL MES DE    DICIEMBRE    2022</v>
      </c>
      <c r="TC1" s="1379"/>
      <c r="TD1" s="1379"/>
      <c r="TE1" s="1379"/>
      <c r="TF1" s="1379"/>
      <c r="TG1" s="1379"/>
      <c r="TH1" s="1379"/>
      <c r="TI1" s="268">
        <f>SY1+1</f>
        <v>52</v>
      </c>
      <c r="TJ1" s="268"/>
      <c r="TL1" s="1379" t="str">
        <f>TB1</f>
        <v>ENTRADA DEL MES DE    DICIEMBRE    2022</v>
      </c>
      <c r="TM1" s="1379"/>
      <c r="TN1" s="1379"/>
      <c r="TO1" s="1379"/>
      <c r="TP1" s="1379"/>
      <c r="TQ1" s="1379"/>
      <c r="TR1" s="1379"/>
      <c r="TS1" s="268">
        <f>TI1+1</f>
        <v>53</v>
      </c>
      <c r="TT1" s="268"/>
      <c r="TV1" s="1379" t="str">
        <f>TL1</f>
        <v>ENTRADA DEL MES DE    DICIEMBRE    2022</v>
      </c>
      <c r="TW1" s="1379"/>
      <c r="TX1" s="1379"/>
      <c r="TY1" s="1379"/>
      <c r="TZ1" s="1379"/>
      <c r="UA1" s="1379"/>
      <c r="UB1" s="1379"/>
      <c r="UC1" s="268">
        <f>TS1+1</f>
        <v>54</v>
      </c>
      <c r="UE1" s="1379" t="str">
        <f>TV1</f>
        <v>ENTRADA DEL MES DE    DICIEMBRE    2022</v>
      </c>
      <c r="UF1" s="1379"/>
      <c r="UG1" s="1379"/>
      <c r="UH1" s="1379"/>
      <c r="UI1" s="1379"/>
      <c r="UJ1" s="1379"/>
      <c r="UK1" s="1379"/>
      <c r="UL1" s="268">
        <f>UC1+1</f>
        <v>55</v>
      </c>
      <c r="UN1" s="1379" t="str">
        <f>UE1</f>
        <v>ENTRADA DEL MES DE    DICIEMBRE    2022</v>
      </c>
      <c r="UO1" s="1379"/>
      <c r="UP1" s="1379"/>
      <c r="UQ1" s="1379"/>
      <c r="UR1" s="1379"/>
      <c r="US1" s="1379"/>
      <c r="UT1" s="1379"/>
      <c r="UU1" s="268">
        <f>UL1+1</f>
        <v>56</v>
      </c>
      <c r="UW1" s="1379" t="str">
        <f>UN1</f>
        <v>ENTRADA DEL MES DE    DICIEMBRE    2022</v>
      </c>
      <c r="UX1" s="1379"/>
      <c r="UY1" s="1379"/>
      <c r="UZ1" s="1379"/>
      <c r="VA1" s="1379"/>
      <c r="VB1" s="1379"/>
      <c r="VC1" s="1379"/>
      <c r="VD1" s="268">
        <f>UU1+1</f>
        <v>57</v>
      </c>
      <c r="VF1" s="1379" t="str">
        <f>UW1</f>
        <v>ENTRADA DEL MES DE    DICIEMBRE    2022</v>
      </c>
      <c r="VG1" s="1379"/>
      <c r="VH1" s="1379"/>
      <c r="VI1" s="1379"/>
      <c r="VJ1" s="1379"/>
      <c r="VK1" s="1379"/>
      <c r="VL1" s="1379"/>
      <c r="VM1" s="268">
        <f>VD1+1</f>
        <v>58</v>
      </c>
      <c r="VO1" s="1379" t="str">
        <f>VF1</f>
        <v>ENTRADA DEL MES DE    DICIEMBRE    2022</v>
      </c>
      <c r="VP1" s="1379"/>
      <c r="VQ1" s="1379"/>
      <c r="VR1" s="1379"/>
      <c r="VS1" s="1379"/>
      <c r="VT1" s="1379"/>
      <c r="VU1" s="1379"/>
      <c r="VV1" s="268">
        <f>VM1+1</f>
        <v>59</v>
      </c>
      <c r="VX1" s="1379" t="str">
        <f>VO1</f>
        <v>ENTRADA DEL MES DE    DICIEMBRE    2022</v>
      </c>
      <c r="VY1" s="1379"/>
      <c r="VZ1" s="1379"/>
      <c r="WA1" s="1379"/>
      <c r="WB1" s="1379"/>
      <c r="WC1" s="1379"/>
      <c r="WD1" s="1379"/>
      <c r="WE1" s="268">
        <f>VV1+1</f>
        <v>60</v>
      </c>
      <c r="WG1" s="1379" t="str">
        <f>VX1</f>
        <v>ENTRADA DEL MES DE    DICIEMBRE    2022</v>
      </c>
      <c r="WH1" s="1379"/>
      <c r="WI1" s="1379"/>
      <c r="WJ1" s="1379"/>
      <c r="WK1" s="1379"/>
      <c r="WL1" s="1379"/>
      <c r="WM1" s="1379"/>
      <c r="WN1" s="268">
        <f>WE1+1</f>
        <v>61</v>
      </c>
      <c r="WP1" s="1379" t="str">
        <f>WG1</f>
        <v>ENTRADA DEL MES DE    DICIEMBRE    2022</v>
      </c>
      <c r="WQ1" s="1379"/>
      <c r="WR1" s="1379"/>
      <c r="WS1" s="1379"/>
      <c r="WT1" s="1379"/>
      <c r="WU1" s="1379"/>
      <c r="WV1" s="1379"/>
      <c r="WW1" s="268">
        <f>WN1+1</f>
        <v>62</v>
      </c>
      <c r="WY1" s="1379" t="str">
        <f>WP1</f>
        <v>ENTRADA DEL MES DE    DICIEMBRE    2022</v>
      </c>
      <c r="WZ1" s="1379"/>
      <c r="XA1" s="1379"/>
      <c r="XB1" s="1379"/>
      <c r="XC1" s="1379"/>
      <c r="XD1" s="1379"/>
      <c r="XE1" s="1379"/>
      <c r="XF1" s="268">
        <f>WW1+1</f>
        <v>63</v>
      </c>
      <c r="XH1" s="1379" t="str">
        <f>WY1</f>
        <v>ENTRADA DEL MES DE    DICIEMBRE    2022</v>
      </c>
      <c r="XI1" s="1379"/>
      <c r="XJ1" s="1379"/>
      <c r="XK1" s="1379"/>
      <c r="XL1" s="1379"/>
      <c r="XM1" s="1379"/>
      <c r="XN1" s="1379"/>
      <c r="XO1" s="268">
        <f>XF1+1</f>
        <v>64</v>
      </c>
      <c r="XQ1" s="1379" t="str">
        <f>XH1</f>
        <v>ENTRADA DEL MES DE    DICIEMBRE    2022</v>
      </c>
      <c r="XR1" s="1379"/>
      <c r="XS1" s="1379"/>
      <c r="XT1" s="1379"/>
      <c r="XU1" s="1379"/>
      <c r="XV1" s="1379"/>
      <c r="XW1" s="1379"/>
      <c r="XX1" s="268">
        <f>XO1+1</f>
        <v>65</v>
      </c>
      <c r="XZ1" s="1379" t="str">
        <f>XQ1</f>
        <v>ENTRADA DEL MES DE    DICIEMBRE    2022</v>
      </c>
      <c r="YA1" s="1379"/>
      <c r="YB1" s="1379"/>
      <c r="YC1" s="1379"/>
      <c r="YD1" s="1379"/>
      <c r="YE1" s="1379"/>
      <c r="YF1" s="1379"/>
      <c r="YG1" s="268">
        <f>XX1+1</f>
        <v>66</v>
      </c>
      <c r="YI1" s="1379" t="str">
        <f>XZ1</f>
        <v>ENTRADA DEL MES DE    DICIEMBRE    2022</v>
      </c>
      <c r="YJ1" s="1379"/>
      <c r="YK1" s="1379"/>
      <c r="YL1" s="1379"/>
      <c r="YM1" s="1379"/>
      <c r="YN1" s="1379"/>
      <c r="YO1" s="1379"/>
      <c r="YP1" s="268">
        <f>YG1+1</f>
        <v>67</v>
      </c>
      <c r="YR1" s="1379" t="str">
        <f>YI1</f>
        <v>ENTRADA DEL MES DE    DICIEMBRE    2022</v>
      </c>
      <c r="YS1" s="1379"/>
      <c r="YT1" s="1379"/>
      <c r="YU1" s="1379"/>
      <c r="YV1" s="1379"/>
      <c r="YW1" s="1379"/>
      <c r="YX1" s="1379"/>
      <c r="YY1" s="268">
        <f>YP1+1</f>
        <v>68</v>
      </c>
      <c r="ZA1" s="1379" t="str">
        <f>YR1</f>
        <v>ENTRADA DEL MES DE    DICIEMBRE    2022</v>
      </c>
      <c r="ZB1" s="1379"/>
      <c r="ZC1" s="1379"/>
      <c r="ZD1" s="1379"/>
      <c r="ZE1" s="1379"/>
      <c r="ZF1" s="1379"/>
      <c r="ZG1" s="1379"/>
      <c r="ZH1" s="268">
        <f>YY1+1</f>
        <v>69</v>
      </c>
      <c r="ZJ1" s="1379" t="str">
        <f>ZA1</f>
        <v>ENTRADA DEL MES DE    DICIEMBRE    2022</v>
      </c>
      <c r="ZK1" s="1379"/>
      <c r="ZL1" s="1379"/>
      <c r="ZM1" s="1379"/>
      <c r="ZN1" s="1379"/>
      <c r="ZO1" s="1379"/>
      <c r="ZP1" s="1379"/>
      <c r="ZQ1" s="268">
        <f>ZH1+1</f>
        <v>70</v>
      </c>
      <c r="ZS1" s="1379" t="str">
        <f>ZJ1</f>
        <v>ENTRADA DEL MES DE    DICIEMBRE    2022</v>
      </c>
      <c r="ZT1" s="1379"/>
      <c r="ZU1" s="1379"/>
      <c r="ZV1" s="1379"/>
      <c r="ZW1" s="1379"/>
      <c r="ZX1" s="1379"/>
      <c r="ZY1" s="1379"/>
      <c r="ZZ1" s="268">
        <f>ZQ1+1</f>
        <v>71</v>
      </c>
      <c r="AAB1" s="1379" t="str">
        <f>ZS1</f>
        <v>ENTRADA DEL MES DE    DICIEMBRE    2022</v>
      </c>
      <c r="AAC1" s="1379"/>
      <c r="AAD1" s="1379"/>
      <c r="AAE1" s="1379"/>
      <c r="AAF1" s="1379"/>
      <c r="AAG1" s="1379"/>
      <c r="AAH1" s="1379"/>
      <c r="AAI1" s="268">
        <f>ZZ1+1</f>
        <v>72</v>
      </c>
      <c r="AAK1" s="1379" t="str">
        <f>AAB1</f>
        <v>ENTRADA DEL MES DE    DICIEMBRE    2022</v>
      </c>
      <c r="AAL1" s="1379"/>
      <c r="AAM1" s="1379"/>
      <c r="AAN1" s="1379"/>
      <c r="AAO1" s="1379"/>
      <c r="AAP1" s="1379"/>
      <c r="AAQ1" s="1379"/>
      <c r="AAR1" s="268">
        <f>AAI1+1</f>
        <v>73</v>
      </c>
      <c r="AAT1" s="1379" t="str">
        <f>AAK1</f>
        <v>ENTRADA DEL MES DE    DICIEMBRE    2022</v>
      </c>
      <c r="AAU1" s="1379"/>
      <c r="AAV1" s="1379"/>
      <c r="AAW1" s="1379"/>
      <c r="AAX1" s="1379"/>
      <c r="AAY1" s="1379"/>
      <c r="AAZ1" s="1379"/>
      <c r="ABA1" s="268">
        <f>AAR1+1</f>
        <v>74</v>
      </c>
      <c r="ABC1" s="1379" t="str">
        <f>AAT1</f>
        <v>ENTRADA DEL MES DE    DICIEMBRE    2022</v>
      </c>
      <c r="ABD1" s="1379"/>
      <c r="ABE1" s="1379"/>
      <c r="ABF1" s="1379"/>
      <c r="ABG1" s="1379"/>
      <c r="ABH1" s="1379"/>
      <c r="ABI1" s="1379"/>
      <c r="ABJ1" s="268">
        <f>ABA1+1</f>
        <v>75</v>
      </c>
      <c r="ABL1" s="1379" t="str">
        <f>ABC1</f>
        <v>ENTRADA DEL MES DE    DICIEMBRE    2022</v>
      </c>
      <c r="ABM1" s="1379"/>
      <c r="ABN1" s="1379"/>
      <c r="ABO1" s="1379"/>
      <c r="ABP1" s="1379"/>
      <c r="ABQ1" s="1379"/>
      <c r="ABR1" s="1379"/>
      <c r="ABS1" s="268">
        <f>ABJ1+1</f>
        <v>76</v>
      </c>
      <c r="ABU1" s="1379" t="str">
        <f>ABL1</f>
        <v>ENTRADA DEL MES DE    DICIEMBRE    2022</v>
      </c>
      <c r="ABV1" s="1379"/>
      <c r="ABW1" s="1379"/>
      <c r="ABX1" s="1379"/>
      <c r="ABY1" s="1379"/>
      <c r="ABZ1" s="1379"/>
      <c r="ACA1" s="1379"/>
      <c r="ACB1" s="268">
        <f>ABS1+1</f>
        <v>77</v>
      </c>
      <c r="ACD1" s="1379" t="str">
        <f>ABU1</f>
        <v>ENTRADA DEL MES DE    DICIEMBRE    2022</v>
      </c>
      <c r="ACE1" s="1379"/>
      <c r="ACF1" s="1379"/>
      <c r="ACG1" s="1379"/>
      <c r="ACH1" s="1379"/>
      <c r="ACI1" s="1379"/>
      <c r="ACJ1" s="1379"/>
      <c r="ACK1" s="268">
        <f>ACB1+1</f>
        <v>78</v>
      </c>
      <c r="ACM1" s="1379" t="str">
        <f>ACD1</f>
        <v>ENTRADA DEL MES DE    DICIEMBRE    2022</v>
      </c>
      <c r="ACN1" s="1379"/>
      <c r="ACO1" s="1379"/>
      <c r="ACP1" s="1379"/>
      <c r="ACQ1" s="1379"/>
      <c r="ACR1" s="1379"/>
      <c r="ACS1" s="1379"/>
      <c r="ACT1" s="268">
        <f>ACK1+1</f>
        <v>79</v>
      </c>
      <c r="ACV1" s="1379" t="str">
        <f>ACM1</f>
        <v>ENTRADA DEL MES DE    DICIEMBRE    2022</v>
      </c>
      <c r="ACW1" s="1379"/>
      <c r="ACX1" s="1379"/>
      <c r="ACY1" s="1379"/>
      <c r="ACZ1" s="1379"/>
      <c r="ADA1" s="1379"/>
      <c r="ADB1" s="1379"/>
      <c r="ADC1" s="268">
        <f>ACT1+1</f>
        <v>80</v>
      </c>
      <c r="ADE1" s="1379" t="str">
        <f>ACV1</f>
        <v>ENTRADA DEL MES DE    DICIEMBRE    2022</v>
      </c>
      <c r="ADF1" s="1379"/>
      <c r="ADG1" s="1379"/>
      <c r="ADH1" s="1379"/>
      <c r="ADI1" s="1379"/>
      <c r="ADJ1" s="1379"/>
      <c r="ADK1" s="1379"/>
      <c r="ADL1" s="268">
        <f>ADC1+1</f>
        <v>81</v>
      </c>
      <c r="ADN1" s="1379" t="str">
        <f>ADE1</f>
        <v>ENTRADA DEL MES DE    DICIEMBRE    2022</v>
      </c>
      <c r="ADO1" s="1379"/>
      <c r="ADP1" s="1379"/>
      <c r="ADQ1" s="1379"/>
      <c r="ADR1" s="1379"/>
      <c r="ADS1" s="1379"/>
      <c r="ADT1" s="1379"/>
      <c r="ADU1" s="268">
        <f>ADL1+1</f>
        <v>82</v>
      </c>
      <c r="ADW1" s="1379" t="str">
        <f>ADN1</f>
        <v>ENTRADA DEL MES DE    DICIEMBRE    2022</v>
      </c>
      <c r="ADX1" s="1379"/>
      <c r="ADY1" s="1379"/>
      <c r="ADZ1" s="1379"/>
      <c r="AEA1" s="1379"/>
      <c r="AEB1" s="1379"/>
      <c r="AEC1" s="1379"/>
      <c r="AED1" s="268">
        <f>ADU1+1</f>
        <v>83</v>
      </c>
      <c r="AEF1" s="1379" t="str">
        <f>ADW1</f>
        <v>ENTRADA DEL MES DE    DICIEMBRE    2022</v>
      </c>
      <c r="AEG1" s="1379"/>
      <c r="AEH1" s="1379"/>
      <c r="AEI1" s="1379"/>
      <c r="AEJ1" s="1379"/>
      <c r="AEK1" s="1379"/>
      <c r="AEL1" s="1379"/>
      <c r="AEM1" s="268">
        <f>AED1+1</f>
        <v>84</v>
      </c>
      <c r="AEO1" s="1379" t="str">
        <f>AEF1</f>
        <v>ENTRADA DEL MES DE    DICIEMBRE    2022</v>
      </c>
      <c r="AEP1" s="1379"/>
      <c r="AEQ1" s="1379"/>
      <c r="AER1" s="1379"/>
      <c r="AES1" s="1379"/>
      <c r="AET1" s="1379"/>
      <c r="AEU1" s="1379"/>
      <c r="AEV1" s="268">
        <f>AEM1+1</f>
        <v>85</v>
      </c>
      <c r="AEX1" s="1379" t="str">
        <f>AEO1</f>
        <v>ENTRADA DEL MES DE    DICIEMBRE    2022</v>
      </c>
      <c r="AEY1" s="1379"/>
      <c r="AEZ1" s="1379"/>
      <c r="AFA1" s="1379"/>
      <c r="AFB1" s="1379"/>
      <c r="AFC1" s="1379"/>
      <c r="AFD1" s="1379"/>
      <c r="AFE1" s="268">
        <f>AEV1+1</f>
        <v>86</v>
      </c>
    </row>
    <row r="2" spans="1:837" ht="17.25" thickTop="1" thickBot="1" x14ac:dyDescent="0.3">
      <c r="A2" s="269" t="s">
        <v>14</v>
      </c>
      <c r="B2" s="270" t="s">
        <v>0</v>
      </c>
      <c r="C2" s="271" t="s">
        <v>10</v>
      </c>
      <c r="D2" s="272"/>
      <c r="E2" s="259" t="s">
        <v>25</v>
      </c>
      <c r="F2" s="273" t="s">
        <v>3</v>
      </c>
      <c r="G2" s="274" t="s">
        <v>8</v>
      </c>
      <c r="H2" s="275" t="s">
        <v>5</v>
      </c>
      <c r="I2" s="270" t="s">
        <v>6</v>
      </c>
      <c r="CC2" s="75" t="s">
        <v>41</v>
      </c>
      <c r="QS2" s="75">
        <v>0</v>
      </c>
    </row>
    <row r="3" spans="1:837" ht="17.25" thickTop="1" thickBot="1" x14ac:dyDescent="0.3">
      <c r="D3" s="102"/>
      <c r="F3" s="86"/>
      <c r="G3" s="73"/>
      <c r="H3" s="48"/>
      <c r="I3" s="105">
        <v>0</v>
      </c>
      <c r="K3" s="72" t="s">
        <v>0</v>
      </c>
      <c r="L3" s="72" t="s">
        <v>1</v>
      </c>
      <c r="M3" s="72"/>
      <c r="N3" s="72" t="s">
        <v>2</v>
      </c>
      <c r="O3" s="72" t="s">
        <v>3</v>
      </c>
      <c r="P3" s="72" t="s">
        <v>4</v>
      </c>
      <c r="Q3" s="276" t="s">
        <v>20</v>
      </c>
      <c r="R3" s="277" t="s">
        <v>6</v>
      </c>
      <c r="S3" s="178"/>
      <c r="U3" s="72" t="s">
        <v>0</v>
      </c>
      <c r="V3" s="72" t="s">
        <v>1</v>
      </c>
      <c r="W3" s="72"/>
      <c r="X3" s="72" t="s">
        <v>2</v>
      </c>
      <c r="Y3" s="72" t="s">
        <v>3</v>
      </c>
      <c r="Z3" s="72" t="s">
        <v>4</v>
      </c>
      <c r="AA3" s="276" t="s">
        <v>20</v>
      </c>
      <c r="AB3" s="277" t="s">
        <v>6</v>
      </c>
      <c r="AC3" s="395"/>
      <c r="AE3" s="72" t="s">
        <v>0</v>
      </c>
      <c r="AF3" s="72" t="s">
        <v>1</v>
      </c>
      <c r="AG3" s="72"/>
      <c r="AH3" s="72" t="s">
        <v>2</v>
      </c>
      <c r="AI3" s="72" t="s">
        <v>3</v>
      </c>
      <c r="AJ3" s="72" t="s">
        <v>4</v>
      </c>
      <c r="AK3" s="276" t="s">
        <v>20</v>
      </c>
      <c r="AL3" s="277" t="s">
        <v>6</v>
      </c>
      <c r="AM3" s="178"/>
      <c r="AO3" s="72" t="s">
        <v>0</v>
      </c>
      <c r="AP3" s="72" t="s">
        <v>1</v>
      </c>
      <c r="AQ3" s="72"/>
      <c r="AR3" s="72" t="s">
        <v>2</v>
      </c>
      <c r="AS3" s="72" t="s">
        <v>3</v>
      </c>
      <c r="AT3" s="72" t="s">
        <v>4</v>
      </c>
      <c r="AU3" s="276" t="s">
        <v>20</v>
      </c>
      <c r="AV3" s="277" t="s">
        <v>6</v>
      </c>
      <c r="AW3" s="395"/>
      <c r="AY3" s="72" t="s">
        <v>0</v>
      </c>
      <c r="AZ3" s="117" t="s">
        <v>1</v>
      </c>
      <c r="BA3" s="72"/>
      <c r="BB3" s="72" t="s">
        <v>2</v>
      </c>
      <c r="BC3" s="72" t="s">
        <v>3</v>
      </c>
      <c r="BD3" s="72" t="s">
        <v>4</v>
      </c>
      <c r="BE3" s="276" t="s">
        <v>20</v>
      </c>
      <c r="BF3" s="277" t="s">
        <v>6</v>
      </c>
      <c r="BG3" s="395"/>
      <c r="BI3" s="72" t="s">
        <v>0</v>
      </c>
      <c r="BJ3" s="72" t="s">
        <v>1</v>
      </c>
      <c r="BK3" s="72"/>
      <c r="BL3" s="72" t="s">
        <v>2</v>
      </c>
      <c r="BM3" s="72" t="s">
        <v>3</v>
      </c>
      <c r="BN3" s="72" t="s">
        <v>4</v>
      </c>
      <c r="BO3" s="276" t="s">
        <v>20</v>
      </c>
      <c r="BP3" s="277" t="s">
        <v>6</v>
      </c>
      <c r="BQ3" s="395"/>
      <c r="BS3" s="72" t="s">
        <v>0</v>
      </c>
      <c r="BT3" s="72" t="s">
        <v>1</v>
      </c>
      <c r="BU3" s="72"/>
      <c r="BV3" s="72" t="s">
        <v>2</v>
      </c>
      <c r="BW3" s="72" t="s">
        <v>3</v>
      </c>
      <c r="BX3" s="72" t="s">
        <v>4</v>
      </c>
      <c r="BY3" s="276" t="s">
        <v>20</v>
      </c>
      <c r="BZ3" s="277" t="s">
        <v>6</v>
      </c>
      <c r="CC3" s="72" t="s">
        <v>0</v>
      </c>
      <c r="CD3" s="72" t="s">
        <v>1</v>
      </c>
      <c r="CE3" s="72"/>
      <c r="CF3" s="72" t="s">
        <v>2</v>
      </c>
      <c r="CG3" s="72" t="s">
        <v>3</v>
      </c>
      <c r="CH3" s="72" t="s">
        <v>4</v>
      </c>
      <c r="CI3" s="276" t="s">
        <v>20</v>
      </c>
      <c r="CJ3" s="277" t="s">
        <v>6</v>
      </c>
      <c r="CM3" s="72" t="s">
        <v>0</v>
      </c>
      <c r="CN3" s="72" t="s">
        <v>1</v>
      </c>
      <c r="CO3" s="72"/>
      <c r="CP3" s="72" t="s">
        <v>2</v>
      </c>
      <c r="CQ3" s="72" t="s">
        <v>3</v>
      </c>
      <c r="CR3" s="72" t="s">
        <v>4</v>
      </c>
      <c r="CS3" s="276" t="s">
        <v>20</v>
      </c>
      <c r="CT3" s="277" t="s">
        <v>6</v>
      </c>
      <c r="CU3" s="395"/>
      <c r="CW3" s="72" t="s">
        <v>0</v>
      </c>
      <c r="CX3" s="72" t="s">
        <v>1</v>
      </c>
      <c r="CY3" s="72"/>
      <c r="CZ3" s="72" t="s">
        <v>2</v>
      </c>
      <c r="DA3" s="72" t="s">
        <v>3</v>
      </c>
      <c r="DB3" s="72" t="s">
        <v>4</v>
      </c>
      <c r="DC3" s="276" t="s">
        <v>20</v>
      </c>
      <c r="DD3" s="277" t="s">
        <v>6</v>
      </c>
      <c r="DE3" s="395"/>
      <c r="DG3" s="72" t="s">
        <v>0</v>
      </c>
      <c r="DH3" s="72" t="s">
        <v>1</v>
      </c>
      <c r="DI3" s="72"/>
      <c r="DJ3" s="72" t="s">
        <v>2</v>
      </c>
      <c r="DK3" s="72" t="s">
        <v>3</v>
      </c>
      <c r="DL3" s="72" t="s">
        <v>4</v>
      </c>
      <c r="DM3" s="276" t="s">
        <v>20</v>
      </c>
      <c r="DN3" s="277" t="s">
        <v>6</v>
      </c>
      <c r="DO3" s="395"/>
      <c r="DQ3" s="72" t="s">
        <v>0</v>
      </c>
      <c r="DR3" s="72" t="s">
        <v>1</v>
      </c>
      <c r="DS3" s="72"/>
      <c r="DT3" s="72" t="s">
        <v>2</v>
      </c>
      <c r="DU3" s="72" t="s">
        <v>3</v>
      </c>
      <c r="DV3" s="72" t="s">
        <v>4</v>
      </c>
      <c r="DW3" s="276" t="s">
        <v>20</v>
      </c>
      <c r="DX3" s="277" t="s">
        <v>6</v>
      </c>
      <c r="EA3" s="72" t="s">
        <v>0</v>
      </c>
      <c r="EB3" s="72" t="s">
        <v>1</v>
      </c>
      <c r="EC3" s="72"/>
      <c r="ED3" s="72" t="s">
        <v>2</v>
      </c>
      <c r="EE3" s="72" t="s">
        <v>3</v>
      </c>
      <c r="EF3" s="72" t="s">
        <v>4</v>
      </c>
      <c r="EG3" s="276" t="s">
        <v>20</v>
      </c>
      <c r="EH3" s="277" t="s">
        <v>6</v>
      </c>
      <c r="EI3" s="395"/>
      <c r="EK3" s="72" t="s">
        <v>0</v>
      </c>
      <c r="EL3" s="72" t="s">
        <v>1</v>
      </c>
      <c r="EM3" s="72"/>
      <c r="EN3" s="72" t="s">
        <v>2</v>
      </c>
      <c r="EO3" s="72" t="s">
        <v>3</v>
      </c>
      <c r="EP3" s="72" t="s">
        <v>4</v>
      </c>
      <c r="EQ3" s="276" t="s">
        <v>20</v>
      </c>
      <c r="ER3" s="277" t="s">
        <v>6</v>
      </c>
      <c r="ES3" s="395"/>
      <c r="EU3" s="72" t="s">
        <v>0</v>
      </c>
      <c r="EV3" s="72" t="s">
        <v>1</v>
      </c>
      <c r="EW3" s="72"/>
      <c r="EX3" s="72" t="s">
        <v>2</v>
      </c>
      <c r="EY3" s="72" t="s">
        <v>3</v>
      </c>
      <c r="EZ3" s="72" t="s">
        <v>4</v>
      </c>
      <c r="FA3" s="276" t="s">
        <v>20</v>
      </c>
      <c r="FB3" s="277" t="s">
        <v>6</v>
      </c>
      <c r="FC3" s="395"/>
      <c r="FE3" s="72" t="s">
        <v>0</v>
      </c>
      <c r="FF3" s="72" t="s">
        <v>1</v>
      </c>
      <c r="FG3" s="72"/>
      <c r="FH3" s="72" t="s">
        <v>2</v>
      </c>
      <c r="FI3" s="72" t="s">
        <v>3</v>
      </c>
      <c r="FJ3" s="72" t="s">
        <v>4</v>
      </c>
      <c r="FK3" s="276" t="s">
        <v>20</v>
      </c>
      <c r="FL3" s="277" t="s">
        <v>6</v>
      </c>
      <c r="FM3" s="395"/>
      <c r="FO3" s="72" t="s">
        <v>0</v>
      </c>
      <c r="FP3" s="72" t="s">
        <v>1</v>
      </c>
      <c r="FQ3" s="72"/>
      <c r="FR3" s="72" t="s">
        <v>2</v>
      </c>
      <c r="FS3" s="72" t="s">
        <v>3</v>
      </c>
      <c r="FT3" s="72" t="s">
        <v>4</v>
      </c>
      <c r="FU3" s="276" t="s">
        <v>20</v>
      </c>
      <c r="FV3" s="277" t="s">
        <v>6</v>
      </c>
      <c r="FW3" s="395"/>
      <c r="FY3" s="72" t="s">
        <v>0</v>
      </c>
      <c r="FZ3" s="72" t="s">
        <v>1</v>
      </c>
      <c r="GA3" s="72"/>
      <c r="GB3" s="72" t="s">
        <v>2</v>
      </c>
      <c r="GC3" s="72" t="s">
        <v>3</v>
      </c>
      <c r="GD3" s="72" t="s">
        <v>4</v>
      </c>
      <c r="GE3" s="276" t="s">
        <v>20</v>
      </c>
      <c r="GF3" s="277" t="s">
        <v>6</v>
      </c>
      <c r="GG3" s="395"/>
      <c r="GI3" s="72" t="s">
        <v>0</v>
      </c>
      <c r="GJ3" s="72" t="s">
        <v>1</v>
      </c>
      <c r="GK3" s="72"/>
      <c r="GL3" s="72" t="s">
        <v>2</v>
      </c>
      <c r="GM3" s="72" t="s">
        <v>3</v>
      </c>
      <c r="GN3" s="72" t="s">
        <v>4</v>
      </c>
      <c r="GO3" s="276" t="s">
        <v>20</v>
      </c>
      <c r="GP3" s="277" t="s">
        <v>6</v>
      </c>
      <c r="GQ3" s="395"/>
      <c r="GS3" s="72" t="s">
        <v>0</v>
      </c>
      <c r="GT3" s="72" t="s">
        <v>1</v>
      </c>
      <c r="GU3" s="72"/>
      <c r="GV3" s="72" t="s">
        <v>2</v>
      </c>
      <c r="GW3" s="72" t="s">
        <v>3</v>
      </c>
      <c r="GX3" s="72" t="s">
        <v>4</v>
      </c>
      <c r="GY3" s="276" t="s">
        <v>20</v>
      </c>
      <c r="GZ3" s="277" t="s">
        <v>6</v>
      </c>
      <c r="HA3" s="395"/>
      <c r="HC3" s="72" t="s">
        <v>0</v>
      </c>
      <c r="HD3" s="72" t="s">
        <v>1</v>
      </c>
      <c r="HE3" s="72"/>
      <c r="HF3" s="72" t="s">
        <v>2</v>
      </c>
      <c r="HG3" s="72" t="s">
        <v>3</v>
      </c>
      <c r="HH3" s="72" t="s">
        <v>4</v>
      </c>
      <c r="HI3" s="278" t="s">
        <v>20</v>
      </c>
      <c r="HJ3" s="277" t="s">
        <v>6</v>
      </c>
      <c r="HK3" s="395"/>
      <c r="HM3" s="72" t="s">
        <v>0</v>
      </c>
      <c r="HN3" s="72" t="s">
        <v>1</v>
      </c>
      <c r="HO3" s="72"/>
      <c r="HP3" s="72" t="s">
        <v>2</v>
      </c>
      <c r="HQ3" s="72" t="s">
        <v>3</v>
      </c>
      <c r="HR3" s="72" t="s">
        <v>4</v>
      </c>
      <c r="HS3" s="276" t="s">
        <v>20</v>
      </c>
      <c r="HT3" s="277" t="s">
        <v>6</v>
      </c>
      <c r="HU3" s="395"/>
      <c r="HW3" s="72" t="s">
        <v>0</v>
      </c>
      <c r="HX3" s="72" t="s">
        <v>1</v>
      </c>
      <c r="HY3" s="72"/>
      <c r="HZ3" s="72" t="s">
        <v>2</v>
      </c>
      <c r="IA3" s="72" t="s">
        <v>3</v>
      </c>
      <c r="IB3" s="72" t="s">
        <v>4</v>
      </c>
      <c r="IC3" s="276" t="s">
        <v>20</v>
      </c>
      <c r="ID3" s="277" t="s">
        <v>6</v>
      </c>
      <c r="IE3" s="395"/>
      <c r="IG3" s="72" t="s">
        <v>0</v>
      </c>
      <c r="IH3" s="72" t="s">
        <v>1</v>
      </c>
      <c r="II3" s="72"/>
      <c r="IJ3" s="72" t="s">
        <v>2</v>
      </c>
      <c r="IK3" s="72" t="s">
        <v>3</v>
      </c>
      <c r="IL3" s="72" t="s">
        <v>4</v>
      </c>
      <c r="IM3" s="276" t="s">
        <v>20</v>
      </c>
      <c r="IN3" s="277" t="s">
        <v>6</v>
      </c>
      <c r="IO3" s="395"/>
      <c r="IQ3" s="72" t="s">
        <v>0</v>
      </c>
      <c r="IR3" s="72" t="s">
        <v>1</v>
      </c>
      <c r="IS3" s="72"/>
      <c r="IT3" s="72" t="s">
        <v>2</v>
      </c>
      <c r="IU3" s="72" t="s">
        <v>3</v>
      </c>
      <c r="IV3" s="72" t="s">
        <v>4</v>
      </c>
      <c r="IW3" s="276" t="s">
        <v>20</v>
      </c>
      <c r="IX3" s="277" t="s">
        <v>6</v>
      </c>
      <c r="IY3" s="395"/>
      <c r="JA3" s="72" t="s">
        <v>0</v>
      </c>
      <c r="JB3" s="72" t="s">
        <v>1</v>
      </c>
      <c r="JC3" s="72"/>
      <c r="JD3" s="72" t="s">
        <v>2</v>
      </c>
      <c r="JE3" s="72" t="s">
        <v>3</v>
      </c>
      <c r="JF3" s="72" t="s">
        <v>4</v>
      </c>
      <c r="JG3" s="276" t="s">
        <v>20</v>
      </c>
      <c r="JH3" s="277" t="s">
        <v>6</v>
      </c>
      <c r="JI3" s="395"/>
      <c r="JK3" s="72" t="s">
        <v>0</v>
      </c>
      <c r="JL3" s="72" t="s">
        <v>1</v>
      </c>
      <c r="JM3" s="72"/>
      <c r="JN3" s="72" t="s">
        <v>2</v>
      </c>
      <c r="JO3" s="72" t="s">
        <v>3</v>
      </c>
      <c r="JP3" s="72" t="s">
        <v>4</v>
      </c>
      <c r="JQ3" s="276" t="s">
        <v>20</v>
      </c>
      <c r="JR3" s="277" t="s">
        <v>6</v>
      </c>
      <c r="JS3" s="395"/>
      <c r="JU3" s="72" t="s">
        <v>0</v>
      </c>
      <c r="JV3" s="72" t="s">
        <v>1</v>
      </c>
      <c r="JW3" s="72"/>
      <c r="JX3" s="72" t="s">
        <v>2</v>
      </c>
      <c r="JY3" s="72" t="s">
        <v>3</v>
      </c>
      <c r="JZ3" s="72" t="s">
        <v>4</v>
      </c>
      <c r="KA3" s="278" t="s">
        <v>20</v>
      </c>
      <c r="KB3" s="277" t="s">
        <v>6</v>
      </c>
      <c r="KC3" s="395"/>
      <c r="KE3" s="72" t="s">
        <v>0</v>
      </c>
      <c r="KF3" s="72" t="s">
        <v>1</v>
      </c>
      <c r="KG3" s="72"/>
      <c r="KH3" s="72" t="s">
        <v>2</v>
      </c>
      <c r="KI3" s="72" t="s">
        <v>3</v>
      </c>
      <c r="KJ3" s="72" t="s">
        <v>4</v>
      </c>
      <c r="KK3" s="276" t="s">
        <v>20</v>
      </c>
      <c r="KL3" s="277" t="s">
        <v>6</v>
      </c>
      <c r="KM3" s="395"/>
      <c r="KO3" s="72" t="s">
        <v>0</v>
      </c>
      <c r="KP3" s="72" t="s">
        <v>1</v>
      </c>
      <c r="KQ3" s="72"/>
      <c r="KR3" s="72" t="s">
        <v>2</v>
      </c>
      <c r="KS3" s="72" t="s">
        <v>3</v>
      </c>
      <c r="KT3" s="72" t="s">
        <v>4</v>
      </c>
      <c r="KU3" s="276" t="s">
        <v>20</v>
      </c>
      <c r="KV3" s="277" t="s">
        <v>6</v>
      </c>
      <c r="KW3" s="395"/>
      <c r="KY3" s="72" t="s">
        <v>0</v>
      </c>
      <c r="KZ3" s="72" t="s">
        <v>1</v>
      </c>
      <c r="LA3" s="72"/>
      <c r="LB3" s="72" t="s">
        <v>2</v>
      </c>
      <c r="LC3" s="72" t="s">
        <v>3</v>
      </c>
      <c r="LD3" s="72" t="s">
        <v>4</v>
      </c>
      <c r="LE3" s="276" t="s">
        <v>20</v>
      </c>
      <c r="LF3" s="277" t="s">
        <v>6</v>
      </c>
      <c r="LG3" s="395"/>
      <c r="LI3" s="72" t="s">
        <v>0</v>
      </c>
      <c r="LJ3" s="72" t="s">
        <v>1</v>
      </c>
      <c r="LK3" s="72"/>
      <c r="LL3" s="72" t="s">
        <v>2</v>
      </c>
      <c r="LM3" s="72" t="s">
        <v>3</v>
      </c>
      <c r="LN3" s="72" t="s">
        <v>4</v>
      </c>
      <c r="LO3" s="276" t="s">
        <v>20</v>
      </c>
      <c r="LP3" s="277" t="s">
        <v>6</v>
      </c>
      <c r="LQ3" s="395"/>
      <c r="LS3" s="72" t="s">
        <v>0</v>
      </c>
      <c r="LT3" s="72" t="s">
        <v>1</v>
      </c>
      <c r="LU3" s="72"/>
      <c r="LV3" s="72" t="s">
        <v>2</v>
      </c>
      <c r="LW3" s="72" t="s">
        <v>3</v>
      </c>
      <c r="LX3" s="72" t="s">
        <v>4</v>
      </c>
      <c r="LY3" s="276" t="s">
        <v>20</v>
      </c>
      <c r="LZ3" s="277" t="s">
        <v>6</v>
      </c>
      <c r="MC3" s="72" t="s">
        <v>0</v>
      </c>
      <c r="MD3" s="72" t="s">
        <v>1</v>
      </c>
      <c r="ME3" s="72"/>
      <c r="MF3" s="72" t="s">
        <v>2</v>
      </c>
      <c r="MG3" s="72" t="s">
        <v>3</v>
      </c>
      <c r="MH3" s="72" t="s">
        <v>4</v>
      </c>
      <c r="MI3" s="276" t="s">
        <v>20</v>
      </c>
      <c r="MJ3" s="277" t="s">
        <v>6</v>
      </c>
      <c r="MK3" s="178"/>
      <c r="MM3" s="72" t="s">
        <v>0</v>
      </c>
      <c r="MN3" s="72" t="s">
        <v>1</v>
      </c>
      <c r="MO3" s="72"/>
      <c r="MP3" s="72" t="s">
        <v>2</v>
      </c>
      <c r="MQ3" s="72" t="s">
        <v>3</v>
      </c>
      <c r="MR3" s="72" t="s">
        <v>4</v>
      </c>
      <c r="MS3" s="276" t="s">
        <v>20</v>
      </c>
      <c r="MT3" s="277" t="s">
        <v>6</v>
      </c>
      <c r="MU3" s="178"/>
      <c r="MW3" s="72" t="s">
        <v>0</v>
      </c>
      <c r="MX3" s="72" t="s">
        <v>1</v>
      </c>
      <c r="MY3" s="72"/>
      <c r="MZ3" s="72" t="s">
        <v>2</v>
      </c>
      <c r="NA3" s="72" t="s">
        <v>3</v>
      </c>
      <c r="NB3" s="72" t="s">
        <v>4</v>
      </c>
      <c r="NC3" s="276" t="s">
        <v>20</v>
      </c>
      <c r="ND3" s="277" t="s">
        <v>6</v>
      </c>
      <c r="NE3" s="178"/>
      <c r="NG3" s="72" t="s">
        <v>0</v>
      </c>
      <c r="NH3" s="72" t="s">
        <v>1</v>
      </c>
      <c r="NI3" s="72"/>
      <c r="NJ3" s="72" t="s">
        <v>2</v>
      </c>
      <c r="NK3" s="72" t="s">
        <v>3</v>
      </c>
      <c r="NL3" s="72" t="s">
        <v>4</v>
      </c>
      <c r="NM3" s="276" t="s">
        <v>20</v>
      </c>
      <c r="NN3" s="277" t="s">
        <v>6</v>
      </c>
      <c r="NO3" s="178"/>
      <c r="NQ3" s="72" t="s">
        <v>0</v>
      </c>
      <c r="NR3" s="72" t="s">
        <v>1</v>
      </c>
      <c r="NS3" s="72"/>
      <c r="NT3" s="72" t="s">
        <v>2</v>
      </c>
      <c r="NU3" s="72" t="s">
        <v>3</v>
      </c>
      <c r="NV3" s="72" t="s">
        <v>4</v>
      </c>
      <c r="NW3" s="276" t="s">
        <v>20</v>
      </c>
      <c r="NX3" s="277" t="s">
        <v>6</v>
      </c>
      <c r="NY3" s="178"/>
      <c r="OA3" s="72" t="s">
        <v>0</v>
      </c>
      <c r="OB3" s="72" t="s">
        <v>1</v>
      </c>
      <c r="OC3" s="72"/>
      <c r="OD3" s="72" t="s">
        <v>2</v>
      </c>
      <c r="OE3" s="72" t="s">
        <v>3</v>
      </c>
      <c r="OF3" s="72" t="s">
        <v>4</v>
      </c>
      <c r="OG3" s="276" t="s">
        <v>20</v>
      </c>
      <c r="OH3" s="277" t="s">
        <v>6</v>
      </c>
      <c r="OI3" s="178"/>
      <c r="OK3" s="72" t="s">
        <v>0</v>
      </c>
      <c r="OL3" s="72" t="s">
        <v>1</v>
      </c>
      <c r="OM3" s="72"/>
      <c r="ON3" s="72" t="s">
        <v>2</v>
      </c>
      <c r="OO3" s="72" t="s">
        <v>3</v>
      </c>
      <c r="OP3" s="72" t="s">
        <v>4</v>
      </c>
      <c r="OQ3" s="276" t="s">
        <v>20</v>
      </c>
      <c r="OR3" s="277" t="s">
        <v>6</v>
      </c>
      <c r="OS3" s="178"/>
      <c r="OU3" s="72" t="s">
        <v>0</v>
      </c>
      <c r="OV3" s="72" t="s">
        <v>1</v>
      </c>
      <c r="OW3" s="72"/>
      <c r="OX3" s="72" t="s">
        <v>2</v>
      </c>
      <c r="OY3" s="72" t="s">
        <v>3</v>
      </c>
      <c r="OZ3" s="72" t="s">
        <v>4</v>
      </c>
      <c r="PA3" s="276" t="s">
        <v>20</v>
      </c>
      <c r="PB3" s="277" t="s">
        <v>6</v>
      </c>
      <c r="PC3" s="178"/>
      <c r="PE3" s="72" t="s">
        <v>0</v>
      </c>
      <c r="PF3" s="72" t="s">
        <v>1</v>
      </c>
      <c r="PG3" s="72"/>
      <c r="PH3" s="72" t="s">
        <v>2</v>
      </c>
      <c r="PI3" s="72" t="s">
        <v>3</v>
      </c>
      <c r="PJ3" s="72" t="s">
        <v>4</v>
      </c>
      <c r="PK3" s="276" t="s">
        <v>20</v>
      </c>
      <c r="PL3" s="277" t="s">
        <v>6</v>
      </c>
      <c r="PM3" s="178"/>
      <c r="PN3" s="178"/>
      <c r="PP3" s="72" t="s">
        <v>0</v>
      </c>
      <c r="PQ3" s="72" t="s">
        <v>1</v>
      </c>
      <c r="PR3" s="72"/>
      <c r="PS3" s="72" t="s">
        <v>2</v>
      </c>
      <c r="PT3" s="72" t="s">
        <v>3</v>
      </c>
      <c r="PU3" s="72" t="s">
        <v>4</v>
      </c>
      <c r="PV3" s="276" t="s">
        <v>20</v>
      </c>
      <c r="PW3" s="277" t="s">
        <v>6</v>
      </c>
      <c r="PX3" s="1197"/>
      <c r="PZ3" s="72" t="s">
        <v>0</v>
      </c>
      <c r="QA3" s="72" t="s">
        <v>1</v>
      </c>
      <c r="QB3" s="72"/>
      <c r="QC3" s="72" t="s">
        <v>2</v>
      </c>
      <c r="QD3" s="72" t="s">
        <v>3</v>
      </c>
      <c r="QE3" s="72" t="s">
        <v>4</v>
      </c>
      <c r="QF3" s="276" t="s">
        <v>20</v>
      </c>
      <c r="QG3" s="277" t="s">
        <v>6</v>
      </c>
      <c r="QH3" s="1197"/>
      <c r="QJ3" s="72" t="s">
        <v>0</v>
      </c>
      <c r="QK3" s="72" t="s">
        <v>1</v>
      </c>
      <c r="QL3" s="72"/>
      <c r="QM3" s="72" t="s">
        <v>2</v>
      </c>
      <c r="QN3" s="72" t="s">
        <v>3</v>
      </c>
      <c r="QO3" s="72" t="s">
        <v>4</v>
      </c>
      <c r="QP3" s="276" t="s">
        <v>20</v>
      </c>
      <c r="QQ3" s="277" t="s">
        <v>6</v>
      </c>
      <c r="QR3" s="1197"/>
      <c r="QT3" s="72" t="s">
        <v>0</v>
      </c>
      <c r="QU3" s="72" t="s">
        <v>1</v>
      </c>
      <c r="QV3" s="72"/>
      <c r="QW3" s="72" t="s">
        <v>2</v>
      </c>
      <c r="QX3" s="72" t="s">
        <v>3</v>
      </c>
      <c r="QY3" s="72" t="s">
        <v>4</v>
      </c>
      <c r="QZ3" s="276" t="s">
        <v>20</v>
      </c>
      <c r="RA3" s="277" t="s">
        <v>6</v>
      </c>
      <c r="RB3" s="1197"/>
      <c r="RD3" s="72" t="s">
        <v>0</v>
      </c>
      <c r="RE3" s="72" t="s">
        <v>1</v>
      </c>
      <c r="RF3" s="72"/>
      <c r="RG3" s="72" t="s">
        <v>2</v>
      </c>
      <c r="RH3" s="72" t="s">
        <v>3</v>
      </c>
      <c r="RI3" s="72" t="s">
        <v>4</v>
      </c>
      <c r="RJ3" s="276" t="s">
        <v>20</v>
      </c>
      <c r="RK3" s="277" t="s">
        <v>6</v>
      </c>
      <c r="RL3" s="1197"/>
      <c r="RN3" s="72" t="s">
        <v>0</v>
      </c>
      <c r="RO3" s="72" t="s">
        <v>1</v>
      </c>
      <c r="RP3" s="72"/>
      <c r="RQ3" s="72" t="s">
        <v>2</v>
      </c>
      <c r="RR3" s="72" t="s">
        <v>3</v>
      </c>
      <c r="RS3" s="72" t="s">
        <v>4</v>
      </c>
      <c r="RT3" s="276" t="s">
        <v>20</v>
      </c>
      <c r="RU3" s="277" t="s">
        <v>6</v>
      </c>
      <c r="RV3" s="1197"/>
      <c r="RX3" s="72" t="s">
        <v>0</v>
      </c>
      <c r="RY3" s="72" t="s">
        <v>1</v>
      </c>
      <c r="RZ3" s="72"/>
      <c r="SA3" s="72" t="s">
        <v>2</v>
      </c>
      <c r="SB3" s="72" t="s">
        <v>3</v>
      </c>
      <c r="SC3" s="72" t="s">
        <v>4</v>
      </c>
      <c r="SD3" s="276" t="s">
        <v>20</v>
      </c>
      <c r="SE3" s="277" t="s">
        <v>6</v>
      </c>
      <c r="SF3" s="1197"/>
      <c r="SH3" s="72" t="s">
        <v>0</v>
      </c>
      <c r="SI3" s="72" t="s">
        <v>1</v>
      </c>
      <c r="SJ3" s="72"/>
      <c r="SK3" s="72" t="s">
        <v>2</v>
      </c>
      <c r="SL3" s="72" t="s">
        <v>3</v>
      </c>
      <c r="SM3" s="72" t="s">
        <v>4</v>
      </c>
      <c r="SN3" s="276" t="s">
        <v>20</v>
      </c>
      <c r="SO3" s="277" t="s">
        <v>6</v>
      </c>
      <c r="SP3" s="1197"/>
      <c r="SR3" s="72" t="s">
        <v>0</v>
      </c>
      <c r="SS3" s="72" t="s">
        <v>1</v>
      </c>
      <c r="ST3" s="72"/>
      <c r="SU3" s="72" t="s">
        <v>2</v>
      </c>
      <c r="SV3" s="72" t="s">
        <v>3</v>
      </c>
      <c r="SW3" s="72" t="s">
        <v>4</v>
      </c>
      <c r="SX3" s="276" t="s">
        <v>20</v>
      </c>
      <c r="SY3" s="277" t="s">
        <v>6</v>
      </c>
      <c r="SZ3" s="1197"/>
      <c r="TB3" s="72" t="s">
        <v>0</v>
      </c>
      <c r="TC3" s="72" t="s">
        <v>1</v>
      </c>
      <c r="TD3" s="72"/>
      <c r="TE3" s="72" t="s">
        <v>2</v>
      </c>
      <c r="TF3" s="72" t="s">
        <v>3</v>
      </c>
      <c r="TG3" s="72" t="s">
        <v>4</v>
      </c>
      <c r="TH3" s="276" t="s">
        <v>20</v>
      </c>
      <c r="TI3" s="277" t="s">
        <v>6</v>
      </c>
      <c r="TJ3" s="1197"/>
      <c r="TL3" s="72" t="s">
        <v>0</v>
      </c>
      <c r="TM3" s="72" t="s">
        <v>1</v>
      </c>
      <c r="TN3" s="72"/>
      <c r="TO3" s="72" t="s">
        <v>2</v>
      </c>
      <c r="TP3" s="72" t="s">
        <v>3</v>
      </c>
      <c r="TQ3" s="72" t="s">
        <v>4</v>
      </c>
      <c r="TR3" s="276" t="s">
        <v>20</v>
      </c>
      <c r="TS3" s="277" t="s">
        <v>6</v>
      </c>
      <c r="TT3" s="1197"/>
      <c r="TV3" s="72" t="s">
        <v>0</v>
      </c>
      <c r="TW3" s="72" t="s">
        <v>1</v>
      </c>
      <c r="TX3" s="72"/>
      <c r="TY3" s="72" t="s">
        <v>2</v>
      </c>
      <c r="TZ3" s="72" t="s">
        <v>3</v>
      </c>
      <c r="UA3" s="72" t="s">
        <v>4</v>
      </c>
      <c r="UB3" s="276" t="s">
        <v>20</v>
      </c>
      <c r="UC3" s="277" t="s">
        <v>6</v>
      </c>
      <c r="UE3" s="72" t="s">
        <v>0</v>
      </c>
      <c r="UF3" s="72" t="s">
        <v>1</v>
      </c>
      <c r="UG3" s="72"/>
      <c r="UH3" s="72" t="s">
        <v>2</v>
      </c>
      <c r="UI3" s="72" t="s">
        <v>3</v>
      </c>
      <c r="UJ3" s="72" t="s">
        <v>4</v>
      </c>
      <c r="UK3" s="276" t="s">
        <v>20</v>
      </c>
      <c r="UL3" s="277" t="s">
        <v>6</v>
      </c>
      <c r="UN3" s="72" t="s">
        <v>0</v>
      </c>
      <c r="UO3" s="72" t="s">
        <v>1</v>
      </c>
      <c r="UP3" s="72"/>
      <c r="UQ3" s="72" t="s">
        <v>2</v>
      </c>
      <c r="UR3" s="72" t="s">
        <v>3</v>
      </c>
      <c r="US3" s="72" t="s">
        <v>4</v>
      </c>
      <c r="UT3" s="276" t="s">
        <v>20</v>
      </c>
      <c r="UU3" s="277" t="s">
        <v>6</v>
      </c>
      <c r="UW3" s="72" t="s">
        <v>0</v>
      </c>
      <c r="UX3" s="72" t="s">
        <v>1</v>
      </c>
      <c r="UY3" s="72"/>
      <c r="UZ3" s="72" t="s">
        <v>2</v>
      </c>
      <c r="VA3" s="72" t="s">
        <v>3</v>
      </c>
      <c r="VB3" s="72" t="s">
        <v>4</v>
      </c>
      <c r="VC3" s="276" t="s">
        <v>20</v>
      </c>
      <c r="VD3" s="277" t="s">
        <v>6</v>
      </c>
      <c r="VF3" s="72" t="s">
        <v>0</v>
      </c>
      <c r="VG3" s="72" t="s">
        <v>1</v>
      </c>
      <c r="VH3" s="72"/>
      <c r="VI3" s="72" t="s">
        <v>2</v>
      </c>
      <c r="VJ3" s="72" t="s">
        <v>3</v>
      </c>
      <c r="VK3" s="72" t="s">
        <v>4</v>
      </c>
      <c r="VL3" s="276" t="s">
        <v>20</v>
      </c>
      <c r="VM3" s="277" t="s">
        <v>6</v>
      </c>
      <c r="VO3" s="72" t="s">
        <v>0</v>
      </c>
      <c r="VP3" s="72" t="s">
        <v>1</v>
      </c>
      <c r="VQ3" s="72"/>
      <c r="VR3" s="72" t="s">
        <v>2</v>
      </c>
      <c r="VS3" s="72" t="s">
        <v>3</v>
      </c>
      <c r="VT3" s="72" t="s">
        <v>4</v>
      </c>
      <c r="VU3" s="276" t="s">
        <v>20</v>
      </c>
      <c r="VV3" s="277" t="s">
        <v>6</v>
      </c>
      <c r="VX3" s="72" t="s">
        <v>0</v>
      </c>
      <c r="VY3" s="72" t="s">
        <v>1</v>
      </c>
      <c r="VZ3" s="72"/>
      <c r="WA3" s="72" t="s">
        <v>2</v>
      </c>
      <c r="WB3" s="72" t="s">
        <v>3</v>
      </c>
      <c r="WC3" s="72" t="s">
        <v>4</v>
      </c>
      <c r="WD3" s="276" t="s">
        <v>20</v>
      </c>
      <c r="WE3" s="277" t="s">
        <v>6</v>
      </c>
      <c r="WG3" s="72" t="s">
        <v>0</v>
      </c>
      <c r="WH3" s="72" t="s">
        <v>1</v>
      </c>
      <c r="WI3" s="72"/>
      <c r="WJ3" s="72" t="s">
        <v>2</v>
      </c>
      <c r="WK3" s="72" t="s">
        <v>3</v>
      </c>
      <c r="WL3" s="72" t="s">
        <v>4</v>
      </c>
      <c r="WM3" s="276" t="s">
        <v>20</v>
      </c>
      <c r="WN3" s="277" t="s">
        <v>6</v>
      </c>
      <c r="WP3" s="72" t="s">
        <v>0</v>
      </c>
      <c r="WQ3" s="72" t="s">
        <v>1</v>
      </c>
      <c r="WR3" s="72"/>
      <c r="WS3" s="72" t="s">
        <v>2</v>
      </c>
      <c r="WT3" s="72" t="s">
        <v>3</v>
      </c>
      <c r="WU3" s="72" t="s">
        <v>4</v>
      </c>
      <c r="WV3" s="276" t="s">
        <v>20</v>
      </c>
      <c r="WW3" s="277" t="s">
        <v>6</v>
      </c>
      <c r="WY3" s="72" t="s">
        <v>0</v>
      </c>
      <c r="WZ3" s="72" t="s">
        <v>1</v>
      </c>
      <c r="XA3" s="72"/>
      <c r="XB3" s="72" t="s">
        <v>2</v>
      </c>
      <c r="XC3" s="72" t="s">
        <v>3</v>
      </c>
      <c r="XD3" s="72" t="s">
        <v>4</v>
      </c>
      <c r="XE3" s="276" t="s">
        <v>20</v>
      </c>
      <c r="XF3" s="277" t="s">
        <v>6</v>
      </c>
      <c r="XH3" s="72" t="s">
        <v>0</v>
      </c>
      <c r="XI3" s="72" t="s">
        <v>1</v>
      </c>
      <c r="XJ3" s="72"/>
      <c r="XK3" s="72" t="s">
        <v>2</v>
      </c>
      <c r="XL3" s="72" t="s">
        <v>3</v>
      </c>
      <c r="XM3" s="72" t="s">
        <v>4</v>
      </c>
      <c r="XN3" s="276" t="s">
        <v>20</v>
      </c>
      <c r="XO3" s="277" t="s">
        <v>6</v>
      </c>
      <c r="XQ3" s="72" t="s">
        <v>0</v>
      </c>
      <c r="XR3" s="72" t="s">
        <v>1</v>
      </c>
      <c r="XS3" s="72"/>
      <c r="XT3" s="72" t="s">
        <v>2</v>
      </c>
      <c r="XU3" s="72" t="s">
        <v>3</v>
      </c>
      <c r="XV3" s="72" t="s">
        <v>4</v>
      </c>
      <c r="XW3" s="276" t="s">
        <v>20</v>
      </c>
      <c r="XX3" s="277" t="s">
        <v>6</v>
      </c>
      <c r="XZ3" s="72" t="s">
        <v>0</v>
      </c>
      <c r="YA3" s="72" t="s">
        <v>1</v>
      </c>
      <c r="YB3" s="72"/>
      <c r="YC3" s="72" t="s">
        <v>2</v>
      </c>
      <c r="YD3" s="72" t="s">
        <v>3</v>
      </c>
      <c r="YE3" s="72" t="s">
        <v>4</v>
      </c>
      <c r="YF3" s="276" t="s">
        <v>20</v>
      </c>
      <c r="YG3" s="277" t="s">
        <v>6</v>
      </c>
      <c r="YI3" s="72" t="s">
        <v>0</v>
      </c>
      <c r="YJ3" s="72" t="s">
        <v>1</v>
      </c>
      <c r="YK3" s="72"/>
      <c r="YL3" s="72" t="s">
        <v>2</v>
      </c>
      <c r="YM3" s="72" t="s">
        <v>3</v>
      </c>
      <c r="YN3" s="72" t="s">
        <v>4</v>
      </c>
      <c r="YO3" s="276" t="s">
        <v>20</v>
      </c>
      <c r="YP3" s="277" t="s">
        <v>6</v>
      </c>
      <c r="YR3" s="72" t="s">
        <v>0</v>
      </c>
      <c r="YS3" s="72" t="s">
        <v>1</v>
      </c>
      <c r="YT3" s="72"/>
      <c r="YU3" s="72" t="s">
        <v>2</v>
      </c>
      <c r="YV3" s="72" t="s">
        <v>3</v>
      </c>
      <c r="YW3" s="72" t="s">
        <v>4</v>
      </c>
      <c r="YX3" s="276" t="s">
        <v>20</v>
      </c>
      <c r="YY3" s="277" t="s">
        <v>6</v>
      </c>
      <c r="ZA3" s="72" t="s">
        <v>0</v>
      </c>
      <c r="ZB3" s="72" t="s">
        <v>1</v>
      </c>
      <c r="ZC3" s="72"/>
      <c r="ZD3" s="72" t="s">
        <v>2</v>
      </c>
      <c r="ZE3" s="72" t="s">
        <v>3</v>
      </c>
      <c r="ZF3" s="72" t="s">
        <v>4</v>
      </c>
      <c r="ZG3" s="276" t="s">
        <v>20</v>
      </c>
      <c r="ZH3" s="277" t="s">
        <v>6</v>
      </c>
      <c r="ZJ3" s="72" t="s">
        <v>0</v>
      </c>
      <c r="ZK3" s="72" t="s">
        <v>1</v>
      </c>
      <c r="ZL3" s="72"/>
      <c r="ZM3" s="72" t="s">
        <v>2</v>
      </c>
      <c r="ZN3" s="72" t="s">
        <v>3</v>
      </c>
      <c r="ZO3" s="72" t="s">
        <v>4</v>
      </c>
      <c r="ZP3" s="276" t="s">
        <v>20</v>
      </c>
      <c r="ZQ3" s="277" t="s">
        <v>6</v>
      </c>
      <c r="ZS3" s="72" t="s">
        <v>0</v>
      </c>
      <c r="ZT3" s="72" t="s">
        <v>1</v>
      </c>
      <c r="ZU3" s="72"/>
      <c r="ZV3" s="72" t="s">
        <v>2</v>
      </c>
      <c r="ZW3" s="72" t="s">
        <v>3</v>
      </c>
      <c r="ZX3" s="72" t="s">
        <v>4</v>
      </c>
      <c r="ZY3" s="276" t="s">
        <v>20</v>
      </c>
      <c r="ZZ3" s="277" t="s">
        <v>6</v>
      </c>
      <c r="AAB3" s="72" t="s">
        <v>0</v>
      </c>
      <c r="AAC3" s="72" t="s">
        <v>1</v>
      </c>
      <c r="AAD3" s="72"/>
      <c r="AAE3" s="72" t="s">
        <v>2</v>
      </c>
      <c r="AAF3" s="72" t="s">
        <v>3</v>
      </c>
      <c r="AAG3" s="72" t="s">
        <v>4</v>
      </c>
      <c r="AAH3" s="276" t="s">
        <v>20</v>
      </c>
      <c r="AAI3" s="277" t="s">
        <v>6</v>
      </c>
      <c r="AAK3" s="72" t="s">
        <v>0</v>
      </c>
      <c r="AAL3" s="72" t="s">
        <v>1</v>
      </c>
      <c r="AAM3" s="72"/>
      <c r="AAN3" s="72" t="s">
        <v>2</v>
      </c>
      <c r="AAO3" s="72" t="s">
        <v>3</v>
      </c>
      <c r="AAP3" s="72" t="s">
        <v>4</v>
      </c>
      <c r="AAQ3" s="276" t="s">
        <v>20</v>
      </c>
      <c r="AAR3" s="277" t="s">
        <v>6</v>
      </c>
      <c r="AAT3" s="72" t="s">
        <v>0</v>
      </c>
      <c r="AAU3" s="72" t="s">
        <v>1</v>
      </c>
      <c r="AAV3" s="72"/>
      <c r="AAW3" s="72" t="s">
        <v>2</v>
      </c>
      <c r="AAX3" s="72" t="s">
        <v>3</v>
      </c>
      <c r="AAY3" s="72" t="s">
        <v>4</v>
      </c>
      <c r="AAZ3" s="276" t="s">
        <v>20</v>
      </c>
      <c r="ABA3" s="277" t="s">
        <v>6</v>
      </c>
      <c r="ABC3" s="72" t="s">
        <v>0</v>
      </c>
      <c r="ABD3" s="72" t="s">
        <v>1</v>
      </c>
      <c r="ABE3" s="72"/>
      <c r="ABF3" s="72" t="s">
        <v>2</v>
      </c>
      <c r="ABG3" s="72" t="s">
        <v>3</v>
      </c>
      <c r="ABH3" s="72" t="s">
        <v>4</v>
      </c>
      <c r="ABI3" s="276" t="s">
        <v>20</v>
      </c>
      <c r="ABJ3" s="277" t="s">
        <v>6</v>
      </c>
      <c r="ABL3" s="72" t="s">
        <v>0</v>
      </c>
      <c r="ABM3" s="72" t="s">
        <v>1</v>
      </c>
      <c r="ABN3" s="72"/>
      <c r="ABO3" s="72" t="s">
        <v>2</v>
      </c>
      <c r="ABP3" s="72" t="s">
        <v>3</v>
      </c>
      <c r="ABQ3" s="72" t="s">
        <v>4</v>
      </c>
      <c r="ABR3" s="276" t="s">
        <v>20</v>
      </c>
      <c r="ABS3" s="277" t="s">
        <v>6</v>
      </c>
      <c r="ABU3" s="72" t="s">
        <v>0</v>
      </c>
      <c r="ABV3" s="72" t="s">
        <v>1</v>
      </c>
      <c r="ABW3" s="72"/>
      <c r="ABX3" s="72" t="s">
        <v>2</v>
      </c>
      <c r="ABY3" s="72" t="s">
        <v>3</v>
      </c>
      <c r="ABZ3" s="72" t="s">
        <v>4</v>
      </c>
      <c r="ACA3" s="276" t="s">
        <v>20</v>
      </c>
      <c r="ACB3" s="277" t="s">
        <v>6</v>
      </c>
      <c r="ACD3" s="72" t="s">
        <v>0</v>
      </c>
      <c r="ACE3" s="72" t="s">
        <v>1</v>
      </c>
      <c r="ACF3" s="72"/>
      <c r="ACG3" s="72" t="s">
        <v>2</v>
      </c>
      <c r="ACH3" s="72" t="s">
        <v>3</v>
      </c>
      <c r="ACI3" s="72" t="s">
        <v>4</v>
      </c>
      <c r="ACJ3" s="276" t="s">
        <v>20</v>
      </c>
      <c r="ACK3" s="277" t="s">
        <v>6</v>
      </c>
      <c r="ACM3" s="72" t="s">
        <v>0</v>
      </c>
      <c r="ACN3" s="72" t="s">
        <v>1</v>
      </c>
      <c r="ACO3" s="72"/>
      <c r="ACP3" s="72" t="s">
        <v>2</v>
      </c>
      <c r="ACQ3" s="72" t="s">
        <v>3</v>
      </c>
      <c r="ACR3" s="72" t="s">
        <v>4</v>
      </c>
      <c r="ACS3" s="276" t="s">
        <v>20</v>
      </c>
      <c r="ACT3" s="277" t="s">
        <v>6</v>
      </c>
      <c r="ACV3" s="72" t="s">
        <v>0</v>
      </c>
      <c r="ACW3" s="72" t="s">
        <v>1</v>
      </c>
      <c r="ACX3" s="72"/>
      <c r="ACY3" s="72" t="s">
        <v>2</v>
      </c>
      <c r="ACZ3" s="72" t="s">
        <v>3</v>
      </c>
      <c r="ADA3" s="72" t="s">
        <v>4</v>
      </c>
      <c r="ADB3" s="276" t="s">
        <v>20</v>
      </c>
      <c r="ADC3" s="277" t="s">
        <v>6</v>
      </c>
      <c r="ADE3" s="72" t="s">
        <v>0</v>
      </c>
      <c r="ADF3" s="72" t="s">
        <v>1</v>
      </c>
      <c r="ADG3" s="72"/>
      <c r="ADH3" s="72" t="s">
        <v>2</v>
      </c>
      <c r="ADI3" s="72" t="s">
        <v>3</v>
      </c>
      <c r="ADJ3" s="72" t="s">
        <v>4</v>
      </c>
      <c r="ADK3" s="276" t="s">
        <v>20</v>
      </c>
      <c r="ADL3" s="277" t="s">
        <v>6</v>
      </c>
      <c r="ADN3" s="72" t="s">
        <v>0</v>
      </c>
      <c r="ADO3" s="72" t="s">
        <v>1</v>
      </c>
      <c r="ADP3" s="72"/>
      <c r="ADQ3" s="72" t="s">
        <v>2</v>
      </c>
      <c r="ADR3" s="72" t="s">
        <v>3</v>
      </c>
      <c r="ADS3" s="72" t="s">
        <v>4</v>
      </c>
      <c r="ADT3" s="276" t="s">
        <v>20</v>
      </c>
      <c r="ADU3" s="277" t="s">
        <v>6</v>
      </c>
      <c r="ADW3" s="72" t="s">
        <v>0</v>
      </c>
      <c r="ADX3" s="72" t="s">
        <v>1</v>
      </c>
      <c r="ADY3" s="72"/>
      <c r="ADZ3" s="72" t="s">
        <v>2</v>
      </c>
      <c r="AEA3" s="72" t="s">
        <v>3</v>
      </c>
      <c r="AEB3" s="72" t="s">
        <v>4</v>
      </c>
      <c r="AEC3" s="276" t="s">
        <v>20</v>
      </c>
      <c r="AED3" s="277" t="s">
        <v>6</v>
      </c>
      <c r="AEF3" s="72" t="s">
        <v>0</v>
      </c>
      <c r="AEG3" s="72" t="s">
        <v>1</v>
      </c>
      <c r="AEH3" s="72"/>
      <c r="AEI3" s="72" t="s">
        <v>2</v>
      </c>
      <c r="AEJ3" s="72" t="s">
        <v>3</v>
      </c>
      <c r="AEK3" s="72" t="s">
        <v>4</v>
      </c>
      <c r="AEL3" s="276" t="s">
        <v>20</v>
      </c>
      <c r="AEM3" s="277" t="s">
        <v>6</v>
      </c>
      <c r="AEO3" s="72" t="s">
        <v>0</v>
      </c>
      <c r="AEP3" s="72" t="s">
        <v>1</v>
      </c>
      <c r="AEQ3" s="72"/>
      <c r="AER3" s="72" t="s">
        <v>2</v>
      </c>
      <c r="AES3" s="72" t="s">
        <v>3</v>
      </c>
      <c r="AET3" s="72" t="s">
        <v>4</v>
      </c>
      <c r="AEU3" s="276" t="s">
        <v>20</v>
      </c>
      <c r="AEV3" s="277" t="s">
        <v>6</v>
      </c>
      <c r="AEX3" s="72" t="s">
        <v>0</v>
      </c>
      <c r="AEY3" s="72" t="s">
        <v>1</v>
      </c>
      <c r="AEZ3" s="72"/>
      <c r="AFA3" s="72" t="s">
        <v>2</v>
      </c>
      <c r="AFB3" s="72" t="s">
        <v>3</v>
      </c>
      <c r="AFC3" s="72" t="s">
        <v>4</v>
      </c>
      <c r="AFD3" s="276" t="s">
        <v>20</v>
      </c>
      <c r="AFE3" s="277" t="s">
        <v>6</v>
      </c>
    </row>
    <row r="4" spans="1:837" ht="16.5" customHeight="1" thickTop="1" thickBot="1" x14ac:dyDescent="0.3">
      <c r="A4" s="137">
        <v>1</v>
      </c>
      <c r="B4" s="75" t="str">
        <f t="shared" ref="B4:I4" si="0">K5</f>
        <v>SEABOARD FOODS</v>
      </c>
      <c r="C4" s="714" t="str">
        <f t="shared" si="0"/>
        <v>Seaboard</v>
      </c>
      <c r="D4" s="102" t="str">
        <f t="shared" si="0"/>
        <v>PED. 90393224</v>
      </c>
      <c r="E4" s="135">
        <f t="shared" si="0"/>
        <v>44895</v>
      </c>
      <c r="F4" s="86">
        <f t="shared" si="0"/>
        <v>18729.12</v>
      </c>
      <c r="G4" s="73">
        <f t="shared" si="0"/>
        <v>21</v>
      </c>
      <c r="H4" s="48">
        <f t="shared" si="0"/>
        <v>18759.599999999999</v>
      </c>
      <c r="I4" s="105">
        <f t="shared" si="0"/>
        <v>-30.479999999999563</v>
      </c>
      <c r="L4" s="75" t="s">
        <v>23</v>
      </c>
      <c r="Q4" s="237"/>
      <c r="V4" s="75" t="s">
        <v>23</v>
      </c>
      <c r="AA4" s="237"/>
      <c r="AF4" s="75" t="s">
        <v>23</v>
      </c>
      <c r="AK4" s="237"/>
      <c r="AP4" s="75" t="s">
        <v>23</v>
      </c>
      <c r="AU4" s="73"/>
      <c r="AZ4" s="75" t="s">
        <v>23</v>
      </c>
      <c r="BE4" s="237"/>
      <c r="BJ4" s="75" t="s">
        <v>23</v>
      </c>
      <c r="BO4" s="73"/>
      <c r="BT4" s="73" t="s">
        <v>86</v>
      </c>
      <c r="BY4" s="237"/>
      <c r="CD4" s="75" t="s">
        <v>23</v>
      </c>
      <c r="CI4" s="237"/>
      <c r="CN4" s="75" t="s">
        <v>23</v>
      </c>
      <c r="CS4" s="73"/>
      <c r="CX4" s="75" t="s">
        <v>23</v>
      </c>
      <c r="DC4" s="237"/>
      <c r="DH4" s="75" t="s">
        <v>23</v>
      </c>
      <c r="DM4" s="237"/>
      <c r="DR4" s="75" t="s">
        <v>23</v>
      </c>
      <c r="DW4" s="237"/>
      <c r="EB4" s="75" t="s">
        <v>23</v>
      </c>
      <c r="EG4" s="126"/>
      <c r="EL4" s="75" t="s">
        <v>88</v>
      </c>
      <c r="EQ4" s="126"/>
      <c r="EV4" s="73" t="s">
        <v>54</v>
      </c>
      <c r="FA4" s="73"/>
      <c r="FF4" s="73" t="s">
        <v>23</v>
      </c>
      <c r="FI4" s="95"/>
      <c r="FJ4" s="132"/>
      <c r="FK4" s="237"/>
      <c r="FP4" s="75" t="s">
        <v>23</v>
      </c>
      <c r="FU4" s="73"/>
      <c r="FZ4" s="75" t="s">
        <v>23</v>
      </c>
      <c r="GE4" s="73"/>
      <c r="GF4" s="148"/>
      <c r="GG4" s="399"/>
      <c r="GJ4" s="75" t="s">
        <v>23</v>
      </c>
      <c r="GO4" s="237"/>
      <c r="GT4" s="75" t="s">
        <v>23</v>
      </c>
      <c r="GY4" s="237"/>
      <c r="HD4" s="75" t="s">
        <v>23</v>
      </c>
      <c r="HI4" s="237"/>
      <c r="HJ4" s="73"/>
      <c r="HK4" s="401"/>
      <c r="HN4" s="75" t="s">
        <v>23</v>
      </c>
      <c r="HS4" s="237"/>
      <c r="HX4" s="75" t="s">
        <v>23</v>
      </c>
      <c r="IC4" s="237"/>
      <c r="IF4" s="75" t="s">
        <v>44</v>
      </c>
      <c r="IH4" s="75" t="s">
        <v>23</v>
      </c>
      <c r="IM4" s="237"/>
      <c r="IR4" s="75" t="s">
        <v>54</v>
      </c>
      <c r="IW4" s="237"/>
      <c r="JB4" s="75" t="s">
        <v>23</v>
      </c>
      <c r="JG4" s="237"/>
      <c r="JH4" s="105"/>
      <c r="JL4" s="75" t="s">
        <v>23</v>
      </c>
      <c r="JQ4" s="237"/>
      <c r="JV4" s="75" t="s">
        <v>23</v>
      </c>
      <c r="JY4" s="75" t="s">
        <v>46</v>
      </c>
      <c r="KA4" s="237"/>
      <c r="KB4" s="148"/>
      <c r="KC4" s="399"/>
      <c r="KF4" s="75" t="s">
        <v>23</v>
      </c>
      <c r="KK4" s="237"/>
      <c r="KO4" s="73"/>
      <c r="KP4" s="73" t="s">
        <v>23</v>
      </c>
      <c r="KU4" s="73"/>
      <c r="KV4" s="130"/>
      <c r="KW4" s="402"/>
      <c r="KZ4" s="75" t="s">
        <v>23</v>
      </c>
      <c r="LB4" s="134"/>
      <c r="LE4" s="188"/>
      <c r="LJ4" s="75" t="s">
        <v>23</v>
      </c>
      <c r="LO4" s="237"/>
      <c r="LP4" s="105"/>
      <c r="LT4" s="75" t="s">
        <v>23</v>
      </c>
      <c r="LY4" s="237"/>
      <c r="MD4" s="75" t="s">
        <v>23</v>
      </c>
      <c r="MI4" s="237"/>
      <c r="MN4" s="75" t="s">
        <v>23</v>
      </c>
      <c r="MS4" s="237"/>
      <c r="MX4" s="75" t="s">
        <v>23</v>
      </c>
      <c r="NC4" s="237"/>
      <c r="NH4" s="75" t="s">
        <v>23</v>
      </c>
      <c r="NM4" s="237"/>
      <c r="NR4" s="75" t="s">
        <v>23</v>
      </c>
      <c r="NW4" s="237"/>
      <c r="OB4" s="75" t="s">
        <v>23</v>
      </c>
      <c r="OG4" s="237"/>
      <c r="OL4" s="75" t="s">
        <v>23</v>
      </c>
      <c r="OQ4" s="188"/>
      <c r="OV4" s="75" t="s">
        <v>23</v>
      </c>
      <c r="PA4" s="237"/>
      <c r="PF4" s="75" t="s">
        <v>23</v>
      </c>
      <c r="PK4" s="237"/>
      <c r="PQ4" s="75" t="s">
        <v>23</v>
      </c>
      <c r="PV4" s="237"/>
      <c r="QA4" s="75" t="s">
        <v>23</v>
      </c>
      <c r="QF4" s="237"/>
      <c r="QK4" s="75" t="s">
        <v>23</v>
      </c>
      <c r="QP4" s="237"/>
      <c r="QU4" s="75" t="s">
        <v>23</v>
      </c>
      <c r="QZ4" s="237"/>
      <c r="RE4" s="75" t="s">
        <v>23</v>
      </c>
      <c r="RJ4" s="237"/>
      <c r="RO4" s="75" t="s">
        <v>23</v>
      </c>
      <c r="RT4" s="237"/>
      <c r="RY4" s="75" t="s">
        <v>23</v>
      </c>
      <c r="SD4" s="237"/>
      <c r="SI4" s="75" t="s">
        <v>23</v>
      </c>
      <c r="SN4" s="237"/>
      <c r="SS4" s="75" t="s">
        <v>23</v>
      </c>
      <c r="SX4" s="237"/>
      <c r="TC4" s="75" t="s">
        <v>23</v>
      </c>
      <c r="TH4" s="237"/>
      <c r="TM4" s="75" t="s">
        <v>23</v>
      </c>
      <c r="TR4" s="237"/>
      <c r="TW4" s="75" t="s">
        <v>23</v>
      </c>
      <c r="UB4" s="237"/>
      <c r="UF4" s="75" t="s">
        <v>23</v>
      </c>
      <c r="UK4" s="237"/>
      <c r="UO4" s="75" t="s">
        <v>23</v>
      </c>
      <c r="UT4" s="237"/>
      <c r="UX4" s="75" t="s">
        <v>23</v>
      </c>
      <c r="VC4" s="237"/>
      <c r="VG4" s="75" t="s">
        <v>23</v>
      </c>
      <c r="VL4" s="237"/>
      <c r="VP4" s="75" t="s">
        <v>23</v>
      </c>
      <c r="VU4" s="237"/>
      <c r="VY4" s="75" t="s">
        <v>23</v>
      </c>
      <c r="WD4" s="237"/>
      <c r="WH4" s="75" t="s">
        <v>23</v>
      </c>
      <c r="WM4" s="237"/>
      <c r="WQ4" s="75" t="s">
        <v>23</v>
      </c>
      <c r="WV4" s="237"/>
      <c r="WZ4" s="75" t="s">
        <v>23</v>
      </c>
      <c r="XE4" s="237"/>
      <c r="XI4" s="75" t="s">
        <v>23</v>
      </c>
      <c r="XN4" s="237"/>
      <c r="XR4" s="75" t="s">
        <v>23</v>
      </c>
      <c r="XW4" s="237"/>
      <c r="YA4" s="75" t="s">
        <v>23</v>
      </c>
      <c r="YF4" s="237"/>
      <c r="YJ4" s="75" t="s">
        <v>23</v>
      </c>
      <c r="YO4" s="237"/>
      <c r="YS4" s="75" t="s">
        <v>23</v>
      </c>
      <c r="YX4" s="237"/>
      <c r="ZB4" s="75" t="s">
        <v>23</v>
      </c>
      <c r="ZG4" s="237"/>
      <c r="ZK4" s="75" t="s">
        <v>23</v>
      </c>
      <c r="ZP4" s="237"/>
      <c r="ZT4" s="75" t="s">
        <v>23</v>
      </c>
      <c r="ZY4" s="237"/>
      <c r="AAC4" s="75" t="s">
        <v>23</v>
      </c>
      <c r="AAH4" s="237"/>
      <c r="AAL4" s="75" t="s">
        <v>23</v>
      </c>
      <c r="AAQ4" s="237"/>
      <c r="AAU4" s="75" t="s">
        <v>23</v>
      </c>
      <c r="AAZ4" s="237"/>
      <c r="ABD4" s="75" t="s">
        <v>23</v>
      </c>
      <c r="ABI4" s="237"/>
      <c r="ABM4" s="75" t="s">
        <v>23</v>
      </c>
      <c r="ABR4" s="237"/>
      <c r="ABV4" s="75" t="s">
        <v>23</v>
      </c>
      <c r="ACA4" s="237"/>
      <c r="ACE4" s="75" t="s">
        <v>23</v>
      </c>
      <c r="ACJ4" s="237"/>
      <c r="ACN4" s="75" t="s">
        <v>23</v>
      </c>
      <c r="ACS4" s="237"/>
      <c r="ACW4" s="75" t="s">
        <v>23</v>
      </c>
      <c r="ADB4" s="237"/>
      <c r="ADF4" s="75" t="s">
        <v>23</v>
      </c>
      <c r="ADK4" s="237"/>
      <c r="ADO4" s="75" t="s">
        <v>23</v>
      </c>
      <c r="ADT4" s="237"/>
      <c r="ADX4" s="75" t="s">
        <v>23</v>
      </c>
      <c r="AEC4" s="237"/>
      <c r="AEG4" s="75" t="s">
        <v>23</v>
      </c>
      <c r="AEL4" s="237"/>
      <c r="AEP4" s="75" t="s">
        <v>23</v>
      </c>
      <c r="AEU4" s="237"/>
      <c r="AEY4" s="75" t="s">
        <v>23</v>
      </c>
      <c r="AFD4" s="237"/>
    </row>
    <row r="5" spans="1:837" x14ac:dyDescent="0.25">
      <c r="A5" s="137">
        <v>2</v>
      </c>
      <c r="B5" s="75" t="str">
        <f t="shared" ref="B5:H5" si="1">U5</f>
        <v>SEABOARD FOODS</v>
      </c>
      <c r="C5" s="75" t="str">
        <f t="shared" si="1"/>
        <v>Seaboard</v>
      </c>
      <c r="D5" s="102" t="str">
        <f t="shared" si="1"/>
        <v>PED. 90393221</v>
      </c>
      <c r="E5" s="135">
        <f t="shared" si="1"/>
        <v>44895</v>
      </c>
      <c r="F5" s="86">
        <f t="shared" si="1"/>
        <v>18857.04</v>
      </c>
      <c r="G5" s="73">
        <f t="shared" si="1"/>
        <v>21</v>
      </c>
      <c r="H5" s="48">
        <f t="shared" si="1"/>
        <v>18842.3</v>
      </c>
      <c r="I5" s="105">
        <f>AB5</f>
        <v>14.740000000001601</v>
      </c>
      <c r="K5" s="1383" t="s">
        <v>221</v>
      </c>
      <c r="L5" s="853" t="s">
        <v>222</v>
      </c>
      <c r="M5" s="710" t="s">
        <v>227</v>
      </c>
      <c r="N5" s="711">
        <v>44895</v>
      </c>
      <c r="O5" s="712">
        <v>18729.12</v>
      </c>
      <c r="P5" s="709">
        <v>21</v>
      </c>
      <c r="Q5" s="538">
        <v>18759.599999999999</v>
      </c>
      <c r="R5" s="138">
        <f>O5-Q5</f>
        <v>-30.479999999999563</v>
      </c>
      <c r="S5" s="396"/>
      <c r="U5" s="708" t="s">
        <v>221</v>
      </c>
      <c r="V5" s="853" t="s">
        <v>222</v>
      </c>
      <c r="W5" s="710" t="s">
        <v>228</v>
      </c>
      <c r="X5" s="711">
        <v>44895</v>
      </c>
      <c r="Y5" s="712">
        <v>18857.04</v>
      </c>
      <c r="Z5" s="709">
        <v>21</v>
      </c>
      <c r="AA5" s="538">
        <v>18842.3</v>
      </c>
      <c r="AB5" s="138">
        <f>Y5-AA5</f>
        <v>14.740000000001601</v>
      </c>
      <c r="AC5" s="396"/>
      <c r="AE5" s="708" t="s">
        <v>219</v>
      </c>
      <c r="AF5" s="854" t="s">
        <v>220</v>
      </c>
      <c r="AG5" s="710" t="s">
        <v>335</v>
      </c>
      <c r="AH5" s="713">
        <v>44896</v>
      </c>
      <c r="AI5" s="712">
        <v>18857.04</v>
      </c>
      <c r="AJ5" s="709">
        <v>20</v>
      </c>
      <c r="AK5" s="538">
        <v>18935.560000000001</v>
      </c>
      <c r="AL5" s="138">
        <f>AI5-AK5</f>
        <v>-78.520000000000437</v>
      </c>
      <c r="AM5" s="396"/>
      <c r="AN5" s="75" t="s">
        <v>41</v>
      </c>
      <c r="AO5" s="714" t="s">
        <v>221</v>
      </c>
      <c r="AP5" s="853" t="s">
        <v>222</v>
      </c>
      <c r="AQ5" s="715" t="s">
        <v>336</v>
      </c>
      <c r="AR5" s="711">
        <v>44896</v>
      </c>
      <c r="AS5" s="712">
        <v>19184.009999999998</v>
      </c>
      <c r="AT5" s="709">
        <v>21</v>
      </c>
      <c r="AU5" s="538">
        <v>19169.8</v>
      </c>
      <c r="AV5" s="138">
        <f>AS5-AU5</f>
        <v>14.209999999999127</v>
      </c>
      <c r="AW5" s="396"/>
      <c r="AY5" s="714" t="s">
        <v>221</v>
      </c>
      <c r="AZ5" s="853" t="s">
        <v>222</v>
      </c>
      <c r="BA5" s="715" t="s">
        <v>337</v>
      </c>
      <c r="BB5" s="711">
        <v>44897</v>
      </c>
      <c r="BC5" s="712">
        <v>18054.09</v>
      </c>
      <c r="BD5" s="709">
        <v>20</v>
      </c>
      <c r="BE5" s="538">
        <v>18007.599999999999</v>
      </c>
      <c r="BF5" s="138">
        <f>BC5-BE5</f>
        <v>46.490000000001601</v>
      </c>
      <c r="BG5" s="396"/>
      <c r="BI5" s="1382" t="s">
        <v>219</v>
      </c>
      <c r="BJ5" s="1021" t="s">
        <v>220</v>
      </c>
      <c r="BK5" s="715" t="s">
        <v>340</v>
      </c>
      <c r="BL5" s="713">
        <v>44898</v>
      </c>
      <c r="BM5" s="712">
        <v>18435.43</v>
      </c>
      <c r="BN5" s="709">
        <v>20</v>
      </c>
      <c r="BO5" s="538">
        <v>18351.310000000001</v>
      </c>
      <c r="BP5" s="138">
        <f>BM5-BO5</f>
        <v>84.119999999998981</v>
      </c>
      <c r="BQ5" s="396"/>
      <c r="BS5" s="1381" t="s">
        <v>341</v>
      </c>
      <c r="BT5" s="1024" t="s">
        <v>342</v>
      </c>
      <c r="BU5" s="1025"/>
      <c r="BV5" s="711">
        <v>44898</v>
      </c>
      <c r="BW5" s="712">
        <v>1123</v>
      </c>
      <c r="BX5" s="709">
        <v>2</v>
      </c>
      <c r="BY5" s="538">
        <v>1123</v>
      </c>
      <c r="BZ5" s="138">
        <f>BW5-BY5</f>
        <v>0</v>
      </c>
      <c r="CA5" s="243"/>
      <c r="CB5" s="243"/>
      <c r="CC5" s="708" t="s">
        <v>221</v>
      </c>
      <c r="CD5" s="879" t="s">
        <v>222</v>
      </c>
      <c r="CE5" s="715" t="s">
        <v>343</v>
      </c>
      <c r="CF5" s="711">
        <v>44901</v>
      </c>
      <c r="CG5" s="712">
        <v>18014.7</v>
      </c>
      <c r="CH5" s="709">
        <v>20</v>
      </c>
      <c r="CI5" s="538">
        <v>18032</v>
      </c>
      <c r="CJ5" s="138">
        <f>CG5-CI5</f>
        <v>-17.299999999999272</v>
      </c>
      <c r="CK5" s="243"/>
      <c r="CL5" s="243"/>
      <c r="CM5" s="1382" t="s">
        <v>221</v>
      </c>
      <c r="CN5" s="887" t="s">
        <v>222</v>
      </c>
      <c r="CO5" s="710" t="s">
        <v>344</v>
      </c>
      <c r="CP5" s="711">
        <v>44901</v>
      </c>
      <c r="CQ5" s="712">
        <v>19221</v>
      </c>
      <c r="CR5" s="709">
        <v>21</v>
      </c>
      <c r="CS5" s="538">
        <v>19080.599999999999</v>
      </c>
      <c r="CT5" s="138">
        <f>CQ5-CS5</f>
        <v>140.40000000000146</v>
      </c>
      <c r="CU5" s="396"/>
      <c r="CW5" s="708" t="s">
        <v>219</v>
      </c>
      <c r="CX5" s="854" t="s">
        <v>220</v>
      </c>
      <c r="CY5" s="710" t="s">
        <v>345</v>
      </c>
      <c r="CZ5" s="711">
        <v>44902</v>
      </c>
      <c r="DA5" s="712">
        <v>18623.95</v>
      </c>
      <c r="DB5" s="709">
        <v>20</v>
      </c>
      <c r="DC5" s="538">
        <v>18651.62</v>
      </c>
      <c r="DD5" s="138">
        <f>DA5-DC5</f>
        <v>-27.669999999998254</v>
      </c>
      <c r="DE5" s="396"/>
      <c r="DG5" s="714" t="s">
        <v>221</v>
      </c>
      <c r="DH5" s="879" t="s">
        <v>222</v>
      </c>
      <c r="DI5" s="715" t="s">
        <v>346</v>
      </c>
      <c r="DJ5" s="711">
        <v>44903</v>
      </c>
      <c r="DK5" s="712">
        <v>18888.5</v>
      </c>
      <c r="DL5" s="709">
        <v>21</v>
      </c>
      <c r="DM5" s="538">
        <v>18798.7</v>
      </c>
      <c r="DN5" s="138">
        <f>DK5-DM5</f>
        <v>89.799999999999272</v>
      </c>
      <c r="DO5" s="396"/>
      <c r="DQ5" s="1384" t="s">
        <v>219</v>
      </c>
      <c r="DR5" s="885" t="s">
        <v>220</v>
      </c>
      <c r="DS5" s="715" t="s">
        <v>347</v>
      </c>
      <c r="DT5" s="711">
        <v>44903</v>
      </c>
      <c r="DU5" s="712">
        <v>18366.080000000002</v>
      </c>
      <c r="DV5" s="709">
        <v>20</v>
      </c>
      <c r="DW5" s="538">
        <v>18341.810000000001</v>
      </c>
      <c r="DX5" s="138">
        <f>DU5-DW5</f>
        <v>24.270000000000437</v>
      </c>
      <c r="DY5" s="243"/>
      <c r="EA5" s="714" t="s">
        <v>221</v>
      </c>
      <c r="EB5" s="853" t="s">
        <v>222</v>
      </c>
      <c r="EC5" s="715" t="s">
        <v>348</v>
      </c>
      <c r="ED5" s="711">
        <v>44904</v>
      </c>
      <c r="EE5" s="712">
        <v>18847.11</v>
      </c>
      <c r="EF5" s="709">
        <v>21</v>
      </c>
      <c r="EG5" s="538">
        <v>18871.3</v>
      </c>
      <c r="EH5" s="138">
        <f>EE5-EG5</f>
        <v>-24.18999999999869</v>
      </c>
      <c r="EI5" s="396"/>
      <c r="EJ5" s="75" t="s">
        <v>49</v>
      </c>
      <c r="EK5" s="714" t="s">
        <v>221</v>
      </c>
      <c r="EL5" s="853" t="s">
        <v>222</v>
      </c>
      <c r="EM5" s="715" t="s">
        <v>349</v>
      </c>
      <c r="EN5" s="711">
        <v>44904</v>
      </c>
      <c r="EO5" s="712">
        <v>19130.18</v>
      </c>
      <c r="EP5" s="709">
        <v>21</v>
      </c>
      <c r="EQ5" s="538">
        <v>19185.5</v>
      </c>
      <c r="ER5" s="138">
        <f>EO5-EQ5</f>
        <v>-55.319999999999709</v>
      </c>
      <c r="ES5" s="396"/>
      <c r="ET5" s="75" t="s">
        <v>49</v>
      </c>
      <c r="EU5" s="708" t="s">
        <v>221</v>
      </c>
      <c r="EV5" s="853" t="s">
        <v>222</v>
      </c>
      <c r="EW5" s="710" t="s">
        <v>395</v>
      </c>
      <c r="EX5" s="711">
        <v>44904</v>
      </c>
      <c r="EY5" s="712">
        <v>18790.439999999999</v>
      </c>
      <c r="EZ5" s="709">
        <v>21</v>
      </c>
      <c r="FA5" s="1184">
        <v>18821</v>
      </c>
      <c r="FB5" s="138">
        <f>EY5-FA5</f>
        <v>-30.56000000000131</v>
      </c>
      <c r="FC5" s="396"/>
      <c r="FE5" s="714" t="s">
        <v>221</v>
      </c>
      <c r="FF5" s="853" t="s">
        <v>222</v>
      </c>
      <c r="FG5" s="715" t="s">
        <v>396</v>
      </c>
      <c r="FH5" s="711">
        <v>44905</v>
      </c>
      <c r="FI5" s="712">
        <v>18848.189999999999</v>
      </c>
      <c r="FJ5" s="709">
        <v>21</v>
      </c>
      <c r="FK5" s="1184">
        <v>18826.7</v>
      </c>
      <c r="FL5" s="138">
        <f>FI5-FK5</f>
        <v>21.489999999997963</v>
      </c>
      <c r="FM5" s="396"/>
      <c r="FO5" s="723" t="s">
        <v>219</v>
      </c>
      <c r="FP5" s="854" t="s">
        <v>220</v>
      </c>
      <c r="FQ5" s="715" t="s">
        <v>397</v>
      </c>
      <c r="FR5" s="711">
        <v>44905</v>
      </c>
      <c r="FS5" s="712">
        <v>18920.68</v>
      </c>
      <c r="FT5" s="709">
        <v>20</v>
      </c>
      <c r="FU5" s="538">
        <v>18959.16</v>
      </c>
      <c r="FV5" s="138">
        <f>FS5-FU5</f>
        <v>-38.479999999999563</v>
      </c>
      <c r="FW5" s="396"/>
      <c r="FY5" s="708" t="s">
        <v>221</v>
      </c>
      <c r="FZ5" s="853" t="s">
        <v>222</v>
      </c>
      <c r="GA5" s="710" t="s">
        <v>398</v>
      </c>
      <c r="GB5" s="711">
        <v>44908</v>
      </c>
      <c r="GC5" s="712">
        <v>18992.169999999998</v>
      </c>
      <c r="GD5" s="709">
        <v>21</v>
      </c>
      <c r="GE5" s="538">
        <v>18917.400000000001</v>
      </c>
      <c r="GF5" s="138">
        <f>GC5-GE5</f>
        <v>74.769999999996799</v>
      </c>
      <c r="GG5" s="396"/>
      <c r="GI5" s="804" t="s">
        <v>221</v>
      </c>
      <c r="GJ5" s="853" t="s">
        <v>222</v>
      </c>
      <c r="GK5" s="715" t="s">
        <v>399</v>
      </c>
      <c r="GL5" s="713">
        <v>44908</v>
      </c>
      <c r="GM5" s="712">
        <v>18949.169999999998</v>
      </c>
      <c r="GN5" s="709">
        <v>21</v>
      </c>
      <c r="GO5" s="538">
        <f>GN32</f>
        <v>18872.699999999997</v>
      </c>
      <c r="GP5" s="138">
        <f>GM5-GO5</f>
        <v>76.470000000001164</v>
      </c>
      <c r="GQ5" s="396"/>
      <c r="GS5" s="1382" t="s">
        <v>221</v>
      </c>
      <c r="GT5" s="853" t="s">
        <v>222</v>
      </c>
      <c r="GU5" s="709" t="s">
        <v>400</v>
      </c>
      <c r="GV5" s="713">
        <v>44908</v>
      </c>
      <c r="GW5" s="712">
        <v>19166.849999999999</v>
      </c>
      <c r="GX5" s="709">
        <v>21</v>
      </c>
      <c r="GY5" s="538">
        <v>19058.7</v>
      </c>
      <c r="GZ5" s="138">
        <f>GW5-GY5</f>
        <v>108.14999999999782</v>
      </c>
      <c r="HA5" s="396"/>
      <c r="HC5" s="1381" t="s">
        <v>219</v>
      </c>
      <c r="HD5" s="854" t="s">
        <v>220</v>
      </c>
      <c r="HE5" s="715" t="s">
        <v>401</v>
      </c>
      <c r="HF5" s="713">
        <v>44909</v>
      </c>
      <c r="HG5" s="712">
        <v>18590.849999999999</v>
      </c>
      <c r="HH5" s="709">
        <v>20</v>
      </c>
      <c r="HI5" s="538">
        <v>18618.48</v>
      </c>
      <c r="HJ5" s="138">
        <f>HG5-HI5</f>
        <v>-27.630000000001019</v>
      </c>
      <c r="HK5" s="396"/>
      <c r="HM5" s="714" t="s">
        <v>402</v>
      </c>
      <c r="HN5" s="854" t="s">
        <v>220</v>
      </c>
      <c r="HO5" s="715" t="s">
        <v>403</v>
      </c>
      <c r="HP5" s="711">
        <v>44909</v>
      </c>
      <c r="HQ5" s="712">
        <v>18256.88</v>
      </c>
      <c r="HR5" s="709">
        <v>20</v>
      </c>
      <c r="HS5" s="1184">
        <v>18237.5</v>
      </c>
      <c r="HT5" s="138">
        <f>HQ5-HS5</f>
        <v>19.380000000001019</v>
      </c>
      <c r="HU5" s="396"/>
      <c r="HW5" s="1382" t="s">
        <v>219</v>
      </c>
      <c r="HX5" s="854" t="s">
        <v>220</v>
      </c>
      <c r="HY5" s="715" t="s">
        <v>404</v>
      </c>
      <c r="HZ5" s="711">
        <v>44910</v>
      </c>
      <c r="IA5" s="712">
        <v>18753.78</v>
      </c>
      <c r="IB5" s="709">
        <v>20</v>
      </c>
      <c r="IC5" s="538">
        <v>18785</v>
      </c>
      <c r="ID5" s="138">
        <f>IA5-IC5</f>
        <v>-31.220000000001164</v>
      </c>
      <c r="IE5" s="396"/>
      <c r="IG5" s="1382" t="s">
        <v>221</v>
      </c>
      <c r="IH5" s="853" t="s">
        <v>222</v>
      </c>
      <c r="II5" s="715" t="s">
        <v>405</v>
      </c>
      <c r="IJ5" s="711">
        <v>44910</v>
      </c>
      <c r="IK5" s="712">
        <v>19116.189999999999</v>
      </c>
      <c r="IL5" s="709">
        <v>21</v>
      </c>
      <c r="IM5" s="538">
        <v>19114.3</v>
      </c>
      <c r="IN5" s="138">
        <f>IK5-IM5</f>
        <v>1.8899999999994179</v>
      </c>
      <c r="IO5" s="396"/>
      <c r="IQ5" s="1382" t="s">
        <v>221</v>
      </c>
      <c r="IR5" s="1053" t="s">
        <v>222</v>
      </c>
      <c r="IS5" s="710" t="s">
        <v>406</v>
      </c>
      <c r="IT5" s="713">
        <v>44911</v>
      </c>
      <c r="IU5" s="712">
        <v>19165.84</v>
      </c>
      <c r="IV5" s="709">
        <v>21</v>
      </c>
      <c r="IW5" s="538">
        <v>19125.2</v>
      </c>
      <c r="IX5" s="138">
        <f>IU5-IW5</f>
        <v>40.639999999999418</v>
      </c>
      <c r="IY5" s="396"/>
      <c r="JA5" s="714" t="s">
        <v>221</v>
      </c>
      <c r="JB5" s="853" t="s">
        <v>222</v>
      </c>
      <c r="JC5" s="710" t="s">
        <v>407</v>
      </c>
      <c r="JD5" s="711">
        <v>44911</v>
      </c>
      <c r="JE5" s="712">
        <v>19052.3</v>
      </c>
      <c r="JF5" s="709">
        <v>21</v>
      </c>
      <c r="JG5" s="538">
        <v>19018.2</v>
      </c>
      <c r="JH5" s="138">
        <f>JE5-JG5</f>
        <v>34.099999999998545</v>
      </c>
      <c r="JI5" s="396"/>
      <c r="JK5" s="1384" t="s">
        <v>221</v>
      </c>
      <c r="JL5" s="1062" t="s">
        <v>222</v>
      </c>
      <c r="JM5" s="715" t="s">
        <v>408</v>
      </c>
      <c r="JN5" s="711">
        <v>44912</v>
      </c>
      <c r="JO5" s="712">
        <v>19132.05</v>
      </c>
      <c r="JP5" s="709">
        <v>21</v>
      </c>
      <c r="JQ5" s="1184">
        <v>19056.099999999999</v>
      </c>
      <c r="JR5" s="138">
        <f>JO5-JQ5</f>
        <v>75.950000000000728</v>
      </c>
      <c r="JS5" s="396"/>
      <c r="JU5" s="708" t="s">
        <v>221</v>
      </c>
      <c r="JV5" s="853" t="s">
        <v>222</v>
      </c>
      <c r="JW5" s="710" t="s">
        <v>409</v>
      </c>
      <c r="JX5" s="711">
        <v>44912</v>
      </c>
      <c r="JY5" s="712">
        <v>19022.099999999999</v>
      </c>
      <c r="JZ5" s="709">
        <v>21</v>
      </c>
      <c r="KA5" s="538">
        <v>18972.900000000001</v>
      </c>
      <c r="KB5" s="138">
        <f>JY5-KA5</f>
        <v>49.19999999999709</v>
      </c>
      <c r="KC5" s="396"/>
      <c r="KE5" s="1383" t="s">
        <v>221</v>
      </c>
      <c r="KF5" s="853" t="s">
        <v>222</v>
      </c>
      <c r="KG5" s="710" t="s">
        <v>410</v>
      </c>
      <c r="KH5" s="711">
        <v>44915</v>
      </c>
      <c r="KI5" s="712">
        <v>19011.71</v>
      </c>
      <c r="KJ5" s="709">
        <v>21</v>
      </c>
      <c r="KK5" s="538">
        <v>19014.5</v>
      </c>
      <c r="KL5" s="138">
        <f>KI5-KK5</f>
        <v>-2.7900000000008731</v>
      </c>
      <c r="KM5" s="396"/>
      <c r="KO5" s="708" t="s">
        <v>219</v>
      </c>
      <c r="KP5" s="854" t="s">
        <v>411</v>
      </c>
      <c r="KQ5" s="710" t="s">
        <v>412</v>
      </c>
      <c r="KR5" s="711">
        <v>44915</v>
      </c>
      <c r="KS5" s="712">
        <v>18789.09</v>
      </c>
      <c r="KT5" s="709">
        <v>20</v>
      </c>
      <c r="KU5" s="538">
        <v>18755.48</v>
      </c>
      <c r="KV5" s="138">
        <f>KS5-KU5</f>
        <v>33.610000000000582</v>
      </c>
      <c r="KW5" s="396"/>
      <c r="KY5" s="708" t="s">
        <v>221</v>
      </c>
      <c r="KZ5" s="853" t="s">
        <v>222</v>
      </c>
      <c r="LA5" s="710" t="s">
        <v>413</v>
      </c>
      <c r="LB5" s="713">
        <v>44916</v>
      </c>
      <c r="LC5" s="712">
        <v>19050.21</v>
      </c>
      <c r="LD5" s="709">
        <v>21</v>
      </c>
      <c r="LE5" s="538">
        <v>18981.900000000001</v>
      </c>
      <c r="LF5" s="138">
        <f>LC5-LE5</f>
        <v>68.309999999997672</v>
      </c>
      <c r="LG5" s="396"/>
      <c r="LH5" s="75" t="s">
        <v>41</v>
      </c>
      <c r="LI5" s="714" t="s">
        <v>219</v>
      </c>
      <c r="LJ5" s="854" t="s">
        <v>414</v>
      </c>
      <c r="LK5" s="715" t="s">
        <v>415</v>
      </c>
      <c r="LL5" s="711">
        <v>44916</v>
      </c>
      <c r="LM5" s="712">
        <v>18670.64</v>
      </c>
      <c r="LN5" s="709">
        <v>20</v>
      </c>
      <c r="LO5" s="538">
        <v>18728.29</v>
      </c>
      <c r="LP5" s="138">
        <f>LM5-LO5</f>
        <v>-57.650000000001455</v>
      </c>
      <c r="LQ5" s="396"/>
      <c r="LS5" s="714" t="s">
        <v>221</v>
      </c>
      <c r="LT5" s="853" t="s">
        <v>222</v>
      </c>
      <c r="LU5" s="716" t="s">
        <v>416</v>
      </c>
      <c r="LV5" s="711">
        <v>44917</v>
      </c>
      <c r="LW5" s="712">
        <v>18579.03</v>
      </c>
      <c r="LX5" s="709">
        <v>21</v>
      </c>
      <c r="LY5" s="538">
        <v>18686.400000000001</v>
      </c>
      <c r="LZ5" s="138">
        <f>LW5-LY5</f>
        <v>-107.37000000000262</v>
      </c>
      <c r="MA5" s="396"/>
      <c r="MB5" s="243"/>
      <c r="MC5" s="75" t="s">
        <v>221</v>
      </c>
      <c r="MD5" s="853" t="s">
        <v>222</v>
      </c>
      <c r="ME5" s="224" t="s">
        <v>417</v>
      </c>
      <c r="MF5" s="135">
        <v>44917</v>
      </c>
      <c r="MG5" s="86">
        <v>19089.29</v>
      </c>
      <c r="MH5" s="73">
        <v>21</v>
      </c>
      <c r="MI5" s="538">
        <v>19014.3</v>
      </c>
      <c r="MJ5" s="138">
        <f>MG5-MI5</f>
        <v>74.990000000001601</v>
      </c>
      <c r="MK5" s="138"/>
      <c r="MM5" s="75" t="s">
        <v>219</v>
      </c>
      <c r="MN5" s="854" t="s">
        <v>220</v>
      </c>
      <c r="MO5" s="224" t="s">
        <v>418</v>
      </c>
      <c r="MP5" s="135">
        <v>44917</v>
      </c>
      <c r="MQ5" s="86">
        <v>18357.23</v>
      </c>
      <c r="MR5" s="73">
        <v>20</v>
      </c>
      <c r="MS5" s="538">
        <v>18390.810000000001</v>
      </c>
      <c r="MT5" s="138">
        <f>MQ5-MS5</f>
        <v>-33.580000000001746</v>
      </c>
      <c r="MU5" s="138"/>
      <c r="MW5" s="75" t="s">
        <v>221</v>
      </c>
      <c r="MX5" s="853" t="s">
        <v>222</v>
      </c>
      <c r="MY5" s="224" t="s">
        <v>419</v>
      </c>
      <c r="MZ5" s="135">
        <v>44918</v>
      </c>
      <c r="NA5" s="86">
        <v>19059.93</v>
      </c>
      <c r="NB5" s="73">
        <v>21</v>
      </c>
      <c r="NC5" s="538">
        <v>19064.400000000001</v>
      </c>
      <c r="ND5" s="138">
        <f>NA5-NC5</f>
        <v>-4.4700000000011642</v>
      </c>
      <c r="NE5" s="138"/>
      <c r="NG5" s="75" t="s">
        <v>221</v>
      </c>
      <c r="NH5" s="853" t="s">
        <v>222</v>
      </c>
      <c r="NI5" s="102" t="s">
        <v>420</v>
      </c>
      <c r="NJ5" s="135">
        <v>44918</v>
      </c>
      <c r="NK5" s="86">
        <v>19147.78</v>
      </c>
      <c r="NL5" s="73">
        <v>21</v>
      </c>
      <c r="NM5" s="538">
        <v>19183.3</v>
      </c>
      <c r="NN5" s="138">
        <f>NK5-NM5</f>
        <v>-35.520000000000437</v>
      </c>
      <c r="NO5" s="138"/>
      <c r="NQ5" s="75" t="s">
        <v>221</v>
      </c>
      <c r="NR5" s="853" t="s">
        <v>222</v>
      </c>
      <c r="NS5" s="102" t="s">
        <v>501</v>
      </c>
      <c r="NT5" s="135">
        <v>44918</v>
      </c>
      <c r="NU5" s="86">
        <v>19184.419999999998</v>
      </c>
      <c r="NV5" s="73">
        <v>21</v>
      </c>
      <c r="NW5" s="538">
        <v>19224.099999999999</v>
      </c>
      <c r="NX5" s="138">
        <f>NU5-NW5</f>
        <v>-39.680000000000291</v>
      </c>
      <c r="NY5" s="138"/>
      <c r="OA5" s="75" t="s">
        <v>221</v>
      </c>
      <c r="OB5" s="853" t="s">
        <v>222</v>
      </c>
      <c r="OC5" s="224" t="s">
        <v>502</v>
      </c>
      <c r="OD5" s="135">
        <v>44919</v>
      </c>
      <c r="OE5" s="86">
        <v>19113.990000000002</v>
      </c>
      <c r="OF5" s="73">
        <v>21</v>
      </c>
      <c r="OG5" s="538">
        <v>19033.599999999999</v>
      </c>
      <c r="OH5" s="138">
        <f>OE5-OG5</f>
        <v>80.390000000003056</v>
      </c>
      <c r="OI5" s="138"/>
      <c r="OK5" s="75" t="s">
        <v>221</v>
      </c>
      <c r="OL5" s="853" t="s">
        <v>222</v>
      </c>
      <c r="OM5" s="102" t="s">
        <v>503</v>
      </c>
      <c r="ON5" s="135">
        <v>44919</v>
      </c>
      <c r="OO5" s="86">
        <v>19299.72</v>
      </c>
      <c r="OP5" s="73">
        <v>21</v>
      </c>
      <c r="OQ5" s="538">
        <v>19242.3</v>
      </c>
      <c r="OR5" s="138">
        <f>OO5-OQ5</f>
        <v>57.420000000001892</v>
      </c>
      <c r="OS5" s="138"/>
      <c r="OU5" s="75" t="s">
        <v>221</v>
      </c>
      <c r="OV5" s="853" t="s">
        <v>222</v>
      </c>
      <c r="OW5" s="102" t="s">
        <v>505</v>
      </c>
      <c r="OX5" s="134">
        <v>44921</v>
      </c>
      <c r="OY5" s="86">
        <v>19182.900000000001</v>
      </c>
      <c r="OZ5" s="73">
        <v>21</v>
      </c>
      <c r="PA5" s="538">
        <v>19238</v>
      </c>
      <c r="PB5" s="138">
        <f>OY5-PA5</f>
        <v>-55.099999999998545</v>
      </c>
      <c r="PC5" s="138"/>
      <c r="PE5" s="75" t="s">
        <v>221</v>
      </c>
      <c r="PF5" s="853" t="s">
        <v>222</v>
      </c>
      <c r="PG5" s="224" t="s">
        <v>510</v>
      </c>
      <c r="PH5" s="135">
        <v>44924</v>
      </c>
      <c r="PI5" s="86">
        <v>18823.7</v>
      </c>
      <c r="PJ5" s="73">
        <v>21</v>
      </c>
      <c r="PK5" s="538">
        <v>18878.87</v>
      </c>
      <c r="PL5" s="138">
        <f>PI5-PK5</f>
        <v>-55.169999999998254</v>
      </c>
      <c r="PM5" s="138"/>
      <c r="PN5" s="138"/>
      <c r="PP5" s="75" t="s">
        <v>221</v>
      </c>
      <c r="PQ5" s="853" t="s">
        <v>222</v>
      </c>
      <c r="PR5" s="102" t="s">
        <v>511</v>
      </c>
      <c r="PS5" s="134">
        <v>44924</v>
      </c>
      <c r="PT5" s="86">
        <v>19110.349999999999</v>
      </c>
      <c r="PU5" s="73">
        <v>21</v>
      </c>
      <c r="PV5" s="538">
        <v>19235.099999999999</v>
      </c>
      <c r="PW5" s="138">
        <f>PT5-PV5</f>
        <v>-124.75</v>
      </c>
      <c r="PX5" s="138"/>
      <c r="PZ5" s="75" t="s">
        <v>219</v>
      </c>
      <c r="QA5" s="854" t="s">
        <v>220</v>
      </c>
      <c r="QB5" s="102" t="s">
        <v>512</v>
      </c>
      <c r="QC5" s="135">
        <v>44924</v>
      </c>
      <c r="QD5" s="86">
        <v>18781.439999999999</v>
      </c>
      <c r="QE5" s="73">
        <v>20</v>
      </c>
      <c r="QF5" s="48">
        <v>18793.14</v>
      </c>
      <c r="QG5" s="138">
        <f>QD5-QF5</f>
        <v>-11.700000000000728</v>
      </c>
      <c r="QH5" s="138"/>
      <c r="QJ5" s="75" t="s">
        <v>221</v>
      </c>
      <c r="QK5" s="853" t="s">
        <v>222</v>
      </c>
      <c r="QL5" s="102" t="s">
        <v>537</v>
      </c>
      <c r="QM5" s="134">
        <v>44925</v>
      </c>
      <c r="QN5" s="86">
        <v>17876.36</v>
      </c>
      <c r="QO5" s="73">
        <v>20</v>
      </c>
      <c r="QP5" s="538">
        <v>17920.8</v>
      </c>
      <c r="QQ5" s="138">
        <f>QN5-QP5</f>
        <v>-44.43999999999869</v>
      </c>
      <c r="QR5" s="138"/>
      <c r="QT5" s="75" t="s">
        <v>221</v>
      </c>
      <c r="QU5" s="853" t="s">
        <v>222</v>
      </c>
      <c r="QV5" s="224" t="s">
        <v>538</v>
      </c>
      <c r="QW5" s="134">
        <v>44926</v>
      </c>
      <c r="QX5" s="86">
        <v>18047.189999999999</v>
      </c>
      <c r="QY5" s="73">
        <v>20</v>
      </c>
      <c r="QZ5" s="538">
        <v>18100.400000000001</v>
      </c>
      <c r="RA5" s="138">
        <f>QX5-QZ5</f>
        <v>-53.210000000002765</v>
      </c>
      <c r="RB5" s="138"/>
      <c r="RD5" s="75" t="s">
        <v>221</v>
      </c>
      <c r="RE5" s="853" t="s">
        <v>222</v>
      </c>
      <c r="RF5" s="102" t="s">
        <v>878</v>
      </c>
      <c r="RG5" s="134">
        <v>44930</v>
      </c>
      <c r="RH5" s="86">
        <v>18918.5</v>
      </c>
      <c r="RI5" s="73">
        <v>21</v>
      </c>
      <c r="RJ5" s="538">
        <v>18778.7</v>
      </c>
      <c r="RK5" s="138">
        <f>RH5-RJ5</f>
        <v>139.79999999999927</v>
      </c>
      <c r="RL5" s="138"/>
      <c r="RN5" s="75" t="s">
        <v>879</v>
      </c>
      <c r="RO5" s="879" t="s">
        <v>222</v>
      </c>
      <c r="RP5" s="102" t="s">
        <v>880</v>
      </c>
      <c r="RQ5" s="135">
        <v>44930</v>
      </c>
      <c r="RR5" s="86">
        <v>19030.25</v>
      </c>
      <c r="RS5" s="73">
        <v>21</v>
      </c>
      <c r="RT5" s="538">
        <v>18913.900000000001</v>
      </c>
      <c r="RU5" s="138">
        <f>RR5-RT5</f>
        <v>116.34999999999854</v>
      </c>
      <c r="RV5" s="138"/>
      <c r="RX5" s="75" t="s">
        <v>219</v>
      </c>
      <c r="RY5" s="885" t="s">
        <v>220</v>
      </c>
      <c r="RZ5" s="102" t="s">
        <v>881</v>
      </c>
      <c r="SA5" s="134">
        <v>44930</v>
      </c>
      <c r="SB5" s="86">
        <v>18644.88</v>
      </c>
      <c r="SC5" s="73">
        <v>20</v>
      </c>
      <c r="SD5" s="538">
        <v>18697.88</v>
      </c>
      <c r="SE5" s="138">
        <f>SB5-SD5</f>
        <v>-53</v>
      </c>
      <c r="SF5" s="138"/>
      <c r="SH5" s="75" t="s">
        <v>219</v>
      </c>
      <c r="SI5" s="885" t="s">
        <v>220</v>
      </c>
      <c r="SJ5" s="102" t="s">
        <v>882</v>
      </c>
      <c r="SK5" s="134">
        <v>44931</v>
      </c>
      <c r="SL5" s="86">
        <v>18440.98</v>
      </c>
      <c r="SM5" s="73">
        <v>20</v>
      </c>
      <c r="SN5" s="538">
        <v>18520.990000000002</v>
      </c>
      <c r="SO5" s="138">
        <f>SL5-SN5</f>
        <v>-80.010000000002037</v>
      </c>
      <c r="SP5" s="138"/>
      <c r="SR5" s="131" t="s">
        <v>221</v>
      </c>
      <c r="SS5" s="879" t="s">
        <v>222</v>
      </c>
      <c r="ST5" s="102" t="s">
        <v>883</v>
      </c>
      <c r="SU5" s="134">
        <v>44933</v>
      </c>
      <c r="SV5" s="86">
        <v>19097.61</v>
      </c>
      <c r="SW5" s="73">
        <v>21</v>
      </c>
      <c r="SX5" s="48">
        <v>18978.099999999999</v>
      </c>
      <c r="SY5" s="138">
        <f>SV5-SX5</f>
        <v>119.51000000000204</v>
      </c>
      <c r="SZ5" s="138"/>
      <c r="TB5" s="131" t="s">
        <v>221</v>
      </c>
      <c r="TC5" s="879" t="s">
        <v>222</v>
      </c>
      <c r="TD5" s="102" t="s">
        <v>884</v>
      </c>
      <c r="TE5" s="134">
        <v>44933</v>
      </c>
      <c r="TF5" s="86">
        <v>19001.259999999998</v>
      </c>
      <c r="TG5" s="73">
        <v>21</v>
      </c>
      <c r="TH5" s="538">
        <v>19027.2</v>
      </c>
      <c r="TI5" s="138">
        <f>TF5-TH5</f>
        <v>-25.940000000002328</v>
      </c>
      <c r="TJ5" s="138"/>
      <c r="TL5" s="131"/>
      <c r="TM5" s="173"/>
      <c r="TN5" s="102"/>
      <c r="TO5" s="135"/>
      <c r="TP5" s="86"/>
      <c r="TQ5" s="73"/>
      <c r="TR5" s="48"/>
      <c r="TS5" s="138">
        <f>TP5-TR5</f>
        <v>0</v>
      </c>
      <c r="TT5" s="138"/>
      <c r="TW5" s="173"/>
      <c r="TX5" s="102"/>
      <c r="TY5" s="134"/>
      <c r="TZ5" s="86"/>
      <c r="UA5" s="73"/>
      <c r="UB5" s="48"/>
      <c r="UC5" s="138">
        <f>TZ5-UB5</f>
        <v>0</v>
      </c>
      <c r="UF5" s="165"/>
      <c r="UG5" s="102"/>
      <c r="UH5" s="135"/>
      <c r="UI5" s="86"/>
      <c r="UJ5" s="73"/>
      <c r="UK5" s="48"/>
      <c r="UL5" s="138">
        <f>UI5-UK5</f>
        <v>0</v>
      </c>
      <c r="UO5" s="173"/>
      <c r="UP5" s="102"/>
      <c r="UQ5" s="134"/>
      <c r="UR5" s="86"/>
      <c r="US5" s="73"/>
      <c r="UT5" s="48"/>
      <c r="UU5" s="138">
        <f>UR5-UT5</f>
        <v>0</v>
      </c>
      <c r="UX5" s="165"/>
      <c r="UY5" s="102"/>
      <c r="UZ5" s="135"/>
      <c r="VA5" s="86"/>
      <c r="VB5" s="73"/>
      <c r="VC5" s="48"/>
      <c r="VD5" s="138">
        <f>VA5-VC5</f>
        <v>0</v>
      </c>
      <c r="VF5" s="131"/>
      <c r="VG5" s="165"/>
      <c r="VH5" s="102"/>
      <c r="VI5" s="134"/>
      <c r="VJ5" s="86"/>
      <c r="VK5" s="73"/>
      <c r="VL5" s="48"/>
      <c r="VM5" s="138">
        <f>VJ5-VL5</f>
        <v>0</v>
      </c>
      <c r="VP5" s="165"/>
      <c r="VQ5" s="102"/>
      <c r="VR5" s="134"/>
      <c r="VS5" s="86"/>
      <c r="VT5" s="73"/>
      <c r="VU5" s="48"/>
      <c r="VV5" s="138">
        <f>VS5-VU5</f>
        <v>0</v>
      </c>
      <c r="VY5" s="165"/>
      <c r="VZ5" s="102"/>
      <c r="WA5" s="134"/>
      <c r="WB5" s="86"/>
      <c r="WC5" s="73"/>
      <c r="WD5" s="48"/>
      <c r="WE5" s="138">
        <f>WB5-WD5</f>
        <v>0</v>
      </c>
      <c r="WH5" s="165"/>
      <c r="WI5" s="102"/>
      <c r="WJ5" s="134"/>
      <c r="WK5" s="86"/>
      <c r="WL5" s="73"/>
      <c r="WM5" s="48"/>
      <c r="WN5" s="138">
        <f>WK5-WM5</f>
        <v>0</v>
      </c>
      <c r="WQ5" s="165"/>
      <c r="WR5" s="102"/>
      <c r="WS5" s="134"/>
      <c r="WT5" s="86"/>
      <c r="WU5" s="73"/>
      <c r="WV5" s="48"/>
      <c r="WW5" s="138">
        <f>WT5-WV5</f>
        <v>0</v>
      </c>
      <c r="WZ5" s="165"/>
      <c r="XA5" s="102"/>
      <c r="XB5" s="134"/>
      <c r="XC5" s="86"/>
      <c r="XD5" s="73"/>
      <c r="XE5" s="48"/>
      <c r="XF5" s="138">
        <f>XC5-XE5</f>
        <v>0</v>
      </c>
      <c r="XH5" s="131"/>
      <c r="XI5" s="165"/>
      <c r="XJ5" s="102"/>
      <c r="XK5" s="134"/>
      <c r="XL5" s="86"/>
      <c r="XM5" s="73"/>
      <c r="XN5" s="48"/>
      <c r="XO5" s="138">
        <f>XL5-XN5</f>
        <v>0</v>
      </c>
      <c r="XR5" s="165"/>
      <c r="XS5" s="102"/>
      <c r="XT5" s="134"/>
      <c r="XU5" s="86"/>
      <c r="XV5" s="73"/>
      <c r="XW5" s="48"/>
      <c r="XX5" s="138">
        <f>XU5-XW5</f>
        <v>0</v>
      </c>
      <c r="YA5" s="165"/>
      <c r="YB5" s="102"/>
      <c r="YC5" s="134"/>
      <c r="YD5" s="86"/>
      <c r="YE5" s="73"/>
      <c r="YF5" s="48"/>
      <c r="YG5" s="138">
        <f>YD5-YF5</f>
        <v>0</v>
      </c>
      <c r="YJ5" s="165"/>
      <c r="YK5" s="102"/>
      <c r="YL5" s="134"/>
      <c r="YM5" s="86"/>
      <c r="YN5" s="73"/>
      <c r="YO5" s="48"/>
      <c r="YP5" s="138">
        <f>YM5-YO5</f>
        <v>0</v>
      </c>
      <c r="YR5" s="130"/>
      <c r="YS5" s="173"/>
      <c r="YT5" s="102"/>
      <c r="YU5" s="134"/>
      <c r="YV5" s="86"/>
      <c r="YW5" s="73"/>
      <c r="YX5" s="48"/>
      <c r="YY5" s="138">
        <f>YV5-YX5</f>
        <v>0</v>
      </c>
      <c r="ZB5" s="165"/>
      <c r="ZC5" s="102"/>
      <c r="ZD5" s="134"/>
      <c r="ZE5" s="86"/>
      <c r="ZF5" s="73"/>
      <c r="ZG5" s="48"/>
      <c r="ZH5" s="138">
        <f>ZE5-ZG5</f>
        <v>0</v>
      </c>
      <c r="ZK5" s="165"/>
      <c r="ZL5" s="102"/>
      <c r="ZM5" s="134"/>
      <c r="ZN5" s="86"/>
      <c r="ZO5" s="73"/>
      <c r="ZP5" s="48"/>
      <c r="ZQ5" s="138">
        <f>ZN5-ZP5</f>
        <v>0</v>
      </c>
      <c r="ZT5" s="165"/>
      <c r="ZU5" s="102"/>
      <c r="ZV5" s="134"/>
      <c r="ZW5" s="86"/>
      <c r="ZX5" s="73"/>
      <c r="ZY5" s="48"/>
      <c r="ZZ5" s="138">
        <f>ZW5-ZY5</f>
        <v>0</v>
      </c>
      <c r="AAC5" s="165"/>
      <c r="AAD5" s="102"/>
      <c r="AAE5" s="134"/>
      <c r="AAF5" s="86"/>
      <c r="AAG5" s="73"/>
      <c r="AAH5" s="48"/>
      <c r="AAI5" s="138">
        <f>AAF5-AAH5</f>
        <v>0</v>
      </c>
      <c r="AAK5" s="131"/>
      <c r="AAL5" s="165"/>
      <c r="AAM5" s="102"/>
      <c r="AAN5" s="134"/>
      <c r="AAO5" s="86"/>
      <c r="AAP5" s="73"/>
      <c r="AAQ5" s="48"/>
      <c r="AAR5" s="138">
        <f>AAO5-AAQ5</f>
        <v>0</v>
      </c>
      <c r="AAU5" s="165"/>
      <c r="AAV5" s="102"/>
      <c r="AAW5" s="134"/>
      <c r="AAX5" s="86"/>
      <c r="AAY5" s="73"/>
      <c r="AAZ5" s="48"/>
      <c r="ABA5" s="138">
        <f>AAX5-AAZ5</f>
        <v>0</v>
      </c>
      <c r="ABD5" s="165"/>
      <c r="ABE5" s="102"/>
      <c r="ABF5" s="134"/>
      <c r="ABG5" s="86"/>
      <c r="ABH5" s="73"/>
      <c r="ABI5" s="48"/>
      <c r="ABJ5" s="138">
        <f>ABG5-ABI5</f>
        <v>0</v>
      </c>
      <c r="ABM5" s="165"/>
      <c r="ABN5" s="102"/>
      <c r="ABO5" s="134"/>
      <c r="ABP5" s="86"/>
      <c r="ABQ5" s="73"/>
      <c r="ABR5" s="48"/>
      <c r="ABS5" s="138">
        <f>ABP5-ABR5</f>
        <v>0</v>
      </c>
      <c r="ABV5" s="165"/>
      <c r="ABW5" s="102"/>
      <c r="ABX5" s="134"/>
      <c r="ABY5" s="86"/>
      <c r="ABZ5" s="73"/>
      <c r="ACA5" s="48"/>
      <c r="ACB5" s="138">
        <f>ABY5-ACA5</f>
        <v>0</v>
      </c>
      <c r="ACE5" s="165"/>
      <c r="ACF5" s="102"/>
      <c r="ACG5" s="134"/>
      <c r="ACH5" s="86"/>
      <c r="ACI5" s="73"/>
      <c r="ACJ5" s="48"/>
      <c r="ACK5" s="138">
        <f>ACH5-ACJ5</f>
        <v>0</v>
      </c>
      <c r="ACN5" s="165"/>
      <c r="ACO5" s="102"/>
      <c r="ACP5" s="134"/>
      <c r="ACQ5" s="86"/>
      <c r="ACR5" s="73"/>
      <c r="ACS5" s="48"/>
      <c r="ACT5" s="138">
        <f>ACQ5-ACS5</f>
        <v>0</v>
      </c>
      <c r="ACW5" s="165"/>
      <c r="ACX5" s="102"/>
      <c r="ACY5" s="134"/>
      <c r="ACZ5" s="86"/>
      <c r="ADA5" s="73"/>
      <c r="ADB5" s="48"/>
      <c r="ADC5" s="138">
        <f>ACZ5-ADB5</f>
        <v>0</v>
      </c>
      <c r="ADE5" s="131"/>
      <c r="ADF5" s="165"/>
      <c r="ADG5" s="102"/>
      <c r="ADH5" s="134"/>
      <c r="ADI5" s="86"/>
      <c r="ADJ5" s="73"/>
      <c r="ADK5" s="48"/>
      <c r="ADL5" s="138">
        <f>ADI5-ADK5</f>
        <v>0</v>
      </c>
      <c r="ADN5" s="131"/>
      <c r="ADO5" s="165"/>
      <c r="ADP5" s="102"/>
      <c r="ADQ5" s="134"/>
      <c r="ADR5" s="86"/>
      <c r="ADS5" s="73"/>
      <c r="ADT5" s="48"/>
      <c r="ADU5" s="138">
        <f>ADR5-ADT5</f>
        <v>0</v>
      </c>
      <c r="ADW5" s="131"/>
      <c r="ADX5" s="165"/>
      <c r="ADY5" s="102"/>
      <c r="ADZ5" s="134"/>
      <c r="AEA5" s="86"/>
      <c r="AEB5" s="73"/>
      <c r="AEC5" s="48"/>
      <c r="AED5" s="138">
        <f>AEA5-AEC5</f>
        <v>0</v>
      </c>
      <c r="AEF5" s="131"/>
      <c r="AEG5" s="165"/>
      <c r="AEH5" s="102"/>
      <c r="AEI5" s="134"/>
      <c r="AEJ5" s="86"/>
      <c r="AEK5" s="73"/>
      <c r="AEL5" s="48"/>
      <c r="AEM5" s="138">
        <f>AEJ5-AEL5</f>
        <v>0</v>
      </c>
      <c r="AEP5" s="165"/>
      <c r="AEQ5" s="102"/>
      <c r="AER5" s="134"/>
      <c r="AES5" s="86"/>
      <c r="AET5" s="73"/>
      <c r="AEU5" s="48"/>
      <c r="AEV5" s="138">
        <f>AES5-AEU5</f>
        <v>0</v>
      </c>
      <c r="AEY5" s="165"/>
      <c r="AEZ5" s="102"/>
      <c r="AFA5" s="134"/>
      <c r="AFB5" s="86"/>
      <c r="AFC5" s="73"/>
      <c r="AFD5" s="48"/>
      <c r="AFE5" s="138">
        <f>AFB5-AFD5</f>
        <v>0</v>
      </c>
    </row>
    <row r="6" spans="1:837" ht="16.5" thickBot="1" x14ac:dyDescent="0.3">
      <c r="A6" s="137">
        <v>3</v>
      </c>
      <c r="B6" s="75" t="str">
        <f t="shared" ref="B6:H6" si="2">AE5</f>
        <v>TYSON FRESH MEAT</v>
      </c>
      <c r="C6" s="75" t="str">
        <f t="shared" si="2"/>
        <v xml:space="preserve">I B P </v>
      </c>
      <c r="D6" s="102" t="str">
        <f t="shared" si="2"/>
        <v>PED. 90429145</v>
      </c>
      <c r="E6" s="135">
        <f t="shared" si="2"/>
        <v>44896</v>
      </c>
      <c r="F6" s="86">
        <f t="shared" si="2"/>
        <v>18857.04</v>
      </c>
      <c r="G6" s="73">
        <f t="shared" si="2"/>
        <v>20</v>
      </c>
      <c r="H6" s="48">
        <f t="shared" si="2"/>
        <v>18935.560000000001</v>
      </c>
      <c r="I6" s="105">
        <f>AL5</f>
        <v>-78.520000000000437</v>
      </c>
      <c r="K6" s="1383"/>
      <c r="L6" s="718"/>
      <c r="M6" s="714"/>
      <c r="N6" s="714"/>
      <c r="O6" s="714"/>
      <c r="P6" s="714"/>
      <c r="Q6" s="709"/>
      <c r="S6" s="243"/>
      <c r="U6" s="708"/>
      <c r="V6" s="718"/>
      <c r="W6" s="714"/>
      <c r="X6" s="714"/>
      <c r="Y6" s="714"/>
      <c r="Z6" s="714"/>
      <c r="AA6" s="709"/>
      <c r="AC6" s="243"/>
      <c r="AE6" s="225"/>
      <c r="AF6" s="279"/>
      <c r="AK6" s="73"/>
      <c r="AM6" s="243"/>
      <c r="AP6" s="227"/>
      <c r="AU6" s="73"/>
      <c r="AZ6" s="227"/>
      <c r="BE6" s="73"/>
      <c r="BI6" s="1382"/>
      <c r="BJ6" s="717"/>
      <c r="BK6" s="714"/>
      <c r="BL6" s="714"/>
      <c r="BM6" s="714"/>
      <c r="BN6" s="714"/>
      <c r="BO6" s="709"/>
      <c r="BQ6" s="243"/>
      <c r="BS6" s="1381"/>
      <c r="BT6" s="718"/>
      <c r="BU6" s="714"/>
      <c r="BV6" s="714"/>
      <c r="BW6" s="714"/>
      <c r="BX6" s="714"/>
      <c r="BY6" s="709"/>
      <c r="CA6" s="243"/>
      <c r="CB6" s="243"/>
      <c r="CC6" s="708"/>
      <c r="CD6" s="718"/>
      <c r="CE6" s="714"/>
      <c r="CF6" s="714"/>
      <c r="CG6" s="714"/>
      <c r="CH6" s="714"/>
      <c r="CI6" s="709"/>
      <c r="CK6" s="243"/>
      <c r="CL6" s="243"/>
      <c r="CM6" s="1382"/>
      <c r="CN6" s="719"/>
      <c r="CO6" s="714"/>
      <c r="CP6" s="714"/>
      <c r="CQ6" s="714"/>
      <c r="CR6" s="714"/>
      <c r="CS6" s="709"/>
      <c r="CU6" s="243"/>
      <c r="CW6" s="225"/>
      <c r="CX6" s="227"/>
      <c r="DC6" s="73"/>
      <c r="DE6" s="243"/>
      <c r="DG6" s="62"/>
      <c r="DH6" s="227"/>
      <c r="DM6" s="73"/>
      <c r="DO6" s="243"/>
      <c r="DQ6" s="1384"/>
      <c r="DR6" s="718"/>
      <c r="DS6" s="714"/>
      <c r="DT6" s="714"/>
      <c r="DU6" s="714"/>
      <c r="DV6" s="714"/>
      <c r="DW6" s="709"/>
      <c r="DY6" s="243"/>
      <c r="EA6" s="714"/>
      <c r="EB6" s="718"/>
      <c r="EC6" s="714"/>
      <c r="ED6" s="714"/>
      <c r="EE6" s="714"/>
      <c r="EF6" s="714"/>
      <c r="EG6" s="709"/>
      <c r="EI6" s="243"/>
      <c r="EL6" s="227"/>
      <c r="EQ6" s="73"/>
      <c r="ES6" s="243"/>
      <c r="EU6" s="176"/>
      <c r="EV6" s="227"/>
      <c r="FA6" s="73"/>
      <c r="FC6" s="243"/>
      <c r="FE6" s="176"/>
      <c r="FF6" s="227"/>
      <c r="FK6" s="73"/>
      <c r="FM6" s="243"/>
      <c r="FO6" s="225"/>
      <c r="FP6" s="227"/>
      <c r="FU6" s="73"/>
      <c r="FW6" s="243"/>
      <c r="FY6" s="225"/>
      <c r="FZ6" s="227"/>
      <c r="GE6" s="73"/>
      <c r="GG6" s="243"/>
      <c r="GI6" s="805"/>
      <c r="GJ6" s="806"/>
      <c r="GK6" s="714"/>
      <c r="GL6" s="714"/>
      <c r="GM6" s="714"/>
      <c r="GN6" s="714"/>
      <c r="GO6" s="709"/>
      <c r="GQ6" s="243"/>
      <c r="GS6" s="1382"/>
      <c r="GT6" s="724"/>
      <c r="GU6" s="714"/>
      <c r="GV6" s="714"/>
      <c r="GW6" s="714"/>
      <c r="GX6" s="714"/>
      <c r="GY6" s="709"/>
      <c r="HA6" s="243"/>
      <c r="HC6" s="1381"/>
      <c r="HD6" s="718"/>
      <c r="HE6" s="714"/>
      <c r="HF6" s="714"/>
      <c r="HG6" s="714"/>
      <c r="HH6" s="714"/>
      <c r="HI6" s="709"/>
      <c r="HK6" s="243"/>
      <c r="HM6" s="176"/>
      <c r="HN6" s="227"/>
      <c r="HS6" s="73"/>
      <c r="HU6" s="243"/>
      <c r="HW6" s="1382"/>
      <c r="HX6" s="714"/>
      <c r="HY6" s="714"/>
      <c r="HZ6" s="714"/>
      <c r="IA6" s="714"/>
      <c r="IB6" s="714"/>
      <c r="IC6" s="709"/>
      <c r="IE6" s="243"/>
      <c r="IG6" s="1382"/>
      <c r="IH6" s="714"/>
      <c r="II6" s="714"/>
      <c r="IJ6" s="714"/>
      <c r="IK6" s="714"/>
      <c r="IL6" s="714"/>
      <c r="IM6" s="709"/>
      <c r="IO6" s="243"/>
      <c r="IQ6" s="1382"/>
      <c r="IR6" s="718"/>
      <c r="IS6" s="714"/>
      <c r="IT6" s="714"/>
      <c r="IU6" s="714"/>
      <c r="IV6" s="714"/>
      <c r="IW6" s="709"/>
      <c r="IY6" s="243"/>
      <c r="JA6" s="714"/>
      <c r="JB6" s="714"/>
      <c r="JC6" s="714"/>
      <c r="JD6" s="714"/>
      <c r="JE6" s="714"/>
      <c r="JF6" s="714"/>
      <c r="JG6" s="709"/>
      <c r="JI6" s="243"/>
      <c r="JK6" s="1384"/>
      <c r="JL6" s="718"/>
      <c r="JM6" s="714"/>
      <c r="JN6" s="714"/>
      <c r="JO6" s="714"/>
      <c r="JP6" s="714"/>
      <c r="JQ6" s="709"/>
      <c r="JS6" s="243"/>
      <c r="JU6" s="708"/>
      <c r="JV6" s="718"/>
      <c r="JW6" s="714"/>
      <c r="JX6" s="714"/>
      <c r="JY6" s="714"/>
      <c r="JZ6" s="714"/>
      <c r="KA6" s="709"/>
      <c r="KC6" s="243"/>
      <c r="KE6" s="1383"/>
      <c r="KF6" s="718"/>
      <c r="KG6" s="714"/>
      <c r="KH6" s="714"/>
      <c r="KI6" s="714"/>
      <c r="KJ6" s="714"/>
      <c r="KK6" s="709"/>
      <c r="KM6" s="243"/>
      <c r="KO6" s="708"/>
      <c r="KP6" s="718"/>
      <c r="KQ6" s="714"/>
      <c r="KR6" s="714"/>
      <c r="KS6" s="714"/>
      <c r="KT6" s="714"/>
      <c r="KU6" s="709"/>
      <c r="KW6" s="243"/>
      <c r="KY6" s="225"/>
      <c r="KZ6" s="279"/>
      <c r="LE6" s="73"/>
      <c r="LG6" s="243"/>
      <c r="LJ6" s="227"/>
      <c r="LO6" s="73"/>
      <c r="LT6" s="227"/>
      <c r="LY6" s="73"/>
      <c r="MA6" s="393"/>
      <c r="MB6" s="393"/>
      <c r="MD6" s="227"/>
      <c r="MI6" s="73"/>
      <c r="MN6" s="226"/>
      <c r="MS6" s="73"/>
      <c r="MX6" s="226"/>
      <c r="NC6" s="73"/>
      <c r="NH6" s="227"/>
      <c r="NM6" s="73"/>
      <c r="NR6" s="227"/>
      <c r="NW6" s="73"/>
      <c r="OB6" s="227"/>
      <c r="OG6" s="73"/>
      <c r="OK6" s="179"/>
      <c r="OL6" s="227"/>
      <c r="OQ6" s="73"/>
      <c r="OU6" s="179"/>
      <c r="OV6" s="227"/>
      <c r="PA6" s="73"/>
      <c r="PK6" s="73"/>
      <c r="PZ6" s="179"/>
      <c r="QF6" s="73"/>
      <c r="QK6" s="176"/>
      <c r="QP6" s="73"/>
      <c r="QU6" s="176"/>
      <c r="QZ6" s="73"/>
      <c r="RD6" s="176"/>
      <c r="RJ6" s="73"/>
      <c r="RT6" s="73"/>
      <c r="UK6" s="75" t="s">
        <v>40</v>
      </c>
      <c r="UL6" s="61"/>
      <c r="VC6" s="75" t="s">
        <v>40</v>
      </c>
    </row>
    <row r="7" spans="1:837" ht="17.25" thickTop="1" thickBot="1" x14ac:dyDescent="0.3">
      <c r="A7" s="137">
        <v>4</v>
      </c>
      <c r="B7" s="130" t="str">
        <f>AO5</f>
        <v>SEABOARD FOODS</v>
      </c>
      <c r="C7" s="75" t="str">
        <f t="shared" ref="C7:I7" si="3">AP5</f>
        <v>Seaboard</v>
      </c>
      <c r="D7" s="102" t="str">
        <f t="shared" si="3"/>
        <v>PED. 90446524</v>
      </c>
      <c r="E7" s="135">
        <f t="shared" si="3"/>
        <v>44896</v>
      </c>
      <c r="F7" s="86">
        <f t="shared" si="3"/>
        <v>19184.009999999998</v>
      </c>
      <c r="G7" s="73">
        <f t="shared" si="3"/>
        <v>21</v>
      </c>
      <c r="H7" s="48">
        <f t="shared" si="3"/>
        <v>19169.8</v>
      </c>
      <c r="I7" s="105">
        <f t="shared" si="3"/>
        <v>14.209999999999127</v>
      </c>
      <c r="L7" s="285" t="s">
        <v>7</v>
      </c>
      <c r="M7" s="281" t="s">
        <v>8</v>
      </c>
      <c r="N7" s="282" t="s">
        <v>17</v>
      </c>
      <c r="O7" s="283" t="s">
        <v>2</v>
      </c>
      <c r="P7" s="276" t="s">
        <v>18</v>
      </c>
      <c r="Q7" s="284" t="s">
        <v>15</v>
      </c>
      <c r="R7" s="279"/>
      <c r="S7" s="397"/>
      <c r="V7" s="285" t="s">
        <v>7</v>
      </c>
      <c r="W7" s="281" t="s">
        <v>8</v>
      </c>
      <c r="X7" s="282" t="s">
        <v>17</v>
      </c>
      <c r="Y7" s="283" t="s">
        <v>2</v>
      </c>
      <c r="Z7" s="276" t="s">
        <v>18</v>
      </c>
      <c r="AA7" s="284" t="s">
        <v>15</v>
      </c>
      <c r="AB7" s="279"/>
      <c r="AC7" s="397"/>
      <c r="AF7" s="285" t="s">
        <v>7</v>
      </c>
      <c r="AG7" s="281" t="s">
        <v>8</v>
      </c>
      <c r="AH7" s="282" t="s">
        <v>17</v>
      </c>
      <c r="AI7" s="283" t="s">
        <v>2</v>
      </c>
      <c r="AJ7" s="276" t="s">
        <v>18</v>
      </c>
      <c r="AK7" s="284" t="s">
        <v>15</v>
      </c>
      <c r="AL7" s="279"/>
      <c r="AM7" s="397"/>
      <c r="AP7" s="285" t="s">
        <v>7</v>
      </c>
      <c r="AQ7" s="281" t="s">
        <v>8</v>
      </c>
      <c r="AR7" s="282" t="s">
        <v>17</v>
      </c>
      <c r="AS7" s="283" t="s">
        <v>2</v>
      </c>
      <c r="AT7" s="276" t="s">
        <v>18</v>
      </c>
      <c r="AU7" s="284" t="s">
        <v>15</v>
      </c>
      <c r="AV7" s="279"/>
      <c r="AW7" s="397"/>
      <c r="AZ7" s="285" t="s">
        <v>7</v>
      </c>
      <c r="BA7" s="281" t="s">
        <v>8</v>
      </c>
      <c r="BB7" s="282" t="s">
        <v>17</v>
      </c>
      <c r="BC7" s="283" t="s">
        <v>2</v>
      </c>
      <c r="BD7" s="276" t="s">
        <v>18</v>
      </c>
      <c r="BE7" s="284" t="s">
        <v>15</v>
      </c>
      <c r="BF7" s="279"/>
      <c r="BG7" s="397"/>
      <c r="BJ7" s="285" t="s">
        <v>7</v>
      </c>
      <c r="BK7" s="281" t="s">
        <v>8</v>
      </c>
      <c r="BL7" s="282" t="s">
        <v>17</v>
      </c>
      <c r="BM7" s="283" t="s">
        <v>2</v>
      </c>
      <c r="BN7" s="276" t="s">
        <v>18</v>
      </c>
      <c r="BO7" s="284" t="s">
        <v>15</v>
      </c>
      <c r="BP7" s="279"/>
      <c r="BQ7" s="397"/>
      <c r="BR7" s="393"/>
      <c r="BT7" s="285" t="s">
        <v>7</v>
      </c>
      <c r="BU7" s="281" t="s">
        <v>8</v>
      </c>
      <c r="BV7" s="282" t="s">
        <v>17</v>
      </c>
      <c r="BW7" s="283" t="s">
        <v>2</v>
      </c>
      <c r="BX7" s="276" t="s">
        <v>18</v>
      </c>
      <c r="BY7" s="284" t="s">
        <v>15</v>
      </c>
      <c r="BZ7" s="279"/>
      <c r="CD7" s="285" t="s">
        <v>7</v>
      </c>
      <c r="CE7" s="281" t="s">
        <v>8</v>
      </c>
      <c r="CF7" s="282" t="s">
        <v>17</v>
      </c>
      <c r="CG7" s="283" t="s">
        <v>2</v>
      </c>
      <c r="CH7" s="276" t="s">
        <v>18</v>
      </c>
      <c r="CI7" s="284" t="s">
        <v>15</v>
      </c>
      <c r="CJ7" s="279"/>
      <c r="CN7" s="285" t="s">
        <v>7</v>
      </c>
      <c r="CO7" s="281" t="s">
        <v>8</v>
      </c>
      <c r="CP7" s="282" t="s">
        <v>17</v>
      </c>
      <c r="CQ7" s="283" t="s">
        <v>2</v>
      </c>
      <c r="CR7" s="276" t="s">
        <v>18</v>
      </c>
      <c r="CS7" s="284" t="s">
        <v>15</v>
      </c>
      <c r="CT7" s="279"/>
      <c r="CU7" s="397"/>
      <c r="CX7" s="285" t="s">
        <v>7</v>
      </c>
      <c r="CY7" s="281" t="s">
        <v>8</v>
      </c>
      <c r="CZ7" s="282" t="s">
        <v>17</v>
      </c>
      <c r="DA7" s="283" t="s">
        <v>2</v>
      </c>
      <c r="DB7" s="276" t="s">
        <v>18</v>
      </c>
      <c r="DC7" s="284" t="s">
        <v>15</v>
      </c>
      <c r="DD7" s="279"/>
      <c r="DE7" s="397"/>
      <c r="DH7" s="285" t="s">
        <v>7</v>
      </c>
      <c r="DI7" s="281" t="s">
        <v>8</v>
      </c>
      <c r="DJ7" s="282" t="s">
        <v>17</v>
      </c>
      <c r="DK7" s="283" t="s">
        <v>2</v>
      </c>
      <c r="DL7" s="276" t="s">
        <v>18</v>
      </c>
      <c r="DM7" s="284" t="s">
        <v>15</v>
      </c>
      <c r="DN7" s="279"/>
      <c r="DO7" s="397"/>
      <c r="DR7" s="285" t="s">
        <v>7</v>
      </c>
      <c r="DS7" s="281" t="s">
        <v>8</v>
      </c>
      <c r="DT7" s="282" t="s">
        <v>17</v>
      </c>
      <c r="DU7" s="283" t="s">
        <v>2</v>
      </c>
      <c r="DV7" s="276" t="s">
        <v>18</v>
      </c>
      <c r="DW7" s="284" t="s">
        <v>15</v>
      </c>
      <c r="DX7" s="279"/>
      <c r="EB7" s="285" t="s">
        <v>7</v>
      </c>
      <c r="EC7" s="281" t="s">
        <v>8</v>
      </c>
      <c r="ED7" s="282" t="s">
        <v>17</v>
      </c>
      <c r="EE7" s="283" t="s">
        <v>2</v>
      </c>
      <c r="EF7" s="276" t="s">
        <v>18</v>
      </c>
      <c r="EG7" s="284" t="s">
        <v>15</v>
      </c>
      <c r="EH7" s="279"/>
      <c r="EI7" s="397"/>
      <c r="EL7" s="285" t="s">
        <v>7</v>
      </c>
      <c r="EM7" s="281" t="s">
        <v>8</v>
      </c>
      <c r="EN7" s="282" t="s">
        <v>17</v>
      </c>
      <c r="EO7" s="283" t="s">
        <v>2</v>
      </c>
      <c r="EP7" s="276" t="s">
        <v>18</v>
      </c>
      <c r="EQ7" s="284" t="s">
        <v>15</v>
      </c>
      <c r="ER7" s="279"/>
      <c r="ES7" s="397"/>
      <c r="EV7" s="285" t="s">
        <v>7</v>
      </c>
      <c r="EW7" s="281" t="s">
        <v>8</v>
      </c>
      <c r="EX7" s="282" t="s">
        <v>17</v>
      </c>
      <c r="EY7" s="283" t="s">
        <v>2</v>
      </c>
      <c r="EZ7" s="276" t="s">
        <v>18</v>
      </c>
      <c r="FA7" s="284" t="s">
        <v>15</v>
      </c>
      <c r="FB7" s="279"/>
      <c r="FC7" s="397"/>
      <c r="FF7" s="285" t="s">
        <v>7</v>
      </c>
      <c r="FG7" s="281" t="s">
        <v>8</v>
      </c>
      <c r="FH7" s="282" t="s">
        <v>17</v>
      </c>
      <c r="FI7" s="283" t="s">
        <v>2</v>
      </c>
      <c r="FJ7" s="276" t="s">
        <v>18</v>
      </c>
      <c r="FK7" s="284" t="s">
        <v>15</v>
      </c>
      <c r="FL7" s="279"/>
      <c r="FM7" s="397"/>
      <c r="FP7" s="285" t="s">
        <v>7</v>
      </c>
      <c r="FQ7" s="281" t="s">
        <v>8</v>
      </c>
      <c r="FR7" s="282" t="s">
        <v>17</v>
      </c>
      <c r="FS7" s="283" t="s">
        <v>2</v>
      </c>
      <c r="FT7" s="276" t="s">
        <v>18</v>
      </c>
      <c r="FU7" s="284" t="s">
        <v>15</v>
      </c>
      <c r="FV7" s="279"/>
      <c r="FW7" s="397"/>
      <c r="FZ7" s="285" t="s">
        <v>7</v>
      </c>
      <c r="GA7" s="281" t="s">
        <v>8</v>
      </c>
      <c r="GB7" s="282" t="s">
        <v>17</v>
      </c>
      <c r="GC7" s="283" t="s">
        <v>2</v>
      </c>
      <c r="GD7" s="276" t="s">
        <v>18</v>
      </c>
      <c r="GE7" s="284" t="s">
        <v>15</v>
      </c>
      <c r="GF7" s="279"/>
      <c r="GG7" s="397"/>
      <c r="GJ7" s="285" t="s">
        <v>7</v>
      </c>
      <c r="GK7" s="281" t="s">
        <v>8</v>
      </c>
      <c r="GL7" s="282" t="s">
        <v>17</v>
      </c>
      <c r="GM7" s="283" t="s">
        <v>2</v>
      </c>
      <c r="GN7" s="276" t="s">
        <v>18</v>
      </c>
      <c r="GO7" s="284" t="s">
        <v>15</v>
      </c>
      <c r="GP7" s="279"/>
      <c r="GQ7" s="397"/>
      <c r="GT7" s="285" t="s">
        <v>7</v>
      </c>
      <c r="GU7" s="281" t="s">
        <v>8</v>
      </c>
      <c r="GV7" s="282" t="s">
        <v>17</v>
      </c>
      <c r="GW7" s="283" t="s">
        <v>2</v>
      </c>
      <c r="GX7" s="276" t="s">
        <v>18</v>
      </c>
      <c r="GY7" s="284" t="s">
        <v>15</v>
      </c>
      <c r="GZ7" s="279"/>
      <c r="HA7" s="397"/>
      <c r="HD7" s="285" t="s">
        <v>7</v>
      </c>
      <c r="HE7" s="281" t="s">
        <v>8</v>
      </c>
      <c r="HF7" s="282" t="s">
        <v>17</v>
      </c>
      <c r="HG7" s="283" t="s">
        <v>2</v>
      </c>
      <c r="HH7" s="276" t="s">
        <v>18</v>
      </c>
      <c r="HI7" s="284" t="s">
        <v>15</v>
      </c>
      <c r="HJ7" s="279"/>
      <c r="HK7" s="397"/>
      <c r="HN7" s="285" t="s">
        <v>7</v>
      </c>
      <c r="HO7" s="281" t="s">
        <v>8</v>
      </c>
      <c r="HP7" s="282" t="s">
        <v>17</v>
      </c>
      <c r="HQ7" s="283" t="s">
        <v>2</v>
      </c>
      <c r="HR7" s="276" t="s">
        <v>18</v>
      </c>
      <c r="HS7" s="284" t="s">
        <v>15</v>
      </c>
      <c r="HT7" s="279"/>
      <c r="HU7" s="397"/>
      <c r="HX7" s="280" t="s">
        <v>7</v>
      </c>
      <c r="HY7" s="281" t="s">
        <v>8</v>
      </c>
      <c r="HZ7" s="282" t="s">
        <v>17</v>
      </c>
      <c r="IA7" s="283" t="s">
        <v>2</v>
      </c>
      <c r="IB7" s="276" t="s">
        <v>45</v>
      </c>
      <c r="IC7" s="284" t="s">
        <v>15</v>
      </c>
      <c r="ID7" s="279"/>
      <c r="IE7" s="397"/>
      <c r="IG7" s="392"/>
      <c r="IH7" s="280" t="s">
        <v>7</v>
      </c>
      <c r="II7" s="281" t="s">
        <v>8</v>
      </c>
      <c r="IJ7" s="282" t="s">
        <v>17</v>
      </c>
      <c r="IK7" s="283" t="s">
        <v>2</v>
      </c>
      <c r="IL7" s="276" t="s">
        <v>45</v>
      </c>
      <c r="IM7" s="284" t="s">
        <v>15</v>
      </c>
      <c r="IN7" s="279"/>
      <c r="IO7" s="397"/>
      <c r="IQ7" s="392"/>
      <c r="IR7" s="285" t="s">
        <v>7</v>
      </c>
      <c r="IS7" s="281" t="s">
        <v>8</v>
      </c>
      <c r="IT7" s="282" t="s">
        <v>17</v>
      </c>
      <c r="IU7" s="283" t="s">
        <v>2</v>
      </c>
      <c r="IV7" s="276" t="s">
        <v>18</v>
      </c>
      <c r="IW7" s="284" t="s">
        <v>15</v>
      </c>
      <c r="IX7" s="279"/>
      <c r="IY7" s="397"/>
      <c r="JB7" s="280" t="s">
        <v>7</v>
      </c>
      <c r="JC7" s="281" t="s">
        <v>8</v>
      </c>
      <c r="JD7" s="282" t="s">
        <v>17</v>
      </c>
      <c r="JE7" s="283" t="s">
        <v>2</v>
      </c>
      <c r="JF7" s="276" t="s">
        <v>18</v>
      </c>
      <c r="JG7" s="284" t="s">
        <v>15</v>
      </c>
      <c r="JH7" s="279"/>
      <c r="JI7" s="397"/>
      <c r="JL7" s="285" t="s">
        <v>7</v>
      </c>
      <c r="JM7" s="281" t="s">
        <v>8</v>
      </c>
      <c r="JN7" s="282" t="s">
        <v>17</v>
      </c>
      <c r="JO7" s="283" t="s">
        <v>2</v>
      </c>
      <c r="JP7" s="276" t="s">
        <v>18</v>
      </c>
      <c r="JQ7" s="284" t="s">
        <v>15</v>
      </c>
      <c r="JR7" s="279"/>
      <c r="JS7" s="397"/>
      <c r="JV7" s="285" t="s">
        <v>7</v>
      </c>
      <c r="JW7" s="281" t="s">
        <v>8</v>
      </c>
      <c r="JX7" s="282" t="s">
        <v>17</v>
      </c>
      <c r="JY7" s="283" t="s">
        <v>2</v>
      </c>
      <c r="JZ7" s="276" t="s">
        <v>18</v>
      </c>
      <c r="KA7" s="284" t="s">
        <v>15</v>
      </c>
      <c r="KB7" s="279"/>
      <c r="KC7" s="397"/>
      <c r="KF7" s="285" t="s">
        <v>7</v>
      </c>
      <c r="KG7" s="281" t="s">
        <v>8</v>
      </c>
      <c r="KH7" s="282" t="s">
        <v>17</v>
      </c>
      <c r="KI7" s="283" t="s">
        <v>2</v>
      </c>
      <c r="KJ7" s="276" t="s">
        <v>18</v>
      </c>
      <c r="KK7" s="284" t="s">
        <v>15</v>
      </c>
      <c r="KL7" s="279"/>
      <c r="KM7" s="397"/>
      <c r="KP7" s="285" t="s">
        <v>7</v>
      </c>
      <c r="KQ7" s="281" t="s">
        <v>8</v>
      </c>
      <c r="KR7" s="282" t="s">
        <v>17</v>
      </c>
      <c r="KS7" s="283" t="s">
        <v>2</v>
      </c>
      <c r="KT7" s="276" t="s">
        <v>18</v>
      </c>
      <c r="KU7" s="284" t="s">
        <v>15</v>
      </c>
      <c r="KV7" s="279"/>
      <c r="KW7" s="397"/>
      <c r="KZ7" s="285" t="s">
        <v>7</v>
      </c>
      <c r="LA7" s="281" t="s">
        <v>8</v>
      </c>
      <c r="LB7" s="282" t="s">
        <v>17</v>
      </c>
      <c r="LC7" s="283" t="s">
        <v>2</v>
      </c>
      <c r="LD7" s="276" t="s">
        <v>18</v>
      </c>
      <c r="LE7" s="284" t="s">
        <v>15</v>
      </c>
      <c r="LF7" s="279"/>
      <c r="LG7" s="397"/>
      <c r="LJ7" s="285" t="s">
        <v>7</v>
      </c>
      <c r="LK7" s="281" t="s">
        <v>8</v>
      </c>
      <c r="LL7" s="282" t="s">
        <v>17</v>
      </c>
      <c r="LM7" s="283" t="s">
        <v>2</v>
      </c>
      <c r="LN7" s="276" t="s">
        <v>18</v>
      </c>
      <c r="LO7" s="284" t="s">
        <v>15</v>
      </c>
      <c r="LP7" s="279"/>
      <c r="LQ7" s="397"/>
      <c r="LT7" s="285" t="s">
        <v>7</v>
      </c>
      <c r="LU7" s="281" t="s">
        <v>8</v>
      </c>
      <c r="LV7" s="282" t="s">
        <v>17</v>
      </c>
      <c r="LW7" s="283" t="s">
        <v>2</v>
      </c>
      <c r="LX7" s="276" t="s">
        <v>18</v>
      </c>
      <c r="LY7" s="284" t="s">
        <v>15</v>
      </c>
      <c r="LZ7" s="279"/>
      <c r="MA7" s="397"/>
      <c r="MB7" s="397"/>
      <c r="MD7" s="285" t="s">
        <v>7</v>
      </c>
      <c r="ME7" s="281" t="s">
        <v>8</v>
      </c>
      <c r="MF7" s="282" t="s">
        <v>17</v>
      </c>
      <c r="MG7" s="283" t="s">
        <v>2</v>
      </c>
      <c r="MH7" s="276" t="s">
        <v>18</v>
      </c>
      <c r="MI7" s="284" t="s">
        <v>15</v>
      </c>
      <c r="MJ7" s="279"/>
      <c r="MN7" s="285" t="s">
        <v>7</v>
      </c>
      <c r="MO7" s="281" t="s">
        <v>8</v>
      </c>
      <c r="MP7" s="282" t="s">
        <v>17</v>
      </c>
      <c r="MQ7" s="283" t="s">
        <v>2</v>
      </c>
      <c r="MR7" s="276" t="s">
        <v>18</v>
      </c>
      <c r="MS7" s="284" t="s">
        <v>15</v>
      </c>
      <c r="MT7" s="279"/>
      <c r="MX7" s="285" t="s">
        <v>7</v>
      </c>
      <c r="MY7" s="281" t="s">
        <v>8</v>
      </c>
      <c r="MZ7" s="282" t="s">
        <v>17</v>
      </c>
      <c r="NA7" s="283" t="s">
        <v>2</v>
      </c>
      <c r="NB7" s="276" t="s">
        <v>18</v>
      </c>
      <c r="NC7" s="284" t="s">
        <v>15</v>
      </c>
      <c r="ND7" s="279"/>
      <c r="NH7" s="285" t="s">
        <v>7</v>
      </c>
      <c r="NI7" s="281" t="s">
        <v>8</v>
      </c>
      <c r="NJ7" s="282" t="s">
        <v>17</v>
      </c>
      <c r="NK7" s="283" t="s">
        <v>2</v>
      </c>
      <c r="NL7" s="276" t="s">
        <v>18</v>
      </c>
      <c r="NM7" s="284" t="s">
        <v>15</v>
      </c>
      <c r="NN7" s="279"/>
      <c r="NR7" s="285" t="s">
        <v>7</v>
      </c>
      <c r="NS7" s="281" t="s">
        <v>8</v>
      </c>
      <c r="NT7" s="282" t="s">
        <v>17</v>
      </c>
      <c r="NU7" s="283" t="s">
        <v>2</v>
      </c>
      <c r="NV7" s="276" t="s">
        <v>18</v>
      </c>
      <c r="NW7" s="284" t="s">
        <v>15</v>
      </c>
      <c r="NX7" s="279"/>
      <c r="OB7" s="285" t="s">
        <v>7</v>
      </c>
      <c r="OC7" s="281" t="s">
        <v>8</v>
      </c>
      <c r="OD7" s="282" t="s">
        <v>17</v>
      </c>
      <c r="OE7" s="283" t="s">
        <v>2</v>
      </c>
      <c r="OF7" s="276" t="s">
        <v>18</v>
      </c>
      <c r="OG7" s="284" t="s">
        <v>15</v>
      </c>
      <c r="OH7" s="279"/>
      <c r="OL7" s="285" t="s">
        <v>7</v>
      </c>
      <c r="OM7" s="281" t="s">
        <v>8</v>
      </c>
      <c r="ON7" s="282" t="s">
        <v>17</v>
      </c>
      <c r="OO7" s="283" t="s">
        <v>2</v>
      </c>
      <c r="OP7" s="276" t="s">
        <v>18</v>
      </c>
      <c r="OQ7" s="284" t="s">
        <v>15</v>
      </c>
      <c r="OR7" s="279"/>
      <c r="OV7" s="285" t="s">
        <v>7</v>
      </c>
      <c r="OW7" s="281" t="s">
        <v>8</v>
      </c>
      <c r="OX7" s="282" t="s">
        <v>17</v>
      </c>
      <c r="OY7" s="283" t="s">
        <v>2</v>
      </c>
      <c r="OZ7" s="276" t="s">
        <v>18</v>
      </c>
      <c r="PA7" s="284" t="s">
        <v>15</v>
      </c>
      <c r="PB7" s="279"/>
      <c r="PF7" s="286" t="s">
        <v>7</v>
      </c>
      <c r="PG7" s="281" t="s">
        <v>8</v>
      </c>
      <c r="PH7" s="282" t="s">
        <v>17</v>
      </c>
      <c r="PI7" s="283" t="s">
        <v>2</v>
      </c>
      <c r="PJ7" s="276" t="s">
        <v>18</v>
      </c>
      <c r="PK7" s="284" t="s">
        <v>15</v>
      </c>
      <c r="PL7" s="279"/>
      <c r="PQ7" s="286" t="s">
        <v>7</v>
      </c>
      <c r="PR7" s="281" t="s">
        <v>8</v>
      </c>
      <c r="PS7" s="282" t="s">
        <v>17</v>
      </c>
      <c r="PT7" s="283" t="s">
        <v>2</v>
      </c>
      <c r="PU7" s="276" t="s">
        <v>18</v>
      </c>
      <c r="PV7" s="284" t="s">
        <v>15</v>
      </c>
      <c r="PW7" s="279"/>
      <c r="PX7" s="699"/>
      <c r="QA7" s="286" t="s">
        <v>7</v>
      </c>
      <c r="QB7" s="281" t="s">
        <v>8</v>
      </c>
      <c r="QC7" s="282" t="s">
        <v>17</v>
      </c>
      <c r="QD7" s="283" t="s">
        <v>2</v>
      </c>
      <c r="QE7" s="276" t="s">
        <v>18</v>
      </c>
      <c r="QF7" s="284" t="s">
        <v>15</v>
      </c>
      <c r="QG7" s="279"/>
      <c r="QH7" s="699"/>
      <c r="QK7" s="286" t="s">
        <v>7</v>
      </c>
      <c r="QL7" s="281" t="s">
        <v>8</v>
      </c>
      <c r="QM7" s="282" t="s">
        <v>17</v>
      </c>
      <c r="QN7" s="283" t="s">
        <v>37</v>
      </c>
      <c r="QO7" s="276" t="s">
        <v>18</v>
      </c>
      <c r="QP7" s="284" t="s">
        <v>15</v>
      </c>
      <c r="QQ7" s="279"/>
      <c r="QR7" s="699"/>
      <c r="QU7" s="286" t="s">
        <v>7</v>
      </c>
      <c r="QV7" s="281" t="s">
        <v>8</v>
      </c>
      <c r="QW7" s="282" t="s">
        <v>17</v>
      </c>
      <c r="QX7" s="283" t="s">
        <v>37</v>
      </c>
      <c r="QY7" s="276" t="s">
        <v>18</v>
      </c>
      <c r="QZ7" s="284" t="s">
        <v>15</v>
      </c>
      <c r="RA7" s="279"/>
      <c r="RB7" s="699"/>
      <c r="RE7" s="286" t="s">
        <v>7</v>
      </c>
      <c r="RF7" s="281" t="s">
        <v>8</v>
      </c>
      <c r="RG7" s="282" t="s">
        <v>17</v>
      </c>
      <c r="RH7" s="283" t="s">
        <v>2</v>
      </c>
      <c r="RI7" s="276" t="s">
        <v>18</v>
      </c>
      <c r="RJ7" s="284" t="s">
        <v>15</v>
      </c>
      <c r="RK7" s="279"/>
      <c r="RL7" s="699"/>
      <c r="RO7" s="286" t="s">
        <v>7</v>
      </c>
      <c r="RP7" s="281" t="s">
        <v>8</v>
      </c>
      <c r="RQ7" s="282" t="s">
        <v>17</v>
      </c>
      <c r="RR7" s="283" t="s">
        <v>2</v>
      </c>
      <c r="RS7" s="276" t="s">
        <v>18</v>
      </c>
      <c r="RT7" s="284" t="s">
        <v>15</v>
      </c>
      <c r="RU7" s="279"/>
      <c r="RV7" s="699"/>
      <c r="RY7" s="286" t="s">
        <v>7</v>
      </c>
      <c r="RZ7" s="281" t="s">
        <v>8</v>
      </c>
      <c r="SA7" s="282" t="s">
        <v>17</v>
      </c>
      <c r="SB7" s="283" t="s">
        <v>2</v>
      </c>
      <c r="SC7" s="276" t="s">
        <v>18</v>
      </c>
      <c r="SD7" s="284" t="s">
        <v>15</v>
      </c>
      <c r="SE7" s="279"/>
      <c r="SF7" s="699"/>
      <c r="SI7" s="286" t="s">
        <v>7</v>
      </c>
      <c r="SJ7" s="281" t="s">
        <v>8</v>
      </c>
      <c r="SK7" s="282" t="s">
        <v>17</v>
      </c>
      <c r="SL7" s="283" t="s">
        <v>2</v>
      </c>
      <c r="SM7" s="276" t="s">
        <v>18</v>
      </c>
      <c r="SN7" s="284" t="s">
        <v>15</v>
      </c>
      <c r="SO7" s="279"/>
      <c r="SP7" s="699"/>
      <c r="SS7" s="286" t="s">
        <v>7</v>
      </c>
      <c r="ST7" s="281" t="s">
        <v>8</v>
      </c>
      <c r="SU7" s="282" t="s">
        <v>17</v>
      </c>
      <c r="SV7" s="283" t="s">
        <v>2</v>
      </c>
      <c r="SW7" s="276" t="s">
        <v>18</v>
      </c>
      <c r="SX7" s="284" t="s">
        <v>15</v>
      </c>
      <c r="SY7" s="279"/>
      <c r="SZ7" s="699"/>
      <c r="TC7" s="286" t="s">
        <v>7</v>
      </c>
      <c r="TD7" s="281" t="s">
        <v>8</v>
      </c>
      <c r="TE7" s="282" t="s">
        <v>17</v>
      </c>
      <c r="TF7" s="283" t="s">
        <v>2</v>
      </c>
      <c r="TG7" s="276" t="s">
        <v>18</v>
      </c>
      <c r="TH7" s="284" t="s">
        <v>15</v>
      </c>
      <c r="TI7" s="279"/>
      <c r="TJ7" s="699"/>
      <c r="TM7" s="286" t="s">
        <v>7</v>
      </c>
      <c r="TN7" s="281" t="s">
        <v>8</v>
      </c>
      <c r="TO7" s="282" t="s">
        <v>17</v>
      </c>
      <c r="TP7" s="283" t="s">
        <v>2</v>
      </c>
      <c r="TQ7" s="276" t="s">
        <v>18</v>
      </c>
      <c r="TR7" s="284" t="s">
        <v>15</v>
      </c>
      <c r="TS7" s="279"/>
      <c r="TT7" s="699"/>
      <c r="TW7" s="286" t="s">
        <v>7</v>
      </c>
      <c r="TX7" s="281" t="s">
        <v>8</v>
      </c>
      <c r="TY7" s="282" t="s">
        <v>17</v>
      </c>
      <c r="TZ7" s="283" t="s">
        <v>2</v>
      </c>
      <c r="UA7" s="276" t="s">
        <v>18</v>
      </c>
      <c r="UB7" s="284" t="s">
        <v>15</v>
      </c>
      <c r="UC7" s="279"/>
      <c r="UF7" s="286" t="s">
        <v>7</v>
      </c>
      <c r="UG7" s="281" t="s">
        <v>8</v>
      </c>
      <c r="UH7" s="282" t="s">
        <v>17</v>
      </c>
      <c r="UI7" s="283" t="s">
        <v>2</v>
      </c>
      <c r="UJ7" s="276" t="s">
        <v>18</v>
      </c>
      <c r="UK7" s="284" t="s">
        <v>15</v>
      </c>
      <c r="UL7" s="279"/>
      <c r="UO7" s="286" t="s">
        <v>7</v>
      </c>
      <c r="UP7" s="281" t="s">
        <v>8</v>
      </c>
      <c r="UQ7" s="282" t="s">
        <v>17</v>
      </c>
      <c r="UR7" s="283" t="s">
        <v>2</v>
      </c>
      <c r="US7" s="276" t="s">
        <v>18</v>
      </c>
      <c r="UT7" s="284" t="s">
        <v>15</v>
      </c>
      <c r="UU7" s="279"/>
      <c r="UX7" s="286" t="s">
        <v>7</v>
      </c>
      <c r="UY7" s="281" t="s">
        <v>8</v>
      </c>
      <c r="UZ7" s="282" t="s">
        <v>17</v>
      </c>
      <c r="VA7" s="283" t="s">
        <v>2</v>
      </c>
      <c r="VB7" s="276" t="s">
        <v>18</v>
      </c>
      <c r="VC7" s="284" t="s">
        <v>15</v>
      </c>
      <c r="VD7" s="279"/>
      <c r="VG7" s="286" t="s">
        <v>7</v>
      </c>
      <c r="VH7" s="281" t="s">
        <v>8</v>
      </c>
      <c r="VI7" s="282" t="s">
        <v>17</v>
      </c>
      <c r="VJ7" s="283" t="s">
        <v>2</v>
      </c>
      <c r="VK7" s="276" t="s">
        <v>18</v>
      </c>
      <c r="VL7" s="284" t="s">
        <v>15</v>
      </c>
      <c r="VM7" s="279"/>
      <c r="VP7" s="286" t="s">
        <v>7</v>
      </c>
      <c r="VQ7" s="281" t="s">
        <v>8</v>
      </c>
      <c r="VR7" s="282" t="s">
        <v>17</v>
      </c>
      <c r="VS7" s="283" t="s">
        <v>2</v>
      </c>
      <c r="VT7" s="276" t="s">
        <v>18</v>
      </c>
      <c r="VU7" s="284" t="s">
        <v>15</v>
      </c>
      <c r="VV7" s="279"/>
      <c r="VY7" s="286" t="s">
        <v>7</v>
      </c>
      <c r="VZ7" s="281" t="s">
        <v>8</v>
      </c>
      <c r="WA7" s="282" t="s">
        <v>17</v>
      </c>
      <c r="WB7" s="283" t="s">
        <v>2</v>
      </c>
      <c r="WC7" s="276" t="s">
        <v>18</v>
      </c>
      <c r="WD7" s="284" t="s">
        <v>15</v>
      </c>
      <c r="WE7" s="279"/>
      <c r="WH7" s="286" t="s">
        <v>7</v>
      </c>
      <c r="WI7" s="281" t="s">
        <v>8</v>
      </c>
      <c r="WJ7" s="282" t="s">
        <v>17</v>
      </c>
      <c r="WK7" s="283" t="s">
        <v>2</v>
      </c>
      <c r="WL7" s="276" t="s">
        <v>18</v>
      </c>
      <c r="WM7" s="284" t="s">
        <v>15</v>
      </c>
      <c r="WN7" s="279"/>
      <c r="WQ7" s="286" t="s">
        <v>7</v>
      </c>
      <c r="WR7" s="281" t="s">
        <v>8</v>
      </c>
      <c r="WS7" s="282" t="s">
        <v>17</v>
      </c>
      <c r="WT7" s="283" t="s">
        <v>2</v>
      </c>
      <c r="WU7" s="276" t="s">
        <v>18</v>
      </c>
      <c r="WV7" s="284" t="s">
        <v>15</v>
      </c>
      <c r="WW7" s="279"/>
      <c r="WZ7" s="286" t="s">
        <v>7</v>
      </c>
      <c r="XA7" s="281" t="s">
        <v>8</v>
      </c>
      <c r="XB7" s="282" t="s">
        <v>17</v>
      </c>
      <c r="XC7" s="283" t="s">
        <v>2</v>
      </c>
      <c r="XD7" s="276" t="s">
        <v>18</v>
      </c>
      <c r="XE7" s="284" t="s">
        <v>15</v>
      </c>
      <c r="XF7" s="279"/>
      <c r="XI7" s="286" t="s">
        <v>7</v>
      </c>
      <c r="XJ7" s="281" t="s">
        <v>8</v>
      </c>
      <c r="XK7" s="282" t="s">
        <v>17</v>
      </c>
      <c r="XL7" s="283" t="s">
        <v>2</v>
      </c>
      <c r="XM7" s="276" t="s">
        <v>18</v>
      </c>
      <c r="XN7" s="284" t="s">
        <v>15</v>
      </c>
      <c r="XO7" s="279"/>
      <c r="XR7" s="286" t="s">
        <v>7</v>
      </c>
      <c r="XS7" s="281" t="s">
        <v>8</v>
      </c>
      <c r="XT7" s="282" t="s">
        <v>17</v>
      </c>
      <c r="XU7" s="283" t="s">
        <v>2</v>
      </c>
      <c r="XV7" s="276" t="s">
        <v>18</v>
      </c>
      <c r="XW7" s="284" t="s">
        <v>15</v>
      </c>
      <c r="XX7" s="279"/>
      <c r="YA7" s="286" t="s">
        <v>7</v>
      </c>
      <c r="YB7" s="281" t="s">
        <v>8</v>
      </c>
      <c r="YC7" s="282" t="s">
        <v>17</v>
      </c>
      <c r="YD7" s="283" t="s">
        <v>2</v>
      </c>
      <c r="YE7" s="276" t="s">
        <v>18</v>
      </c>
      <c r="YF7" s="284" t="s">
        <v>15</v>
      </c>
      <c r="YG7" s="279"/>
      <c r="YJ7" s="286" t="s">
        <v>7</v>
      </c>
      <c r="YK7" s="281" t="s">
        <v>8</v>
      </c>
      <c r="YL7" s="282" t="s">
        <v>17</v>
      </c>
      <c r="YM7" s="283" t="s">
        <v>2</v>
      </c>
      <c r="YN7" s="276" t="s">
        <v>18</v>
      </c>
      <c r="YO7" s="284" t="s">
        <v>15</v>
      </c>
      <c r="YP7" s="279"/>
      <c r="YS7" s="286" t="s">
        <v>7</v>
      </c>
      <c r="YT7" s="281" t="s">
        <v>8</v>
      </c>
      <c r="YU7" s="282" t="s">
        <v>17</v>
      </c>
      <c r="YV7" s="283" t="s">
        <v>2</v>
      </c>
      <c r="YW7" s="276" t="s">
        <v>18</v>
      </c>
      <c r="YX7" s="284" t="s">
        <v>15</v>
      </c>
      <c r="YY7" s="279"/>
      <c r="ZB7" s="286" t="s">
        <v>7</v>
      </c>
      <c r="ZC7" s="281" t="s">
        <v>8</v>
      </c>
      <c r="ZD7" s="282" t="s">
        <v>17</v>
      </c>
      <c r="ZE7" s="283" t="s">
        <v>2</v>
      </c>
      <c r="ZF7" s="276" t="s">
        <v>18</v>
      </c>
      <c r="ZG7" s="284" t="s">
        <v>15</v>
      </c>
      <c r="ZH7" s="279"/>
      <c r="ZK7" s="286" t="s">
        <v>7</v>
      </c>
      <c r="ZL7" s="281" t="s">
        <v>8</v>
      </c>
      <c r="ZM7" s="282" t="s">
        <v>17</v>
      </c>
      <c r="ZN7" s="283" t="s">
        <v>2</v>
      </c>
      <c r="ZO7" s="276" t="s">
        <v>18</v>
      </c>
      <c r="ZP7" s="284" t="s">
        <v>15</v>
      </c>
      <c r="ZQ7" s="279"/>
      <c r="ZT7" s="286" t="s">
        <v>7</v>
      </c>
      <c r="ZU7" s="281" t="s">
        <v>8</v>
      </c>
      <c r="ZV7" s="282" t="s">
        <v>17</v>
      </c>
      <c r="ZW7" s="283" t="s">
        <v>2</v>
      </c>
      <c r="ZX7" s="276" t="s">
        <v>18</v>
      </c>
      <c r="ZY7" s="284" t="s">
        <v>15</v>
      </c>
      <c r="ZZ7" s="279"/>
      <c r="AAC7" s="286" t="s">
        <v>7</v>
      </c>
      <c r="AAD7" s="281" t="s">
        <v>8</v>
      </c>
      <c r="AAE7" s="282" t="s">
        <v>17</v>
      </c>
      <c r="AAF7" s="283" t="s">
        <v>2</v>
      </c>
      <c r="AAG7" s="276" t="s">
        <v>18</v>
      </c>
      <c r="AAH7" s="284" t="s">
        <v>15</v>
      </c>
      <c r="AAI7" s="279"/>
      <c r="AAL7" s="286" t="s">
        <v>7</v>
      </c>
      <c r="AAM7" s="281" t="s">
        <v>8</v>
      </c>
      <c r="AAN7" s="282" t="s">
        <v>17</v>
      </c>
      <c r="AAO7" s="283" t="s">
        <v>2</v>
      </c>
      <c r="AAP7" s="276" t="s">
        <v>18</v>
      </c>
      <c r="AAQ7" s="284" t="s">
        <v>15</v>
      </c>
      <c r="AAR7" s="279"/>
      <c r="AAU7" s="286" t="s">
        <v>7</v>
      </c>
      <c r="AAV7" s="281" t="s">
        <v>8</v>
      </c>
      <c r="AAW7" s="282" t="s">
        <v>17</v>
      </c>
      <c r="AAX7" s="283" t="s">
        <v>2</v>
      </c>
      <c r="AAY7" s="276" t="s">
        <v>18</v>
      </c>
      <c r="AAZ7" s="284" t="s">
        <v>15</v>
      </c>
      <c r="ABA7" s="279"/>
      <c r="ABD7" s="286" t="s">
        <v>7</v>
      </c>
      <c r="ABE7" s="281" t="s">
        <v>8</v>
      </c>
      <c r="ABF7" s="282" t="s">
        <v>17</v>
      </c>
      <c r="ABG7" s="283" t="s">
        <v>2</v>
      </c>
      <c r="ABH7" s="276" t="s">
        <v>18</v>
      </c>
      <c r="ABI7" s="284" t="s">
        <v>15</v>
      </c>
      <c r="ABJ7" s="279"/>
      <c r="ABM7" s="286" t="s">
        <v>7</v>
      </c>
      <c r="ABN7" s="281" t="s">
        <v>8</v>
      </c>
      <c r="ABO7" s="282" t="s">
        <v>17</v>
      </c>
      <c r="ABP7" s="283" t="s">
        <v>2</v>
      </c>
      <c r="ABQ7" s="276" t="s">
        <v>18</v>
      </c>
      <c r="ABR7" s="284" t="s">
        <v>15</v>
      </c>
      <c r="ABS7" s="279"/>
      <c r="ABV7" s="286" t="s">
        <v>7</v>
      </c>
      <c r="ABW7" s="281" t="s">
        <v>8</v>
      </c>
      <c r="ABX7" s="282" t="s">
        <v>17</v>
      </c>
      <c r="ABY7" s="283" t="s">
        <v>2</v>
      </c>
      <c r="ABZ7" s="276" t="s">
        <v>18</v>
      </c>
      <c r="ACA7" s="284" t="s">
        <v>15</v>
      </c>
      <c r="ACB7" s="279"/>
      <c r="ACE7" s="286" t="s">
        <v>7</v>
      </c>
      <c r="ACF7" s="281" t="s">
        <v>8</v>
      </c>
      <c r="ACG7" s="282" t="s">
        <v>17</v>
      </c>
      <c r="ACH7" s="283" t="s">
        <v>2</v>
      </c>
      <c r="ACI7" s="276" t="s">
        <v>18</v>
      </c>
      <c r="ACJ7" s="284" t="s">
        <v>15</v>
      </c>
      <c r="ACK7" s="279"/>
      <c r="ACN7" s="286" t="s">
        <v>7</v>
      </c>
      <c r="ACO7" s="281" t="s">
        <v>8</v>
      </c>
      <c r="ACP7" s="282" t="s">
        <v>17</v>
      </c>
      <c r="ACQ7" s="283" t="s">
        <v>2</v>
      </c>
      <c r="ACR7" s="276" t="s">
        <v>18</v>
      </c>
      <c r="ACS7" s="284" t="s">
        <v>15</v>
      </c>
      <c r="ACT7" s="279"/>
      <c r="ACW7" s="286" t="s">
        <v>7</v>
      </c>
      <c r="ACX7" s="281" t="s">
        <v>8</v>
      </c>
      <c r="ACY7" s="282" t="s">
        <v>17</v>
      </c>
      <c r="ACZ7" s="283" t="s">
        <v>2</v>
      </c>
      <c r="ADA7" s="276" t="s">
        <v>18</v>
      </c>
      <c r="ADB7" s="284" t="s">
        <v>15</v>
      </c>
      <c r="ADC7" s="279"/>
      <c r="ADF7" s="286" t="s">
        <v>7</v>
      </c>
      <c r="ADG7" s="281" t="s">
        <v>8</v>
      </c>
      <c r="ADH7" s="282" t="s">
        <v>17</v>
      </c>
      <c r="ADI7" s="283" t="s">
        <v>2</v>
      </c>
      <c r="ADJ7" s="276" t="s">
        <v>18</v>
      </c>
      <c r="ADK7" s="284" t="s">
        <v>15</v>
      </c>
      <c r="ADL7" s="279"/>
      <c r="ADO7" s="286" t="s">
        <v>7</v>
      </c>
      <c r="ADP7" s="281" t="s">
        <v>8</v>
      </c>
      <c r="ADQ7" s="282" t="s">
        <v>17</v>
      </c>
      <c r="ADR7" s="283" t="s">
        <v>2</v>
      </c>
      <c r="ADS7" s="276" t="s">
        <v>18</v>
      </c>
      <c r="ADT7" s="284" t="s">
        <v>15</v>
      </c>
      <c r="ADU7" s="279"/>
      <c r="ADX7" s="286" t="s">
        <v>7</v>
      </c>
      <c r="ADY7" s="281" t="s">
        <v>8</v>
      </c>
      <c r="ADZ7" s="282" t="s">
        <v>17</v>
      </c>
      <c r="AEA7" s="283" t="s">
        <v>2</v>
      </c>
      <c r="AEB7" s="276" t="s">
        <v>18</v>
      </c>
      <c r="AEC7" s="284" t="s">
        <v>15</v>
      </c>
      <c r="AED7" s="279"/>
      <c r="AEG7" s="286" t="s">
        <v>7</v>
      </c>
      <c r="AEH7" s="281" t="s">
        <v>8</v>
      </c>
      <c r="AEI7" s="282" t="s">
        <v>17</v>
      </c>
      <c r="AEJ7" s="283" t="s">
        <v>2</v>
      </c>
      <c r="AEK7" s="276" t="s">
        <v>18</v>
      </c>
      <c r="AEL7" s="284" t="s">
        <v>15</v>
      </c>
      <c r="AEM7" s="279"/>
      <c r="AEP7" s="286" t="s">
        <v>7</v>
      </c>
      <c r="AEQ7" s="281" t="s">
        <v>8</v>
      </c>
      <c r="AER7" s="282" t="s">
        <v>17</v>
      </c>
      <c r="AES7" s="283" t="s">
        <v>2</v>
      </c>
      <c r="AET7" s="276" t="s">
        <v>18</v>
      </c>
      <c r="AEU7" s="284" t="s">
        <v>15</v>
      </c>
      <c r="AEV7" s="279"/>
      <c r="AEY7" s="286" t="s">
        <v>7</v>
      </c>
      <c r="AEZ7" s="281" t="s">
        <v>8</v>
      </c>
      <c r="AFA7" s="282" t="s">
        <v>17</v>
      </c>
      <c r="AFB7" s="283" t="s">
        <v>2</v>
      </c>
      <c r="AFC7" s="276" t="s">
        <v>18</v>
      </c>
      <c r="AFD7" s="284" t="s">
        <v>15</v>
      </c>
      <c r="AFE7" s="279"/>
    </row>
    <row r="8" spans="1:837" ht="16.5" thickTop="1" x14ac:dyDescent="0.25">
      <c r="A8" s="137">
        <v>5</v>
      </c>
      <c r="B8" s="75" t="str">
        <f>AY5</f>
        <v>SEABOARD FOODS</v>
      </c>
      <c r="C8" s="75" t="str">
        <f t="shared" ref="C8:I8" si="4">AZ5</f>
        <v>Seaboard</v>
      </c>
      <c r="D8" s="102" t="str">
        <f t="shared" si="4"/>
        <v>PED. 90509378</v>
      </c>
      <c r="E8" s="135">
        <f t="shared" si="4"/>
        <v>44897</v>
      </c>
      <c r="F8" s="86">
        <f t="shared" si="4"/>
        <v>18054.09</v>
      </c>
      <c r="G8" s="73">
        <f t="shared" si="4"/>
        <v>20</v>
      </c>
      <c r="H8" s="48">
        <f t="shared" si="4"/>
        <v>18007.599999999999</v>
      </c>
      <c r="I8" s="105">
        <f t="shared" si="4"/>
        <v>46.490000000001601</v>
      </c>
      <c r="K8" s="61"/>
      <c r="L8" s="106"/>
      <c r="M8" s="15">
        <v>1</v>
      </c>
      <c r="N8" s="92">
        <v>889</v>
      </c>
      <c r="O8" s="252">
        <v>44895</v>
      </c>
      <c r="P8" s="92">
        <v>889</v>
      </c>
      <c r="Q8" s="70" t="s">
        <v>582</v>
      </c>
      <c r="R8" s="71">
        <v>51</v>
      </c>
      <c r="S8" s="393">
        <f>R8*P8</f>
        <v>45339</v>
      </c>
      <c r="U8" s="61"/>
      <c r="V8" s="106"/>
      <c r="W8" s="15">
        <v>1</v>
      </c>
      <c r="X8" s="92">
        <v>868.2</v>
      </c>
      <c r="Y8" s="252">
        <v>44895</v>
      </c>
      <c r="Z8" s="694">
        <v>868.2</v>
      </c>
      <c r="AA8" s="695" t="s">
        <v>580</v>
      </c>
      <c r="AB8" s="696">
        <v>51</v>
      </c>
      <c r="AC8" s="393">
        <f>AB8*Z8</f>
        <v>44278.200000000004</v>
      </c>
      <c r="AE8" s="61"/>
      <c r="AF8" s="106"/>
      <c r="AG8" s="15">
        <v>1</v>
      </c>
      <c r="AH8" s="92">
        <v>932.13</v>
      </c>
      <c r="AI8" s="244">
        <v>44896</v>
      </c>
      <c r="AJ8" s="92">
        <v>932.13</v>
      </c>
      <c r="AK8" s="95" t="s">
        <v>587</v>
      </c>
      <c r="AL8" s="71">
        <v>51</v>
      </c>
      <c r="AM8" s="393">
        <f>AL8*AJ8</f>
        <v>47538.63</v>
      </c>
      <c r="AO8" s="61"/>
      <c r="AP8" s="106"/>
      <c r="AQ8" s="15">
        <v>1</v>
      </c>
      <c r="AR8" s="92">
        <v>880</v>
      </c>
      <c r="AS8" s="244">
        <v>44897</v>
      </c>
      <c r="AT8" s="92">
        <v>880</v>
      </c>
      <c r="AU8" s="95" t="s">
        <v>600</v>
      </c>
      <c r="AV8" s="71">
        <v>51</v>
      </c>
      <c r="AW8" s="393">
        <f>AV8*AT8</f>
        <v>44880</v>
      </c>
      <c r="AY8" s="61"/>
      <c r="AZ8" s="106"/>
      <c r="BA8" s="15">
        <v>1</v>
      </c>
      <c r="BB8" s="92">
        <v>890.9</v>
      </c>
      <c r="BC8" s="244">
        <v>44897</v>
      </c>
      <c r="BD8" s="92">
        <v>890.9</v>
      </c>
      <c r="BE8" s="95" t="s">
        <v>598</v>
      </c>
      <c r="BF8" s="71">
        <v>51</v>
      </c>
      <c r="BG8" s="393">
        <f>BF8*BD8</f>
        <v>45435.9</v>
      </c>
      <c r="BI8" s="61"/>
      <c r="BJ8" s="106"/>
      <c r="BK8" s="15">
        <v>1</v>
      </c>
      <c r="BL8" s="92">
        <v>936.66</v>
      </c>
      <c r="BM8" s="135">
        <v>44898</v>
      </c>
      <c r="BN8" s="92">
        <v>936.66</v>
      </c>
      <c r="BO8" s="95" t="s">
        <v>602</v>
      </c>
      <c r="BP8" s="288">
        <v>51</v>
      </c>
      <c r="BQ8" s="481">
        <f>BP8*BN8</f>
        <v>47769.659999999996</v>
      </c>
      <c r="BR8" s="393"/>
      <c r="BS8" s="61"/>
      <c r="BT8" s="106"/>
      <c r="BU8" s="15">
        <v>1</v>
      </c>
      <c r="BV8" s="92">
        <v>567</v>
      </c>
      <c r="BW8" s="289">
        <v>44900</v>
      </c>
      <c r="BX8" s="92">
        <v>567</v>
      </c>
      <c r="BY8" s="577" t="s">
        <v>617</v>
      </c>
      <c r="BZ8" s="290">
        <v>58</v>
      </c>
      <c r="CA8" s="393">
        <f t="shared" ref="CA8:CA28" si="5">BZ8*BX8</f>
        <v>32886</v>
      </c>
      <c r="CC8" s="61"/>
      <c r="CD8" s="213"/>
      <c r="CE8" s="15">
        <v>1</v>
      </c>
      <c r="CF8" s="92">
        <v>938.9</v>
      </c>
      <c r="CG8" s="289">
        <v>44901</v>
      </c>
      <c r="CH8" s="92">
        <v>938.9</v>
      </c>
      <c r="CI8" s="291" t="s">
        <v>618</v>
      </c>
      <c r="CJ8" s="290">
        <v>51</v>
      </c>
      <c r="CK8" s="393">
        <f>CJ8*CH8</f>
        <v>47883.9</v>
      </c>
      <c r="CM8" s="61"/>
      <c r="CN8" s="94"/>
      <c r="CO8" s="15">
        <v>1</v>
      </c>
      <c r="CP8" s="92">
        <v>934.4</v>
      </c>
      <c r="CQ8" s="289">
        <v>44901</v>
      </c>
      <c r="CR8" s="92">
        <v>934.4</v>
      </c>
      <c r="CS8" s="291" t="s">
        <v>626</v>
      </c>
      <c r="CT8" s="290">
        <v>51</v>
      </c>
      <c r="CU8" s="398">
        <f>CT8*CR8</f>
        <v>47654.400000000001</v>
      </c>
      <c r="CW8" s="61"/>
      <c r="CX8" s="106"/>
      <c r="CY8" s="15">
        <v>1</v>
      </c>
      <c r="CZ8" s="92">
        <v>938.02</v>
      </c>
      <c r="DA8" s="244">
        <v>44902</v>
      </c>
      <c r="DB8" s="92">
        <v>938.02</v>
      </c>
      <c r="DC8" s="95" t="s">
        <v>633</v>
      </c>
      <c r="DD8" s="71">
        <v>51</v>
      </c>
      <c r="DE8" s="393">
        <f>DD8*DB8</f>
        <v>47839.02</v>
      </c>
      <c r="DG8" s="61"/>
      <c r="DH8" s="106"/>
      <c r="DI8" s="15">
        <v>1</v>
      </c>
      <c r="DJ8" s="694">
        <v>886.3</v>
      </c>
      <c r="DK8" s="720">
        <v>44903</v>
      </c>
      <c r="DL8" s="694">
        <v>886.3</v>
      </c>
      <c r="DM8" s="721" t="s">
        <v>648</v>
      </c>
      <c r="DN8" s="722">
        <v>51</v>
      </c>
      <c r="DO8" s="398">
        <f>DN8*DL8</f>
        <v>45201.299999999996</v>
      </c>
      <c r="DQ8" s="61"/>
      <c r="DR8" s="106"/>
      <c r="DS8" s="15">
        <v>1</v>
      </c>
      <c r="DT8" s="92">
        <v>891.76</v>
      </c>
      <c r="DU8" s="289">
        <v>44903</v>
      </c>
      <c r="DV8" s="92">
        <v>891.76</v>
      </c>
      <c r="DW8" s="291" t="s">
        <v>644</v>
      </c>
      <c r="DX8" s="290">
        <v>51</v>
      </c>
      <c r="DY8" s="393">
        <f>DX8*DV8</f>
        <v>45479.76</v>
      </c>
      <c r="EA8" s="61"/>
      <c r="EB8" s="106"/>
      <c r="EC8" s="15">
        <v>1</v>
      </c>
      <c r="ED8" s="92">
        <v>919</v>
      </c>
      <c r="EE8" s="252">
        <v>44904</v>
      </c>
      <c r="EF8" s="92">
        <v>919</v>
      </c>
      <c r="EG8" s="70" t="s">
        <v>661</v>
      </c>
      <c r="EH8" s="71">
        <v>51</v>
      </c>
      <c r="EI8" s="393">
        <f>EH8*EF8</f>
        <v>46869</v>
      </c>
      <c r="EK8" s="61"/>
      <c r="EL8" s="106"/>
      <c r="EM8" s="15">
        <v>1</v>
      </c>
      <c r="EN8" s="92">
        <v>933.5</v>
      </c>
      <c r="EO8" s="252">
        <v>44904</v>
      </c>
      <c r="EP8" s="92">
        <v>933.5</v>
      </c>
      <c r="EQ8" s="70" t="s">
        <v>659</v>
      </c>
      <c r="ER8" s="71">
        <v>51</v>
      </c>
      <c r="ES8" s="393">
        <f>ER8*EP8</f>
        <v>47608.5</v>
      </c>
      <c r="EU8" s="61"/>
      <c r="EV8" s="331"/>
      <c r="EW8" s="15">
        <v>1</v>
      </c>
      <c r="EX8" s="92">
        <v>868.2</v>
      </c>
      <c r="EY8" s="244">
        <v>44907</v>
      </c>
      <c r="EZ8" s="92">
        <v>868.2</v>
      </c>
      <c r="FA8" s="70" t="s">
        <v>682</v>
      </c>
      <c r="FB8" s="71">
        <v>51</v>
      </c>
      <c r="FC8" s="393">
        <f>FB8*EZ8</f>
        <v>44278.200000000004</v>
      </c>
      <c r="FE8" s="61"/>
      <c r="FF8" s="331"/>
      <c r="FG8" s="15">
        <v>1</v>
      </c>
      <c r="FH8" s="92">
        <v>881.8</v>
      </c>
      <c r="FI8" s="244">
        <v>44905</v>
      </c>
      <c r="FJ8" s="92">
        <v>881.8</v>
      </c>
      <c r="FK8" s="70" t="s">
        <v>678</v>
      </c>
      <c r="FL8" s="71">
        <v>51</v>
      </c>
      <c r="FM8" s="243">
        <f>FL8*FJ8</f>
        <v>44971.799999999996</v>
      </c>
      <c r="FO8" s="61"/>
      <c r="FP8" s="106"/>
      <c r="FQ8" s="15">
        <v>1</v>
      </c>
      <c r="FR8" s="92">
        <v>944.37</v>
      </c>
      <c r="FS8" s="244">
        <v>44905</v>
      </c>
      <c r="FT8" s="92">
        <v>944.37</v>
      </c>
      <c r="FU8" s="70" t="s">
        <v>674</v>
      </c>
      <c r="FV8" s="71">
        <v>51</v>
      </c>
      <c r="FW8" s="393">
        <f>FV8*FT8</f>
        <v>48162.87</v>
      </c>
      <c r="FY8" s="61"/>
      <c r="FZ8" s="106"/>
      <c r="GA8" s="15">
        <v>1</v>
      </c>
      <c r="GB8" s="92">
        <v>900.8</v>
      </c>
      <c r="GC8" s="252">
        <v>44908</v>
      </c>
      <c r="GD8" s="92">
        <v>900.8</v>
      </c>
      <c r="GE8" s="70" t="s">
        <v>689</v>
      </c>
      <c r="GF8" s="71">
        <v>49</v>
      </c>
      <c r="GG8" s="243">
        <f>GF8*GD8</f>
        <v>44139.199999999997</v>
      </c>
      <c r="GI8" s="61"/>
      <c r="GJ8" s="106"/>
      <c r="GK8" s="15">
        <v>1</v>
      </c>
      <c r="GL8" s="351">
        <v>889.9</v>
      </c>
      <c r="GM8" s="244">
        <v>44908</v>
      </c>
      <c r="GN8" s="351">
        <v>889.9</v>
      </c>
      <c r="GO8" s="95" t="s">
        <v>696</v>
      </c>
      <c r="GP8" s="71">
        <v>49</v>
      </c>
      <c r="GQ8" s="393">
        <f>GP8*GN8</f>
        <v>43605.1</v>
      </c>
      <c r="GS8" s="61"/>
      <c r="GT8" s="106"/>
      <c r="GU8" s="15">
        <v>1</v>
      </c>
      <c r="GV8" s="92">
        <v>889.9</v>
      </c>
      <c r="GW8" s="244">
        <v>44908</v>
      </c>
      <c r="GX8" s="92">
        <v>889.9</v>
      </c>
      <c r="GY8" s="95" t="s">
        <v>694</v>
      </c>
      <c r="GZ8" s="71">
        <v>49</v>
      </c>
      <c r="HA8" s="393">
        <f>GZ8*GX8</f>
        <v>43605.1</v>
      </c>
      <c r="HC8" s="61"/>
      <c r="HD8" s="106"/>
      <c r="HE8" s="15">
        <v>1</v>
      </c>
      <c r="HF8" s="92">
        <v>936.21</v>
      </c>
      <c r="HG8" s="244">
        <v>44909</v>
      </c>
      <c r="HH8" s="92">
        <v>936.21</v>
      </c>
      <c r="HI8" s="95" t="s">
        <v>705</v>
      </c>
      <c r="HJ8" s="71">
        <v>49</v>
      </c>
      <c r="HK8" s="393">
        <f>HJ8*HH8</f>
        <v>45874.29</v>
      </c>
      <c r="HM8" s="61"/>
      <c r="HN8" s="106"/>
      <c r="HO8" s="15">
        <v>1</v>
      </c>
      <c r="HP8" s="92">
        <v>895.39</v>
      </c>
      <c r="HQ8" s="244">
        <v>44909</v>
      </c>
      <c r="HR8" s="92">
        <v>895.39</v>
      </c>
      <c r="HS8" s="292" t="s">
        <v>699</v>
      </c>
      <c r="HT8" s="71">
        <v>49</v>
      </c>
      <c r="HU8" s="393">
        <f>HT8*HR8</f>
        <v>43874.11</v>
      </c>
      <c r="HW8" s="61"/>
      <c r="HX8" s="106"/>
      <c r="HY8" s="15">
        <v>1</v>
      </c>
      <c r="HZ8" s="92">
        <v>940.75</v>
      </c>
      <c r="IA8" s="252">
        <v>44910</v>
      </c>
      <c r="IB8" s="92">
        <v>940.75</v>
      </c>
      <c r="IC8" s="70" t="s">
        <v>718</v>
      </c>
      <c r="ID8" s="71">
        <v>49</v>
      </c>
      <c r="IE8" s="393">
        <f t="shared" ref="IE8:IE28" si="6">ID8*IB8</f>
        <v>46096.75</v>
      </c>
      <c r="IG8" s="61"/>
      <c r="IH8" s="106"/>
      <c r="II8" s="15">
        <v>1</v>
      </c>
      <c r="IJ8" s="92">
        <v>940.7</v>
      </c>
      <c r="IK8" s="252">
        <v>44910</v>
      </c>
      <c r="IL8" s="69">
        <v>940.7</v>
      </c>
      <c r="IM8" s="70" t="s">
        <v>716</v>
      </c>
      <c r="IN8" s="71">
        <v>49</v>
      </c>
      <c r="IO8" s="393">
        <f>IN8*IL8</f>
        <v>46094.3</v>
      </c>
      <c r="IQ8" s="486"/>
      <c r="IR8" s="106"/>
      <c r="IS8" s="15">
        <v>1</v>
      </c>
      <c r="IT8" s="92">
        <v>893.6</v>
      </c>
      <c r="IU8" s="135">
        <v>44911</v>
      </c>
      <c r="IV8" s="92">
        <v>893.6</v>
      </c>
      <c r="IW8" s="363" t="s">
        <v>730</v>
      </c>
      <c r="IX8" s="71">
        <v>47</v>
      </c>
      <c r="IY8" s="243">
        <f>IX8*IV8</f>
        <v>41999.200000000004</v>
      </c>
      <c r="IZ8" s="92"/>
      <c r="JA8" s="61"/>
      <c r="JB8" s="106"/>
      <c r="JC8" s="15">
        <v>1</v>
      </c>
      <c r="JD8" s="92">
        <v>922.6</v>
      </c>
      <c r="JE8" s="252">
        <v>44911</v>
      </c>
      <c r="JF8" s="92">
        <v>922.6</v>
      </c>
      <c r="JG8" s="70" t="s">
        <v>727</v>
      </c>
      <c r="JH8" s="71">
        <v>47</v>
      </c>
      <c r="JI8" s="393">
        <f>JH8*JF8</f>
        <v>43362.200000000004</v>
      </c>
      <c r="JJ8" s="69"/>
      <c r="JK8" s="61"/>
      <c r="JL8" s="293"/>
      <c r="JM8" s="15">
        <v>1</v>
      </c>
      <c r="JN8" s="92">
        <v>915.3</v>
      </c>
      <c r="JO8" s="244">
        <v>44912</v>
      </c>
      <c r="JP8" s="92">
        <v>915.3</v>
      </c>
      <c r="JQ8" s="70" t="s">
        <v>739</v>
      </c>
      <c r="JR8" s="71">
        <v>48</v>
      </c>
      <c r="JS8" s="393">
        <f>JR8*JP8</f>
        <v>43934.399999999994</v>
      </c>
      <c r="JU8" s="61"/>
      <c r="JV8" s="106"/>
      <c r="JW8" s="15">
        <v>1</v>
      </c>
      <c r="JX8" s="92">
        <v>910.8</v>
      </c>
      <c r="JY8" s="252">
        <v>44912</v>
      </c>
      <c r="JZ8" s="92">
        <v>910.8</v>
      </c>
      <c r="KA8" s="70" t="s">
        <v>746</v>
      </c>
      <c r="KB8" s="71">
        <v>48</v>
      </c>
      <c r="KC8" s="393">
        <f>KB8*JZ8</f>
        <v>43718.399999999994</v>
      </c>
      <c r="KE8" s="61"/>
      <c r="KF8" s="106"/>
      <c r="KG8" s="15">
        <v>1</v>
      </c>
      <c r="KH8" s="92">
        <v>887.2</v>
      </c>
      <c r="KI8" s="252">
        <v>44915</v>
      </c>
      <c r="KJ8" s="92">
        <v>887.2</v>
      </c>
      <c r="KK8" s="70" t="s">
        <v>756</v>
      </c>
      <c r="KL8" s="71">
        <v>49</v>
      </c>
      <c r="KM8" s="393">
        <f>KL8*KJ8</f>
        <v>43472.800000000003</v>
      </c>
      <c r="KO8" s="61"/>
      <c r="KP8" s="106"/>
      <c r="KQ8" s="15">
        <v>1</v>
      </c>
      <c r="KR8" s="92">
        <v>923.06</v>
      </c>
      <c r="KS8" s="252">
        <v>44915</v>
      </c>
      <c r="KT8" s="694">
        <v>923.06</v>
      </c>
      <c r="KU8" s="695" t="s">
        <v>757</v>
      </c>
      <c r="KV8" s="696">
        <v>49</v>
      </c>
      <c r="KW8" s="393">
        <f>KV8*KT8</f>
        <v>45229.939999999995</v>
      </c>
      <c r="KY8" s="61"/>
      <c r="KZ8" s="106"/>
      <c r="LA8" s="15">
        <v>1</v>
      </c>
      <c r="LB8" s="92">
        <v>894.5</v>
      </c>
      <c r="LC8" s="244">
        <v>44916</v>
      </c>
      <c r="LD8" s="92">
        <v>894.5</v>
      </c>
      <c r="LE8" s="95" t="s">
        <v>770</v>
      </c>
      <c r="LF8" s="71">
        <v>51</v>
      </c>
      <c r="LG8" s="393">
        <f>LF8*LD8</f>
        <v>45619.5</v>
      </c>
      <c r="LI8" s="61"/>
      <c r="LJ8" s="106"/>
      <c r="LK8" s="15">
        <v>1</v>
      </c>
      <c r="LL8" s="92">
        <v>938.93</v>
      </c>
      <c r="LM8" s="244">
        <v>44916</v>
      </c>
      <c r="LN8" s="92">
        <v>938.93</v>
      </c>
      <c r="LO8" s="95" t="s">
        <v>776</v>
      </c>
      <c r="LP8" s="71">
        <v>51</v>
      </c>
      <c r="LQ8" s="393">
        <f>LP8*LN8</f>
        <v>47885.43</v>
      </c>
      <c r="LS8" s="61"/>
      <c r="LT8" s="106"/>
      <c r="LU8" s="15">
        <v>1</v>
      </c>
      <c r="LV8" s="92">
        <v>896.3</v>
      </c>
      <c r="LW8" s="244">
        <v>44917</v>
      </c>
      <c r="LX8" s="92">
        <v>896.3</v>
      </c>
      <c r="LY8" s="95" t="s">
        <v>786</v>
      </c>
      <c r="LZ8" s="71">
        <v>53</v>
      </c>
      <c r="MA8" s="393">
        <f>LZ8*LX8</f>
        <v>47503.899999999994</v>
      </c>
      <c r="MB8" s="393"/>
      <c r="MC8" s="61"/>
      <c r="MD8" s="106"/>
      <c r="ME8" s="15">
        <v>1</v>
      </c>
      <c r="MF8" s="287">
        <v>894.5</v>
      </c>
      <c r="MG8" s="244">
        <v>44916</v>
      </c>
      <c r="MH8" s="287">
        <v>894.5</v>
      </c>
      <c r="MI8" s="95" t="s">
        <v>780</v>
      </c>
      <c r="MJ8" s="71">
        <v>51</v>
      </c>
      <c r="MK8" s="71">
        <f>MJ8*MH8</f>
        <v>45619.5</v>
      </c>
      <c r="MM8" s="61"/>
      <c r="MN8" s="106"/>
      <c r="MO8" s="15">
        <v>1</v>
      </c>
      <c r="MP8" s="92">
        <v>899.02</v>
      </c>
      <c r="MQ8" s="244">
        <v>44917</v>
      </c>
      <c r="MR8" s="92">
        <v>899.02</v>
      </c>
      <c r="MS8" s="95" t="s">
        <v>789</v>
      </c>
      <c r="MT8" s="71">
        <v>53</v>
      </c>
      <c r="MU8" s="71">
        <f>MT8*MR8</f>
        <v>47648.06</v>
      </c>
      <c r="MW8" s="61"/>
      <c r="MX8" s="106"/>
      <c r="MY8" s="15">
        <v>1</v>
      </c>
      <c r="MZ8" s="92">
        <v>938.9</v>
      </c>
      <c r="NA8" s="244">
        <v>44918</v>
      </c>
      <c r="NB8" s="92">
        <v>938.9</v>
      </c>
      <c r="NC8" s="95" t="s">
        <v>801</v>
      </c>
      <c r="ND8" s="71">
        <v>53</v>
      </c>
      <c r="NE8" s="71">
        <f>ND8*NB8</f>
        <v>49761.7</v>
      </c>
      <c r="NG8" s="61"/>
      <c r="NH8" s="106"/>
      <c r="NI8" s="15">
        <v>1</v>
      </c>
      <c r="NJ8" s="294">
        <v>897.2</v>
      </c>
      <c r="NK8" s="244">
        <v>44918</v>
      </c>
      <c r="NL8" s="294">
        <v>897.2</v>
      </c>
      <c r="NM8" s="95" t="s">
        <v>809</v>
      </c>
      <c r="NN8" s="71">
        <v>53</v>
      </c>
      <c r="NO8" s="71">
        <f>NN8*NL8</f>
        <v>47551.600000000006</v>
      </c>
      <c r="NQ8" s="61"/>
      <c r="NR8" s="106"/>
      <c r="NS8" s="15">
        <v>1</v>
      </c>
      <c r="NT8" s="92">
        <v>919.9</v>
      </c>
      <c r="NU8" s="244">
        <v>44918</v>
      </c>
      <c r="NV8" s="92">
        <v>919.9</v>
      </c>
      <c r="NW8" s="95" t="s">
        <v>819</v>
      </c>
      <c r="NX8" s="71">
        <v>53</v>
      </c>
      <c r="NY8" s="71">
        <f>NX8*NV8</f>
        <v>48754.7</v>
      </c>
      <c r="OA8" s="61"/>
      <c r="OB8" s="106"/>
      <c r="OC8" s="15">
        <v>1</v>
      </c>
      <c r="OD8" s="294">
        <v>922.6</v>
      </c>
      <c r="OE8" s="244">
        <v>44919</v>
      </c>
      <c r="OF8" s="294">
        <v>922.6</v>
      </c>
      <c r="OG8" s="95" t="s">
        <v>825</v>
      </c>
      <c r="OH8" s="71">
        <v>53</v>
      </c>
      <c r="OI8" s="71">
        <f>OH8*OF8</f>
        <v>48897.8</v>
      </c>
      <c r="OK8" s="61"/>
      <c r="OL8" s="106"/>
      <c r="OM8" s="15">
        <v>1</v>
      </c>
      <c r="ON8" s="92">
        <v>926.2</v>
      </c>
      <c r="OO8" s="244">
        <v>44919</v>
      </c>
      <c r="OP8" s="92">
        <v>926.2</v>
      </c>
      <c r="OQ8" s="95" t="s">
        <v>823</v>
      </c>
      <c r="OR8" s="71">
        <v>53</v>
      </c>
      <c r="OS8" s="71">
        <f>OR8*OP8</f>
        <v>49088.600000000006</v>
      </c>
      <c r="OU8" s="61"/>
      <c r="OV8" s="106"/>
      <c r="OW8" s="15">
        <v>1</v>
      </c>
      <c r="OX8" s="92">
        <v>891.8</v>
      </c>
      <c r="OY8" s="244">
        <v>44921</v>
      </c>
      <c r="OZ8" s="92">
        <v>891.8</v>
      </c>
      <c r="PA8" s="95" t="s">
        <v>830</v>
      </c>
      <c r="PB8" s="71">
        <v>53</v>
      </c>
      <c r="PC8" s="71">
        <f>PB8*OZ8</f>
        <v>47265.399999999994</v>
      </c>
      <c r="PE8" s="61"/>
      <c r="PF8" s="94"/>
      <c r="PG8" s="15">
        <v>1</v>
      </c>
      <c r="PH8" s="294">
        <v>879.5</v>
      </c>
      <c r="PI8" s="244">
        <v>44924</v>
      </c>
      <c r="PJ8" s="294">
        <v>879.5</v>
      </c>
      <c r="PK8" s="95" t="s">
        <v>806</v>
      </c>
      <c r="PL8" s="71">
        <v>53</v>
      </c>
      <c r="PM8" s="71">
        <f>PL8*PJ8</f>
        <v>46613.5</v>
      </c>
      <c r="PN8" s="71"/>
      <c r="PP8" s="61"/>
      <c r="PQ8" s="106"/>
      <c r="PR8" s="15">
        <v>1</v>
      </c>
      <c r="PS8" s="92">
        <v>911.7</v>
      </c>
      <c r="PT8" s="244">
        <v>44924</v>
      </c>
      <c r="PU8" s="92">
        <v>911.7</v>
      </c>
      <c r="PV8" s="95" t="s">
        <v>847</v>
      </c>
      <c r="PW8" s="71">
        <v>53</v>
      </c>
      <c r="PX8" s="71">
        <f>PW8*PU8</f>
        <v>48320.100000000006</v>
      </c>
      <c r="PZ8" s="61"/>
      <c r="QA8" s="106"/>
      <c r="QB8" s="15">
        <v>1</v>
      </c>
      <c r="QC8" s="92">
        <v>944.37</v>
      </c>
      <c r="QD8" s="135">
        <v>44924</v>
      </c>
      <c r="QE8" s="92">
        <v>944.37</v>
      </c>
      <c r="QF8" s="95" t="s">
        <v>844</v>
      </c>
      <c r="QG8" s="71">
        <v>53</v>
      </c>
      <c r="QH8" s="71">
        <f>QG8*QE8</f>
        <v>50051.61</v>
      </c>
      <c r="QJ8" s="61"/>
      <c r="QK8" s="106"/>
      <c r="QL8" s="15">
        <v>1</v>
      </c>
      <c r="QM8" s="92">
        <v>914.4</v>
      </c>
      <c r="QN8" s="244">
        <v>44925</v>
      </c>
      <c r="QO8" s="92">
        <v>914.4</v>
      </c>
      <c r="QP8" s="95" t="s">
        <v>856</v>
      </c>
      <c r="QQ8" s="71">
        <v>53</v>
      </c>
      <c r="QR8" s="71">
        <f>QQ8*QO8</f>
        <v>48463.199999999997</v>
      </c>
      <c r="QT8" s="61"/>
      <c r="QU8" s="106"/>
      <c r="QV8" s="15">
        <v>1</v>
      </c>
      <c r="QW8" s="92">
        <v>883.1</v>
      </c>
      <c r="QX8" s="244">
        <v>44926</v>
      </c>
      <c r="QY8" s="92">
        <v>883.1</v>
      </c>
      <c r="QZ8" s="95" t="s">
        <v>860</v>
      </c>
      <c r="RA8" s="71">
        <v>53</v>
      </c>
      <c r="RB8" s="71">
        <f>RA8*QY8</f>
        <v>46804.3</v>
      </c>
      <c r="RD8" s="61"/>
      <c r="RE8" s="106"/>
      <c r="RF8" s="15">
        <v>1</v>
      </c>
      <c r="RG8" s="92">
        <v>895.4</v>
      </c>
      <c r="RH8" s="244">
        <v>44930</v>
      </c>
      <c r="RI8" s="92">
        <v>895.4</v>
      </c>
      <c r="RJ8" s="95" t="s">
        <v>889</v>
      </c>
      <c r="RK8" s="71">
        <v>47</v>
      </c>
      <c r="RL8" s="71">
        <f>RK8*RI8</f>
        <v>42083.799999999996</v>
      </c>
      <c r="RN8" s="61"/>
      <c r="RO8" s="94"/>
      <c r="RP8" s="15">
        <v>1</v>
      </c>
      <c r="RQ8" s="92">
        <v>898.1</v>
      </c>
      <c r="RR8" s="244">
        <v>44930</v>
      </c>
      <c r="RS8" s="92">
        <v>898.1</v>
      </c>
      <c r="RT8" s="95" t="s">
        <v>885</v>
      </c>
      <c r="RU8" s="288">
        <v>49</v>
      </c>
      <c r="RV8" s="71">
        <f>RU8*RS8</f>
        <v>44006.9</v>
      </c>
      <c r="RY8" s="106"/>
      <c r="RZ8" s="15">
        <v>1</v>
      </c>
      <c r="SA8" s="92">
        <v>955.26</v>
      </c>
      <c r="SB8" s="135">
        <v>44931</v>
      </c>
      <c r="SC8" s="92">
        <v>955.26</v>
      </c>
      <c r="SD8" s="95" t="s">
        <v>892</v>
      </c>
      <c r="SE8" s="71">
        <v>47</v>
      </c>
      <c r="SF8" s="71">
        <f>SE8*SC8</f>
        <v>44897.22</v>
      </c>
      <c r="SI8" s="106"/>
      <c r="SJ8" s="15">
        <v>1</v>
      </c>
      <c r="SK8" s="92">
        <v>884.5</v>
      </c>
      <c r="SL8" s="244">
        <v>44932</v>
      </c>
      <c r="SM8" s="92">
        <v>884.5</v>
      </c>
      <c r="SN8" s="95" t="s">
        <v>904</v>
      </c>
      <c r="SO8" s="71">
        <v>47</v>
      </c>
      <c r="SP8" s="71">
        <f>SO8*SM8</f>
        <v>41571.5</v>
      </c>
      <c r="SS8" s="106"/>
      <c r="ST8" s="15">
        <v>1</v>
      </c>
      <c r="SU8" s="92">
        <v>887.2</v>
      </c>
      <c r="SV8" s="244">
        <v>44933</v>
      </c>
      <c r="SW8" s="92">
        <v>887.2</v>
      </c>
      <c r="SX8" s="95" t="s">
        <v>909</v>
      </c>
      <c r="SY8" s="71">
        <v>45</v>
      </c>
      <c r="SZ8" s="71">
        <f>SY8*SW8</f>
        <v>39924</v>
      </c>
      <c r="TC8" s="106"/>
      <c r="TD8" s="15">
        <v>1</v>
      </c>
      <c r="TE8" s="92">
        <v>866.4</v>
      </c>
      <c r="TF8" s="244">
        <v>44933</v>
      </c>
      <c r="TG8" s="92">
        <v>866.4</v>
      </c>
      <c r="TH8" s="95" t="s">
        <v>913</v>
      </c>
      <c r="TI8" s="71">
        <v>45</v>
      </c>
      <c r="TJ8" s="71">
        <f>TI8*TG8</f>
        <v>38988</v>
      </c>
      <c r="TM8" s="106"/>
      <c r="TN8" s="15">
        <v>1</v>
      </c>
      <c r="TO8" s="92"/>
      <c r="TP8" s="295"/>
      <c r="TQ8" s="168"/>
      <c r="TR8" s="291"/>
      <c r="TS8" s="290"/>
      <c r="TT8" s="290"/>
      <c r="TW8" s="106"/>
      <c r="TX8" s="15">
        <v>1</v>
      </c>
      <c r="TY8" s="92"/>
      <c r="TZ8" s="79"/>
      <c r="UA8" s="92"/>
      <c r="UB8" s="95"/>
      <c r="UC8" s="71"/>
      <c r="UF8" s="106"/>
      <c r="UG8" s="15">
        <v>1</v>
      </c>
      <c r="UH8" s="92"/>
      <c r="UI8" s="79"/>
      <c r="UJ8" s="92"/>
      <c r="UK8" s="95"/>
      <c r="UL8" s="71"/>
      <c r="UO8" s="106"/>
      <c r="UP8" s="15">
        <v>1</v>
      </c>
      <c r="UQ8" s="92"/>
      <c r="UR8" s="79"/>
      <c r="US8" s="92"/>
      <c r="UT8" s="95"/>
      <c r="UU8" s="71"/>
      <c r="UX8" s="106"/>
      <c r="UY8" s="15">
        <v>1</v>
      </c>
      <c r="UZ8" s="92"/>
      <c r="VA8" s="79"/>
      <c r="VB8" s="92"/>
      <c r="VC8" s="95"/>
      <c r="VD8" s="71"/>
      <c r="VG8" s="106"/>
      <c r="VH8" s="15">
        <v>1</v>
      </c>
      <c r="VI8" s="92"/>
      <c r="VJ8" s="79"/>
      <c r="VK8" s="92"/>
      <c r="VL8" s="95"/>
      <c r="VM8" s="71"/>
      <c r="VO8" s="61" t="s">
        <v>32</v>
      </c>
      <c r="VP8" s="106"/>
      <c r="VQ8" s="15">
        <v>1</v>
      </c>
      <c r="VR8" s="92"/>
      <c r="VS8" s="79"/>
      <c r="VT8" s="92"/>
      <c r="VU8" s="95"/>
      <c r="VV8" s="71"/>
      <c r="VX8" s="61" t="s">
        <v>32</v>
      </c>
      <c r="VY8" s="106"/>
      <c r="VZ8" s="15">
        <v>1</v>
      </c>
      <c r="WA8" s="92"/>
      <c r="WB8" s="79"/>
      <c r="WC8" s="92"/>
      <c r="WD8" s="95"/>
      <c r="WE8" s="71"/>
      <c r="WG8" s="61" t="s">
        <v>32</v>
      </c>
      <c r="WH8" s="106"/>
      <c r="WI8" s="15">
        <v>1</v>
      </c>
      <c r="WJ8" s="92"/>
      <c r="WK8" s="79"/>
      <c r="WL8" s="92"/>
      <c r="WM8" s="95"/>
      <c r="WN8" s="71"/>
      <c r="WP8" s="61" t="s">
        <v>32</v>
      </c>
      <c r="WQ8" s="106"/>
      <c r="WR8" s="15">
        <v>1</v>
      </c>
      <c r="WS8" s="92"/>
      <c r="WT8" s="79"/>
      <c r="WU8" s="92"/>
      <c r="WV8" s="95"/>
      <c r="WW8" s="71"/>
      <c r="WY8" s="61" t="s">
        <v>32</v>
      </c>
      <c r="WZ8" s="106"/>
      <c r="XA8" s="15">
        <v>1</v>
      </c>
      <c r="XB8" s="92"/>
      <c r="XC8" s="79"/>
      <c r="XD8" s="92"/>
      <c r="XE8" s="95"/>
      <c r="XF8" s="71"/>
      <c r="XH8" s="61" t="s">
        <v>32</v>
      </c>
      <c r="XI8" s="106"/>
      <c r="XJ8" s="15">
        <v>1</v>
      </c>
      <c r="XK8" s="92"/>
      <c r="XL8" s="79"/>
      <c r="XM8" s="92"/>
      <c r="XN8" s="95"/>
      <c r="XO8" s="71"/>
      <c r="XQ8" s="61" t="s">
        <v>32</v>
      </c>
      <c r="XR8" s="106"/>
      <c r="XS8" s="15">
        <v>1</v>
      </c>
      <c r="XT8" s="92"/>
      <c r="XU8" s="79"/>
      <c r="XV8" s="92"/>
      <c r="XW8" s="95"/>
      <c r="XX8" s="71"/>
      <c r="XZ8" s="61" t="s">
        <v>32</v>
      </c>
      <c r="YA8" s="106"/>
      <c r="YB8" s="15">
        <v>1</v>
      </c>
      <c r="YC8" s="92"/>
      <c r="YD8" s="79"/>
      <c r="YE8" s="92"/>
      <c r="YF8" s="95"/>
      <c r="YG8" s="71"/>
      <c r="YI8" s="61" t="s">
        <v>32</v>
      </c>
      <c r="YJ8" s="106"/>
      <c r="YK8" s="15">
        <v>1</v>
      </c>
      <c r="YL8" s="92"/>
      <c r="YM8" s="79"/>
      <c r="YN8" s="92"/>
      <c r="YO8" s="95"/>
      <c r="YP8" s="71"/>
      <c r="YR8" s="61" t="s">
        <v>32</v>
      </c>
      <c r="YS8" s="106"/>
      <c r="YT8" s="15">
        <v>1</v>
      </c>
      <c r="YU8" s="92"/>
      <c r="YV8" s="79"/>
      <c r="YW8" s="92"/>
      <c r="YX8" s="95"/>
      <c r="YY8" s="71"/>
      <c r="ZA8" s="61" t="s">
        <v>32</v>
      </c>
      <c r="ZB8" s="106"/>
      <c r="ZC8" s="15">
        <v>1</v>
      </c>
      <c r="ZD8" s="92"/>
      <c r="ZE8" s="79"/>
      <c r="ZF8" s="92"/>
      <c r="ZG8" s="95"/>
      <c r="ZH8" s="71"/>
      <c r="ZJ8" s="61" t="s">
        <v>32</v>
      </c>
      <c r="ZK8" s="106"/>
      <c r="ZL8" s="15">
        <v>1</v>
      </c>
      <c r="ZM8" s="92"/>
      <c r="ZN8" s="79"/>
      <c r="ZO8" s="92"/>
      <c r="ZP8" s="95"/>
      <c r="ZQ8" s="71"/>
      <c r="ZS8" s="61" t="s">
        <v>32</v>
      </c>
      <c r="ZT8" s="106"/>
      <c r="ZU8" s="15">
        <v>1</v>
      </c>
      <c r="ZV8" s="92"/>
      <c r="ZW8" s="79"/>
      <c r="ZX8" s="92"/>
      <c r="ZY8" s="95"/>
      <c r="ZZ8" s="71"/>
      <c r="AAB8" s="61" t="s">
        <v>32</v>
      </c>
      <c r="AAC8" s="106"/>
      <c r="AAD8" s="15">
        <v>1</v>
      </c>
      <c r="AAE8" s="92"/>
      <c r="AAF8" s="79"/>
      <c r="AAG8" s="92"/>
      <c r="AAH8" s="95"/>
      <c r="AAI8" s="71"/>
      <c r="AAK8" s="61" t="s">
        <v>32</v>
      </c>
      <c r="AAL8" s="106"/>
      <c r="AAM8" s="15">
        <v>1</v>
      </c>
      <c r="AAN8" s="92"/>
      <c r="AAO8" s="79"/>
      <c r="AAP8" s="92"/>
      <c r="AAQ8" s="95"/>
      <c r="AAR8" s="71"/>
      <c r="AAT8" s="61" t="s">
        <v>32</v>
      </c>
      <c r="AAU8" s="106"/>
      <c r="AAV8" s="15">
        <v>1</v>
      </c>
      <c r="AAW8" s="92"/>
      <c r="AAX8" s="79"/>
      <c r="AAY8" s="92"/>
      <c r="AAZ8" s="95"/>
      <c r="ABA8" s="71"/>
      <c r="ABC8" s="61" t="s">
        <v>32</v>
      </c>
      <c r="ABD8" s="106"/>
      <c r="ABE8" s="15">
        <v>1</v>
      </c>
      <c r="ABF8" s="92"/>
      <c r="ABG8" s="79"/>
      <c r="ABH8" s="92"/>
      <c r="ABI8" s="95"/>
      <c r="ABJ8" s="71"/>
      <c r="ABL8" s="61" t="s">
        <v>32</v>
      </c>
      <c r="ABM8" s="106"/>
      <c r="ABN8" s="15">
        <v>1</v>
      </c>
      <c r="ABO8" s="92"/>
      <c r="ABP8" s="79"/>
      <c r="ABQ8" s="92"/>
      <c r="ABR8" s="95"/>
      <c r="ABS8" s="71"/>
      <c r="ABU8" s="61" t="s">
        <v>32</v>
      </c>
      <c r="ABV8" s="106"/>
      <c r="ABW8" s="15">
        <v>1</v>
      </c>
      <c r="ABX8" s="92"/>
      <c r="ABY8" s="79"/>
      <c r="ABZ8" s="92"/>
      <c r="ACA8" s="95"/>
      <c r="ACB8" s="71"/>
      <c r="ACD8" s="61" t="s">
        <v>32</v>
      </c>
      <c r="ACE8" s="106"/>
      <c r="ACF8" s="15">
        <v>1</v>
      </c>
      <c r="ACG8" s="92"/>
      <c r="ACH8" s="79"/>
      <c r="ACI8" s="92"/>
      <c r="ACJ8" s="95"/>
      <c r="ACK8" s="71"/>
      <c r="ACM8" s="61" t="s">
        <v>32</v>
      </c>
      <c r="ACN8" s="106"/>
      <c r="ACO8" s="15">
        <v>1</v>
      </c>
      <c r="ACP8" s="92"/>
      <c r="ACQ8" s="79"/>
      <c r="ACR8" s="92"/>
      <c r="ACS8" s="95"/>
      <c r="ACT8" s="71"/>
      <c r="ACV8" s="61" t="s">
        <v>32</v>
      </c>
      <c r="ACW8" s="106"/>
      <c r="ACX8" s="15">
        <v>1</v>
      </c>
      <c r="ACY8" s="92"/>
      <c r="ACZ8" s="79"/>
      <c r="ADA8" s="92"/>
      <c r="ADB8" s="95"/>
      <c r="ADC8" s="71"/>
      <c r="ADE8" s="61" t="s">
        <v>32</v>
      </c>
      <c r="ADF8" s="106"/>
      <c r="ADG8" s="15">
        <v>1</v>
      </c>
      <c r="ADH8" s="92"/>
      <c r="ADI8" s="79"/>
      <c r="ADJ8" s="92"/>
      <c r="ADK8" s="95"/>
      <c r="ADL8" s="71"/>
      <c r="ADN8" s="61" t="s">
        <v>32</v>
      </c>
      <c r="ADO8" s="106"/>
      <c r="ADP8" s="15">
        <v>1</v>
      </c>
      <c r="ADQ8" s="92"/>
      <c r="ADR8" s="79"/>
      <c r="ADS8" s="92"/>
      <c r="ADT8" s="95"/>
      <c r="ADU8" s="71"/>
      <c r="ADW8" s="61" t="s">
        <v>32</v>
      </c>
      <c r="ADX8" s="106"/>
      <c r="ADY8" s="15">
        <v>1</v>
      </c>
      <c r="ADZ8" s="92"/>
      <c r="AEA8" s="79"/>
      <c r="AEB8" s="92"/>
      <c r="AEC8" s="95"/>
      <c r="AED8" s="71"/>
      <c r="AEF8" s="61" t="s">
        <v>32</v>
      </c>
      <c r="AEG8" s="106"/>
      <c r="AEH8" s="15">
        <v>1</v>
      </c>
      <c r="AEI8" s="92"/>
      <c r="AEJ8" s="79"/>
      <c r="AEK8" s="92"/>
      <c r="AEL8" s="95"/>
      <c r="AEM8" s="71"/>
      <c r="AEO8" s="61" t="s">
        <v>32</v>
      </c>
      <c r="AEP8" s="106"/>
      <c r="AEQ8" s="15">
        <v>1</v>
      </c>
      <c r="AER8" s="92"/>
      <c r="AES8" s="79"/>
      <c r="AET8" s="92"/>
      <c r="AEU8" s="95"/>
      <c r="AEV8" s="71"/>
      <c r="AEX8" s="61" t="s">
        <v>32</v>
      </c>
      <c r="AEY8" s="106"/>
      <c r="AEZ8" s="15">
        <v>1</v>
      </c>
      <c r="AFA8" s="92"/>
      <c r="AFB8" s="79"/>
      <c r="AFC8" s="92"/>
      <c r="AFD8" s="95"/>
      <c r="AFE8" s="71"/>
    </row>
    <row r="9" spans="1:837" ht="16.5" thickBot="1" x14ac:dyDescent="0.3">
      <c r="A9" s="137">
        <v>6</v>
      </c>
      <c r="B9" s="75" t="str">
        <f>BI5</f>
        <v>TYSON FRESH MEAT</v>
      </c>
      <c r="C9" s="75" t="str">
        <f t="shared" ref="C9:H9" si="7">BJ5</f>
        <v xml:space="preserve">I B P </v>
      </c>
      <c r="D9" s="102" t="str">
        <f t="shared" si="7"/>
        <v>PED. 90509303</v>
      </c>
      <c r="E9" s="135">
        <f t="shared" si="7"/>
        <v>44898</v>
      </c>
      <c r="F9" s="86">
        <f t="shared" si="7"/>
        <v>18435.43</v>
      </c>
      <c r="G9" s="73">
        <f t="shared" si="7"/>
        <v>20</v>
      </c>
      <c r="H9" s="48">
        <f t="shared" si="7"/>
        <v>18351.310000000001</v>
      </c>
      <c r="I9" s="105">
        <f>BP5</f>
        <v>84.119999999998981</v>
      </c>
      <c r="L9" s="106"/>
      <c r="M9" s="15">
        <v>2</v>
      </c>
      <c r="N9" s="69">
        <v>903.6</v>
      </c>
      <c r="O9" s="252">
        <v>44895</v>
      </c>
      <c r="P9" s="69">
        <v>903.6</v>
      </c>
      <c r="Q9" s="70" t="s">
        <v>582</v>
      </c>
      <c r="R9" s="71">
        <v>51</v>
      </c>
      <c r="S9" s="393">
        <f t="shared" ref="S9:S28" si="8">R9*P9</f>
        <v>46083.6</v>
      </c>
      <c r="V9" s="106"/>
      <c r="W9" s="15">
        <v>2</v>
      </c>
      <c r="X9" s="69">
        <v>898.1</v>
      </c>
      <c r="Y9" s="252">
        <v>44895</v>
      </c>
      <c r="Z9" s="69">
        <v>898.1</v>
      </c>
      <c r="AA9" s="695" t="s">
        <v>580</v>
      </c>
      <c r="AB9" s="696">
        <v>51</v>
      </c>
      <c r="AC9" s="393">
        <f t="shared" ref="AC9:AC28" si="9">AB9*Z9</f>
        <v>45803.1</v>
      </c>
      <c r="AF9" s="94"/>
      <c r="AG9" s="15">
        <v>2</v>
      </c>
      <c r="AH9" s="92">
        <v>939.38</v>
      </c>
      <c r="AI9" s="244">
        <v>44896</v>
      </c>
      <c r="AJ9" s="92">
        <v>939.38</v>
      </c>
      <c r="AK9" s="95" t="s">
        <v>587</v>
      </c>
      <c r="AL9" s="71">
        <v>51</v>
      </c>
      <c r="AM9" s="393">
        <f t="shared" ref="AM9:AM28" si="10">AL9*AJ9</f>
        <v>47908.38</v>
      </c>
      <c r="AP9" s="94"/>
      <c r="AQ9" s="15">
        <v>2</v>
      </c>
      <c r="AR9" s="92">
        <v>922.6</v>
      </c>
      <c r="AS9" s="244">
        <v>44897</v>
      </c>
      <c r="AT9" s="92">
        <v>922.6</v>
      </c>
      <c r="AU9" s="95" t="s">
        <v>600</v>
      </c>
      <c r="AV9" s="71">
        <v>51</v>
      </c>
      <c r="AW9" s="393">
        <f t="shared" ref="AW9:AW29" si="11">AV9*AT9</f>
        <v>47052.6</v>
      </c>
      <c r="AZ9" s="94"/>
      <c r="BA9" s="15">
        <v>2</v>
      </c>
      <c r="BB9" s="92">
        <v>897.2</v>
      </c>
      <c r="BC9" s="244">
        <v>44897</v>
      </c>
      <c r="BD9" s="92">
        <v>897.2</v>
      </c>
      <c r="BE9" s="95" t="s">
        <v>598</v>
      </c>
      <c r="BF9" s="71">
        <v>51</v>
      </c>
      <c r="BG9" s="393">
        <f t="shared" ref="BG9:BG29" si="12">BF9*BD9</f>
        <v>45757.200000000004</v>
      </c>
      <c r="BJ9" s="106"/>
      <c r="BK9" s="15">
        <v>2</v>
      </c>
      <c r="BL9" s="92">
        <v>882.23</v>
      </c>
      <c r="BM9" s="135">
        <v>44898</v>
      </c>
      <c r="BN9" s="92">
        <v>882.23</v>
      </c>
      <c r="BO9" s="95" t="s">
        <v>602</v>
      </c>
      <c r="BP9" s="288">
        <v>51</v>
      </c>
      <c r="BQ9" s="481">
        <f t="shared" ref="BQ9:BQ29" si="13">BP9*BN9</f>
        <v>44993.73</v>
      </c>
      <c r="BR9" s="393"/>
      <c r="BT9" s="106"/>
      <c r="BU9" s="15">
        <v>1</v>
      </c>
      <c r="BV9" s="92">
        <v>556</v>
      </c>
      <c r="BW9" s="289">
        <v>44900</v>
      </c>
      <c r="BX9" s="92">
        <v>556</v>
      </c>
      <c r="BY9" s="577" t="s">
        <v>617</v>
      </c>
      <c r="BZ9" s="290">
        <v>58</v>
      </c>
      <c r="CA9" s="393">
        <f t="shared" si="5"/>
        <v>32248</v>
      </c>
      <c r="CD9" s="213"/>
      <c r="CE9" s="15">
        <v>2</v>
      </c>
      <c r="CF9" s="92">
        <v>889.9</v>
      </c>
      <c r="CG9" s="289">
        <v>44901</v>
      </c>
      <c r="CH9" s="92">
        <v>889.9</v>
      </c>
      <c r="CI9" s="291" t="s">
        <v>619</v>
      </c>
      <c r="CJ9" s="290">
        <v>51</v>
      </c>
      <c r="CK9" s="393">
        <f t="shared" ref="CK9:CK29" si="14">CJ9*CH9</f>
        <v>45384.9</v>
      </c>
      <c r="CN9" s="94"/>
      <c r="CO9" s="15">
        <v>2</v>
      </c>
      <c r="CP9" s="92">
        <v>884.5</v>
      </c>
      <c r="CQ9" s="289">
        <v>44901</v>
      </c>
      <c r="CR9" s="92">
        <v>884.5</v>
      </c>
      <c r="CS9" s="291" t="s">
        <v>626</v>
      </c>
      <c r="CT9" s="290">
        <v>51</v>
      </c>
      <c r="CU9" s="398">
        <f>CT9*CR9</f>
        <v>45109.5</v>
      </c>
      <c r="CX9" s="94"/>
      <c r="CY9" s="15">
        <v>2</v>
      </c>
      <c r="CZ9" s="92">
        <v>931.67</v>
      </c>
      <c r="DA9" s="244">
        <v>44902</v>
      </c>
      <c r="DB9" s="92">
        <v>931.67</v>
      </c>
      <c r="DC9" s="95" t="s">
        <v>633</v>
      </c>
      <c r="DD9" s="71">
        <v>51</v>
      </c>
      <c r="DE9" s="393">
        <f t="shared" ref="DE9:DE29" si="15">DD9*DB9</f>
        <v>47515.17</v>
      </c>
      <c r="DH9" s="94"/>
      <c r="DI9" s="15">
        <v>2</v>
      </c>
      <c r="DJ9" s="694">
        <v>894.5</v>
      </c>
      <c r="DK9" s="720">
        <v>44903</v>
      </c>
      <c r="DL9" s="694">
        <v>894.5</v>
      </c>
      <c r="DM9" s="721" t="s">
        <v>648</v>
      </c>
      <c r="DN9" s="722">
        <v>51</v>
      </c>
      <c r="DO9" s="398">
        <f t="shared" ref="DO9:DO29" si="16">DN9*DL9</f>
        <v>45619.5</v>
      </c>
      <c r="DR9" s="94"/>
      <c r="DS9" s="15">
        <v>2</v>
      </c>
      <c r="DT9" s="92">
        <v>922.15</v>
      </c>
      <c r="DU9" s="289">
        <v>44903</v>
      </c>
      <c r="DV9" s="92">
        <v>922.15</v>
      </c>
      <c r="DW9" s="291" t="s">
        <v>644</v>
      </c>
      <c r="DX9" s="290">
        <v>51</v>
      </c>
      <c r="DY9" s="393">
        <f t="shared" ref="DY9:DY29" si="17">DX9*DV9</f>
        <v>47029.65</v>
      </c>
      <c r="EB9" s="94"/>
      <c r="EC9" s="15">
        <v>2</v>
      </c>
      <c r="ED9" s="69">
        <v>884.5</v>
      </c>
      <c r="EE9" s="252">
        <v>44904</v>
      </c>
      <c r="EF9" s="69">
        <v>884.5</v>
      </c>
      <c r="EG9" s="70" t="s">
        <v>661</v>
      </c>
      <c r="EH9" s="71">
        <v>51</v>
      </c>
      <c r="EI9" s="393">
        <f t="shared" ref="EI9:EI28" si="18">EH9*EF9</f>
        <v>45109.5</v>
      </c>
      <c r="EL9" s="94"/>
      <c r="EM9" s="15">
        <v>2</v>
      </c>
      <c r="EN9" s="69">
        <v>878.6</v>
      </c>
      <c r="EO9" s="252">
        <v>44904</v>
      </c>
      <c r="EP9" s="69">
        <v>878.6</v>
      </c>
      <c r="EQ9" s="70" t="s">
        <v>659</v>
      </c>
      <c r="ER9" s="71">
        <v>51</v>
      </c>
      <c r="ES9" s="393">
        <f t="shared" ref="ES9:ES28" si="19">ER9*EP9</f>
        <v>44808.6</v>
      </c>
      <c r="EV9" s="331"/>
      <c r="EW9" s="15">
        <v>2</v>
      </c>
      <c r="EX9" s="92">
        <v>897.2</v>
      </c>
      <c r="EY9" s="244">
        <v>44907</v>
      </c>
      <c r="EZ9" s="92">
        <v>897.2</v>
      </c>
      <c r="FA9" s="70" t="s">
        <v>682</v>
      </c>
      <c r="FB9" s="71">
        <v>51</v>
      </c>
      <c r="FC9" s="393">
        <f t="shared" ref="FC9:FC29" si="20">FB9*EZ9</f>
        <v>45757.200000000004</v>
      </c>
      <c r="FF9" s="331"/>
      <c r="FG9" s="15">
        <v>2</v>
      </c>
      <c r="FH9" s="92">
        <v>892.7</v>
      </c>
      <c r="FI9" s="244">
        <v>44905</v>
      </c>
      <c r="FJ9" s="92">
        <v>892.7</v>
      </c>
      <c r="FK9" s="70" t="s">
        <v>678</v>
      </c>
      <c r="FL9" s="71">
        <v>51</v>
      </c>
      <c r="FM9" s="243">
        <f t="shared" ref="FM9:FM29" si="21">FL9*FJ9</f>
        <v>45527.700000000004</v>
      </c>
      <c r="FP9" s="94" t="s">
        <v>41</v>
      </c>
      <c r="FQ9" s="15">
        <v>2</v>
      </c>
      <c r="FR9" s="92">
        <v>946.19</v>
      </c>
      <c r="FS9" s="244">
        <v>44905</v>
      </c>
      <c r="FT9" s="92">
        <v>946.19</v>
      </c>
      <c r="FU9" s="70" t="s">
        <v>674</v>
      </c>
      <c r="FV9" s="71">
        <v>51</v>
      </c>
      <c r="FW9" s="393">
        <f t="shared" ref="FW9:FW29" si="22">FV9*FT9</f>
        <v>48255.69</v>
      </c>
      <c r="FZ9" s="94"/>
      <c r="GA9" s="15">
        <v>2</v>
      </c>
      <c r="GB9" s="69">
        <v>886.3</v>
      </c>
      <c r="GC9" s="252">
        <v>44908</v>
      </c>
      <c r="GD9" s="69">
        <v>886.3</v>
      </c>
      <c r="GE9" s="70" t="s">
        <v>689</v>
      </c>
      <c r="GF9" s="71">
        <v>49</v>
      </c>
      <c r="GG9" s="243">
        <f t="shared" ref="GG9:GG29" si="23">GF9*GD9</f>
        <v>43428.7</v>
      </c>
      <c r="GJ9" s="94"/>
      <c r="GK9" s="15">
        <v>2</v>
      </c>
      <c r="GL9" s="352">
        <v>934.4</v>
      </c>
      <c r="GM9" s="244">
        <v>44908</v>
      </c>
      <c r="GN9" s="352">
        <v>934.4</v>
      </c>
      <c r="GO9" s="95" t="s">
        <v>696</v>
      </c>
      <c r="GP9" s="71">
        <v>49</v>
      </c>
      <c r="GQ9" s="393">
        <f t="shared" ref="GQ9:GQ29" si="24">GP9*GN9</f>
        <v>45785.599999999999</v>
      </c>
      <c r="GT9" s="94"/>
      <c r="GU9" s="15">
        <v>2</v>
      </c>
      <c r="GV9" s="105">
        <v>886.3</v>
      </c>
      <c r="GW9" s="244">
        <v>44908</v>
      </c>
      <c r="GX9" s="105">
        <v>886.3</v>
      </c>
      <c r="GY9" s="95" t="s">
        <v>694</v>
      </c>
      <c r="GZ9" s="71">
        <v>49</v>
      </c>
      <c r="HA9" s="393">
        <f t="shared" ref="HA9:HA28" si="25">GZ9*GX9</f>
        <v>43428.7</v>
      </c>
      <c r="HD9" s="94"/>
      <c r="HE9" s="15">
        <v>2</v>
      </c>
      <c r="HF9" s="92">
        <v>904</v>
      </c>
      <c r="HG9" s="244">
        <v>44909</v>
      </c>
      <c r="HH9" s="92">
        <v>904</v>
      </c>
      <c r="HI9" s="95" t="s">
        <v>705</v>
      </c>
      <c r="HJ9" s="71">
        <v>49</v>
      </c>
      <c r="HK9" s="393">
        <f t="shared" ref="HK9:HK28" si="26">HJ9*HH9</f>
        <v>44296</v>
      </c>
      <c r="HN9" s="94"/>
      <c r="HO9" s="15">
        <v>2</v>
      </c>
      <c r="HP9" s="92">
        <v>902.64</v>
      </c>
      <c r="HQ9" s="244">
        <v>44909</v>
      </c>
      <c r="HR9" s="92">
        <v>902.64</v>
      </c>
      <c r="HS9" s="292" t="s">
        <v>699</v>
      </c>
      <c r="HT9" s="71">
        <v>49</v>
      </c>
      <c r="HU9" s="393">
        <f t="shared" ref="HU9:HU29" si="27">HT9*HR9</f>
        <v>44229.36</v>
      </c>
      <c r="HX9" s="106"/>
      <c r="HY9" s="15">
        <v>2</v>
      </c>
      <c r="HZ9" s="69">
        <v>969.78</v>
      </c>
      <c r="IA9" s="252">
        <v>44910</v>
      </c>
      <c r="IB9" s="69">
        <v>969.78</v>
      </c>
      <c r="IC9" s="70" t="s">
        <v>718</v>
      </c>
      <c r="ID9" s="71">
        <v>49</v>
      </c>
      <c r="IE9" s="393">
        <f t="shared" si="6"/>
        <v>47519.22</v>
      </c>
      <c r="IH9" s="106"/>
      <c r="II9" s="15">
        <v>2</v>
      </c>
      <c r="IJ9" s="69">
        <v>924.4</v>
      </c>
      <c r="IK9" s="252">
        <v>44910</v>
      </c>
      <c r="IL9" s="69">
        <v>924.4</v>
      </c>
      <c r="IM9" s="70" t="s">
        <v>716</v>
      </c>
      <c r="IN9" s="71">
        <v>49</v>
      </c>
      <c r="IO9" s="393">
        <f t="shared" ref="IO9:IO29" si="28">IN9*IL9</f>
        <v>45295.6</v>
      </c>
      <c r="IQ9" s="487"/>
      <c r="IR9" s="94"/>
      <c r="IS9" s="15">
        <v>2</v>
      </c>
      <c r="IT9" s="92">
        <v>916.3</v>
      </c>
      <c r="IU9" s="135">
        <v>44911</v>
      </c>
      <c r="IV9" s="92">
        <v>916.3</v>
      </c>
      <c r="IW9" s="363" t="s">
        <v>730</v>
      </c>
      <c r="IX9" s="71">
        <v>47</v>
      </c>
      <c r="IY9" s="243">
        <f t="shared" ref="IY9:IY29" si="29">IX9*IV9</f>
        <v>43066.1</v>
      </c>
      <c r="IZ9" s="92"/>
      <c r="JA9" s="92"/>
      <c r="JB9" s="94"/>
      <c r="JC9" s="15">
        <v>2</v>
      </c>
      <c r="JD9" s="92">
        <v>884.5</v>
      </c>
      <c r="JE9" s="252">
        <v>44911</v>
      </c>
      <c r="JF9" s="92">
        <v>884.5</v>
      </c>
      <c r="JG9" s="70" t="s">
        <v>727</v>
      </c>
      <c r="JH9" s="71">
        <v>47</v>
      </c>
      <c r="JI9" s="393">
        <f t="shared" ref="JI9:JI29" si="30">JH9*JF9</f>
        <v>41571.5</v>
      </c>
      <c r="JJ9" s="69"/>
      <c r="JL9" s="94"/>
      <c r="JM9" s="15">
        <v>2</v>
      </c>
      <c r="JN9" s="92">
        <v>921.7</v>
      </c>
      <c r="JO9" s="244">
        <v>44912</v>
      </c>
      <c r="JP9" s="92">
        <v>921.7</v>
      </c>
      <c r="JQ9" s="70" t="s">
        <v>739</v>
      </c>
      <c r="JR9" s="71">
        <v>48</v>
      </c>
      <c r="JS9" s="393">
        <f t="shared" ref="JS9:JS27" si="31">JR9*JP9</f>
        <v>44241.600000000006</v>
      </c>
      <c r="JV9" s="106"/>
      <c r="JW9" s="15">
        <v>2</v>
      </c>
      <c r="JX9" s="69">
        <v>870</v>
      </c>
      <c r="JY9" s="252">
        <v>44912</v>
      </c>
      <c r="JZ9" s="69">
        <v>870</v>
      </c>
      <c r="KA9" s="70" t="s">
        <v>746</v>
      </c>
      <c r="KB9" s="71">
        <v>48</v>
      </c>
      <c r="KC9" s="393">
        <f t="shared" ref="KC9:KC28" si="32">KB9*JZ9</f>
        <v>41760</v>
      </c>
      <c r="KF9" s="106"/>
      <c r="KG9" s="15">
        <v>2</v>
      </c>
      <c r="KH9" s="69">
        <v>930.8</v>
      </c>
      <c r="KI9" s="252">
        <v>44915</v>
      </c>
      <c r="KJ9" s="69">
        <v>930.8</v>
      </c>
      <c r="KK9" s="70" t="s">
        <v>756</v>
      </c>
      <c r="KL9" s="71">
        <v>49</v>
      </c>
      <c r="KM9" s="393">
        <f t="shared" ref="KM9:KM28" si="33">KL9*KJ9</f>
        <v>45609.2</v>
      </c>
      <c r="KP9" s="106"/>
      <c r="KQ9" s="15">
        <v>2</v>
      </c>
      <c r="KR9" s="69">
        <v>959.34</v>
      </c>
      <c r="KS9" s="252">
        <v>44915</v>
      </c>
      <c r="KT9" s="69">
        <v>959.34</v>
      </c>
      <c r="KU9" s="695" t="s">
        <v>757</v>
      </c>
      <c r="KV9" s="696">
        <v>49</v>
      </c>
      <c r="KW9" s="393">
        <f t="shared" ref="KW9:KW28" si="34">KV9*KT9</f>
        <v>47007.66</v>
      </c>
      <c r="KZ9" s="94"/>
      <c r="LA9" s="15">
        <v>2</v>
      </c>
      <c r="LB9" s="92">
        <v>931.7</v>
      </c>
      <c r="LC9" s="244">
        <v>44916</v>
      </c>
      <c r="LD9" s="92">
        <v>931.7</v>
      </c>
      <c r="LE9" s="95" t="s">
        <v>771</v>
      </c>
      <c r="LF9" s="71">
        <v>51</v>
      </c>
      <c r="LG9" s="393">
        <f t="shared" ref="LG9:LG28" si="35">LF9*LD9</f>
        <v>47516.700000000004</v>
      </c>
      <c r="LJ9" s="94"/>
      <c r="LK9" s="15">
        <v>2</v>
      </c>
      <c r="LL9" s="92">
        <v>915.8</v>
      </c>
      <c r="LM9" s="244">
        <v>44916</v>
      </c>
      <c r="LN9" s="92">
        <v>915.8</v>
      </c>
      <c r="LO9" s="95" t="s">
        <v>776</v>
      </c>
      <c r="LP9" s="71">
        <v>51</v>
      </c>
      <c r="LQ9" s="393">
        <f t="shared" ref="LQ9:LQ29" si="36">LP9*LN9</f>
        <v>46705.799999999996</v>
      </c>
      <c r="LT9" s="94"/>
      <c r="LU9" s="15">
        <v>2</v>
      </c>
      <c r="LV9" s="92">
        <v>885</v>
      </c>
      <c r="LW9" s="244">
        <v>44917</v>
      </c>
      <c r="LX9" s="92">
        <v>885</v>
      </c>
      <c r="LY9" s="95" t="s">
        <v>786</v>
      </c>
      <c r="LZ9" s="71">
        <v>53</v>
      </c>
      <c r="MA9" s="393">
        <f t="shared" ref="MA9:MA29" si="37">LZ9*LX9</f>
        <v>46905</v>
      </c>
      <c r="MB9" s="393"/>
      <c r="MD9" s="94"/>
      <c r="ME9" s="15">
        <v>2</v>
      </c>
      <c r="MF9" s="296">
        <v>935.3</v>
      </c>
      <c r="MG9" s="244">
        <v>44916</v>
      </c>
      <c r="MH9" s="296">
        <v>935.3</v>
      </c>
      <c r="MI9" s="95" t="s">
        <v>780</v>
      </c>
      <c r="MJ9" s="71">
        <v>51</v>
      </c>
      <c r="MK9" s="71">
        <f t="shared" ref="MK9:MK28" si="38">MJ9*MH9</f>
        <v>47700.299999999996</v>
      </c>
      <c r="MN9" s="94"/>
      <c r="MO9" s="15">
        <v>2</v>
      </c>
      <c r="MP9" s="92">
        <v>951.18</v>
      </c>
      <c r="MQ9" s="244">
        <v>44917</v>
      </c>
      <c r="MR9" s="92">
        <v>951.18</v>
      </c>
      <c r="MS9" s="95" t="s">
        <v>789</v>
      </c>
      <c r="MT9" s="71">
        <v>53</v>
      </c>
      <c r="MU9" s="71">
        <f t="shared" ref="MU9:MU28" si="39">MT9*MR9</f>
        <v>50412.54</v>
      </c>
      <c r="MX9" s="94"/>
      <c r="MY9" s="15">
        <v>2</v>
      </c>
      <c r="MZ9" s="92">
        <v>919.9</v>
      </c>
      <c r="NA9" s="244">
        <v>44918</v>
      </c>
      <c r="NB9" s="92">
        <v>919.9</v>
      </c>
      <c r="NC9" s="95" t="s">
        <v>801</v>
      </c>
      <c r="ND9" s="71">
        <v>53</v>
      </c>
      <c r="NE9" s="71">
        <f t="shared" ref="NE9:NE28" si="40">ND9*NB9</f>
        <v>48754.7</v>
      </c>
      <c r="NH9" s="94"/>
      <c r="NI9" s="15">
        <v>2</v>
      </c>
      <c r="NJ9" s="297">
        <v>892.7</v>
      </c>
      <c r="NK9" s="244">
        <v>44918</v>
      </c>
      <c r="NL9" s="297">
        <v>892.7</v>
      </c>
      <c r="NM9" s="95" t="s">
        <v>809</v>
      </c>
      <c r="NN9" s="71">
        <v>53</v>
      </c>
      <c r="NO9" s="71">
        <f t="shared" ref="NO9:NO28" si="41">NN9*NL9</f>
        <v>47313.100000000006</v>
      </c>
      <c r="NR9" s="94"/>
      <c r="NS9" s="15">
        <v>2</v>
      </c>
      <c r="NT9" s="92">
        <v>868.2</v>
      </c>
      <c r="NU9" s="244">
        <v>44918</v>
      </c>
      <c r="NV9" s="92">
        <v>868.2</v>
      </c>
      <c r="NW9" s="95" t="s">
        <v>819</v>
      </c>
      <c r="NX9" s="71">
        <v>53</v>
      </c>
      <c r="NY9" s="71">
        <f t="shared" ref="NY9:NY28" si="42">NX9*NV9</f>
        <v>46014.600000000006</v>
      </c>
      <c r="OB9" s="94"/>
      <c r="OC9" s="15">
        <v>2</v>
      </c>
      <c r="OD9" s="297">
        <v>939.8</v>
      </c>
      <c r="OE9" s="244">
        <v>44919</v>
      </c>
      <c r="OF9" s="297">
        <v>939.8</v>
      </c>
      <c r="OG9" s="95" t="s">
        <v>825</v>
      </c>
      <c r="OH9" s="71">
        <v>53</v>
      </c>
      <c r="OI9" s="71">
        <f t="shared" ref="OI9:OI29" si="43">OH9*OF9</f>
        <v>49809.399999999994</v>
      </c>
      <c r="OL9" s="94"/>
      <c r="OM9" s="15">
        <v>2</v>
      </c>
      <c r="ON9" s="92">
        <v>911.7</v>
      </c>
      <c r="OO9" s="244">
        <v>44919</v>
      </c>
      <c r="OP9" s="92">
        <v>911.7</v>
      </c>
      <c r="OQ9" s="95" t="s">
        <v>823</v>
      </c>
      <c r="OR9" s="71">
        <v>53</v>
      </c>
      <c r="OS9" s="71">
        <f t="shared" ref="OS9:OS28" si="44">OR9*OP9</f>
        <v>48320.100000000006</v>
      </c>
      <c r="OV9" s="94"/>
      <c r="OW9" s="15">
        <v>2</v>
      </c>
      <c r="OX9" s="92">
        <v>919</v>
      </c>
      <c r="OY9" s="244">
        <v>44921</v>
      </c>
      <c r="OZ9" s="92">
        <v>919</v>
      </c>
      <c r="PA9" s="95" t="s">
        <v>830</v>
      </c>
      <c r="PB9" s="71">
        <v>53</v>
      </c>
      <c r="PC9" s="71">
        <f t="shared" ref="PC9:PC28" si="45">PB9*OZ9</f>
        <v>48707</v>
      </c>
      <c r="PF9" s="94"/>
      <c r="PG9" s="15">
        <v>2</v>
      </c>
      <c r="PH9" s="297">
        <v>886.8</v>
      </c>
      <c r="PI9" s="244">
        <v>44924</v>
      </c>
      <c r="PJ9" s="297">
        <v>886.8</v>
      </c>
      <c r="PK9" s="95" t="s">
        <v>806</v>
      </c>
      <c r="PL9" s="71">
        <v>53</v>
      </c>
      <c r="PM9" s="71">
        <f t="shared" ref="PM9:PM28" si="46">PL9*PJ9</f>
        <v>47000.399999999994</v>
      </c>
      <c r="PN9" s="71"/>
      <c r="PQ9" s="106"/>
      <c r="PR9" s="15">
        <v>2</v>
      </c>
      <c r="PS9" s="92">
        <v>941.2</v>
      </c>
      <c r="PT9" s="244">
        <v>44924</v>
      </c>
      <c r="PU9" s="92">
        <v>941.2</v>
      </c>
      <c r="PV9" s="95" t="s">
        <v>847</v>
      </c>
      <c r="PW9" s="71">
        <v>53</v>
      </c>
      <c r="PX9" s="71">
        <f t="shared" ref="PX9:PX28" si="47">PW9*PU9</f>
        <v>49883.600000000006</v>
      </c>
      <c r="QA9" s="106"/>
      <c r="QB9" s="15">
        <v>2</v>
      </c>
      <c r="QC9" s="92">
        <v>950.72</v>
      </c>
      <c r="QD9" s="135">
        <v>44924</v>
      </c>
      <c r="QE9" s="92">
        <v>950.72</v>
      </c>
      <c r="QF9" s="95" t="s">
        <v>844</v>
      </c>
      <c r="QG9" s="71">
        <v>53</v>
      </c>
      <c r="QH9" s="71">
        <f t="shared" ref="QH9:QH28" si="48">QG9*QE9</f>
        <v>50388.160000000003</v>
      </c>
      <c r="QK9" s="106"/>
      <c r="QL9" s="15">
        <v>2</v>
      </c>
      <c r="QM9" s="92">
        <v>892.7</v>
      </c>
      <c r="QN9" s="244">
        <v>44925</v>
      </c>
      <c r="QO9" s="92">
        <v>892.7</v>
      </c>
      <c r="QP9" s="95" t="s">
        <v>856</v>
      </c>
      <c r="QQ9" s="71">
        <v>53</v>
      </c>
      <c r="QR9" s="71">
        <f t="shared" ref="QR9:QR28" si="49">QQ9*QO9</f>
        <v>47313.100000000006</v>
      </c>
      <c r="QU9" s="106"/>
      <c r="QV9" s="15">
        <v>2</v>
      </c>
      <c r="QW9" s="92">
        <v>876.3</v>
      </c>
      <c r="QX9" s="244">
        <v>44926</v>
      </c>
      <c r="QY9" s="92">
        <v>876.3</v>
      </c>
      <c r="QZ9" s="95" t="s">
        <v>860</v>
      </c>
      <c r="RA9" s="71">
        <v>53</v>
      </c>
      <c r="RB9" s="71">
        <f t="shared" ref="RB9:RB28" si="50">RA9*QY9</f>
        <v>46443.899999999994</v>
      </c>
      <c r="RE9" s="106"/>
      <c r="RF9" s="15">
        <v>2</v>
      </c>
      <c r="RG9" s="92">
        <v>861.8</v>
      </c>
      <c r="RH9" s="244">
        <v>44930</v>
      </c>
      <c r="RI9" s="92">
        <v>861.8</v>
      </c>
      <c r="RJ9" s="95" t="s">
        <v>889</v>
      </c>
      <c r="RK9" s="71">
        <v>47</v>
      </c>
      <c r="RL9" s="71">
        <f t="shared" ref="RL9:RL28" si="51">RK9*RI9</f>
        <v>40504.6</v>
      </c>
      <c r="RO9" s="106"/>
      <c r="RP9" s="15">
        <v>2</v>
      </c>
      <c r="RQ9" s="92">
        <v>931.7</v>
      </c>
      <c r="RR9" s="244">
        <v>44930</v>
      </c>
      <c r="RS9" s="92">
        <v>931.7</v>
      </c>
      <c r="RT9" s="95" t="s">
        <v>885</v>
      </c>
      <c r="RU9" s="71">
        <v>49</v>
      </c>
      <c r="RV9" s="71">
        <f t="shared" ref="RV9:RV28" si="52">RU9*RS9</f>
        <v>45653.3</v>
      </c>
      <c r="RX9" s="61"/>
      <c r="RY9" s="106"/>
      <c r="RZ9" s="15">
        <v>2</v>
      </c>
      <c r="SA9" s="92">
        <v>957.07</v>
      </c>
      <c r="SB9" s="135">
        <v>44931</v>
      </c>
      <c r="SC9" s="92">
        <v>957.07</v>
      </c>
      <c r="SD9" s="95" t="s">
        <v>892</v>
      </c>
      <c r="SE9" s="71">
        <v>47</v>
      </c>
      <c r="SF9" s="71">
        <f t="shared" ref="SF9:SF28" si="53">SE9*SC9</f>
        <v>44982.29</v>
      </c>
      <c r="SH9" s="61"/>
      <c r="SI9" s="106"/>
      <c r="SJ9" s="15">
        <v>2</v>
      </c>
      <c r="SK9" s="92">
        <v>900.83</v>
      </c>
      <c r="SL9" s="244">
        <v>44932</v>
      </c>
      <c r="SM9" s="92">
        <v>900.83</v>
      </c>
      <c r="SN9" s="95" t="s">
        <v>904</v>
      </c>
      <c r="SO9" s="71">
        <v>47</v>
      </c>
      <c r="SP9" s="71">
        <f t="shared" ref="SP9:SP28" si="54">SO9*SM9</f>
        <v>42339.01</v>
      </c>
      <c r="SR9" s="61"/>
      <c r="SS9" s="106"/>
      <c r="ST9" s="15">
        <v>2</v>
      </c>
      <c r="SU9" s="92">
        <v>914.4</v>
      </c>
      <c r="SV9" s="244">
        <v>44933</v>
      </c>
      <c r="SW9" s="92">
        <v>914.4</v>
      </c>
      <c r="SX9" s="95" t="s">
        <v>909</v>
      </c>
      <c r="SY9" s="71">
        <v>45</v>
      </c>
      <c r="SZ9" s="71">
        <f t="shared" ref="SZ9:SZ28" si="55">SY9*SW9</f>
        <v>41148</v>
      </c>
      <c r="TB9" s="61"/>
      <c r="TC9" s="106"/>
      <c r="TD9" s="15">
        <v>2</v>
      </c>
      <c r="TE9" s="92">
        <v>902.6</v>
      </c>
      <c r="TF9" s="244">
        <v>44933</v>
      </c>
      <c r="TG9" s="92">
        <v>902.6</v>
      </c>
      <c r="TH9" s="95" t="s">
        <v>913</v>
      </c>
      <c r="TI9" s="71">
        <v>45</v>
      </c>
      <c r="TJ9" s="71">
        <f t="shared" ref="TJ9:TJ28" si="56">TI9*TG9</f>
        <v>40617</v>
      </c>
      <c r="TL9" s="61"/>
      <c r="TM9" s="106"/>
      <c r="TN9" s="15">
        <v>2</v>
      </c>
      <c r="TO9" s="92"/>
      <c r="TP9" s="295"/>
      <c r="TQ9" s="168"/>
      <c r="TR9" s="291"/>
      <c r="TS9" s="290"/>
      <c r="TT9" s="290"/>
      <c r="TV9" s="61"/>
      <c r="TW9" s="106"/>
      <c r="TX9" s="15">
        <v>2</v>
      </c>
      <c r="TY9" s="92"/>
      <c r="TZ9" s="79"/>
      <c r="UA9" s="92"/>
      <c r="UB9" s="95"/>
      <c r="UC9" s="71"/>
      <c r="UE9" s="61" t="s">
        <v>32</v>
      </c>
      <c r="UF9" s="106"/>
      <c r="UG9" s="15">
        <v>2</v>
      </c>
      <c r="UH9" s="92"/>
      <c r="UI9" s="79"/>
      <c r="UJ9" s="92"/>
      <c r="UK9" s="95"/>
      <c r="UL9" s="71"/>
      <c r="UN9" s="61"/>
      <c r="UO9" s="106"/>
      <c r="UP9" s="15">
        <v>2</v>
      </c>
      <c r="UQ9" s="92"/>
      <c r="UR9" s="79"/>
      <c r="US9" s="92"/>
      <c r="UT9" s="95"/>
      <c r="UU9" s="71"/>
      <c r="UW9" s="61" t="s">
        <v>32</v>
      </c>
      <c r="UX9" s="106"/>
      <c r="UY9" s="15">
        <v>2</v>
      </c>
      <c r="UZ9" s="92"/>
      <c r="VA9" s="79"/>
      <c r="VB9" s="92"/>
      <c r="VC9" s="95"/>
      <c r="VD9" s="71"/>
      <c r="VF9" s="61" t="s">
        <v>32</v>
      </c>
      <c r="VG9" s="106"/>
      <c r="VH9" s="15">
        <v>2</v>
      </c>
      <c r="VI9" s="92"/>
      <c r="VJ9" s="79"/>
      <c r="VK9" s="92"/>
      <c r="VL9" s="95"/>
      <c r="VM9" s="71"/>
      <c r="VP9" s="106"/>
      <c r="VQ9" s="15">
        <v>2</v>
      </c>
      <c r="VR9" s="92"/>
      <c r="VS9" s="79"/>
      <c r="VT9" s="92"/>
      <c r="VU9" s="95"/>
      <c r="VV9" s="71"/>
      <c r="VY9" s="106"/>
      <c r="VZ9" s="15">
        <v>2</v>
      </c>
      <c r="WA9" s="92"/>
      <c r="WB9" s="79"/>
      <c r="WC9" s="92"/>
      <c r="WD9" s="95"/>
      <c r="WE9" s="71"/>
      <c r="WH9" s="106"/>
      <c r="WI9" s="15">
        <v>2</v>
      </c>
      <c r="WJ9" s="92"/>
      <c r="WK9" s="79"/>
      <c r="WL9" s="92"/>
      <c r="WM9" s="95"/>
      <c r="WN9" s="71"/>
      <c r="WQ9" s="106"/>
      <c r="WR9" s="15">
        <v>2</v>
      </c>
      <c r="WS9" s="92"/>
      <c r="WT9" s="79"/>
      <c r="WU9" s="92"/>
      <c r="WV9" s="95"/>
      <c r="WW9" s="71"/>
      <c r="WZ9" s="106"/>
      <c r="XA9" s="15">
        <v>2</v>
      </c>
      <c r="XB9" s="92"/>
      <c r="XC9" s="79"/>
      <c r="XD9" s="92"/>
      <c r="XE9" s="95"/>
      <c r="XF9" s="71"/>
      <c r="XI9" s="106"/>
      <c r="XJ9" s="15">
        <v>2</v>
      </c>
      <c r="XK9" s="92"/>
      <c r="XL9" s="79"/>
      <c r="XM9" s="92"/>
      <c r="XN9" s="95"/>
      <c r="XO9" s="71"/>
      <c r="XR9" s="106"/>
      <c r="XS9" s="15">
        <v>2</v>
      </c>
      <c r="XT9" s="92"/>
      <c r="XU9" s="79"/>
      <c r="XV9" s="92"/>
      <c r="XW9" s="95"/>
      <c r="XX9" s="71"/>
      <c r="YA9" s="106"/>
      <c r="YB9" s="15">
        <v>2</v>
      </c>
      <c r="YC9" s="92"/>
      <c r="YD9" s="79"/>
      <c r="YE9" s="92"/>
      <c r="YF9" s="95"/>
      <c r="YG9" s="71"/>
      <c r="YJ9" s="106"/>
      <c r="YK9" s="15">
        <v>2</v>
      </c>
      <c r="YL9" s="92"/>
      <c r="YM9" s="79"/>
      <c r="YN9" s="92"/>
      <c r="YO9" s="95"/>
      <c r="YP9" s="71"/>
      <c r="YS9" s="106"/>
      <c r="YT9" s="15">
        <v>2</v>
      </c>
      <c r="YU9" s="92"/>
      <c r="YV9" s="79"/>
      <c r="YW9" s="92"/>
      <c r="YX9" s="95"/>
      <c r="YY9" s="71"/>
      <c r="ZB9" s="106"/>
      <c r="ZC9" s="15">
        <v>2</v>
      </c>
      <c r="ZD9" s="92"/>
      <c r="ZE9" s="79"/>
      <c r="ZF9" s="92"/>
      <c r="ZG9" s="95"/>
      <c r="ZH9" s="71"/>
      <c r="ZK9" s="106"/>
      <c r="ZL9" s="15">
        <v>2</v>
      </c>
      <c r="ZM9" s="92"/>
      <c r="ZN9" s="79"/>
      <c r="ZO9" s="92"/>
      <c r="ZP9" s="95"/>
      <c r="ZQ9" s="71"/>
      <c r="ZT9" s="106"/>
      <c r="ZU9" s="15">
        <v>2</v>
      </c>
      <c r="ZV9" s="92"/>
      <c r="ZW9" s="79"/>
      <c r="ZX9" s="92"/>
      <c r="ZY9" s="95"/>
      <c r="ZZ9" s="71"/>
      <c r="AAC9" s="106"/>
      <c r="AAD9" s="15">
        <v>2</v>
      </c>
      <c r="AAE9" s="92"/>
      <c r="AAF9" s="79"/>
      <c r="AAG9" s="92"/>
      <c r="AAH9" s="95"/>
      <c r="AAI9" s="71"/>
      <c r="AAL9" s="106"/>
      <c r="AAM9" s="15">
        <v>2</v>
      </c>
      <c r="AAN9" s="92"/>
      <c r="AAO9" s="79"/>
      <c r="AAP9" s="92"/>
      <c r="AAQ9" s="95"/>
      <c r="AAR9" s="71"/>
      <c r="AAU9" s="106"/>
      <c r="AAV9" s="15">
        <v>2</v>
      </c>
      <c r="AAW9" s="92"/>
      <c r="AAX9" s="79"/>
      <c r="AAY9" s="92"/>
      <c r="AAZ9" s="95"/>
      <c r="ABA9" s="71"/>
      <c r="ABD9" s="106"/>
      <c r="ABE9" s="15">
        <v>2</v>
      </c>
      <c r="ABF9" s="92"/>
      <c r="ABG9" s="79"/>
      <c r="ABH9" s="92"/>
      <c r="ABI9" s="95"/>
      <c r="ABJ9" s="71"/>
      <c r="ABM9" s="106"/>
      <c r="ABN9" s="15">
        <v>2</v>
      </c>
      <c r="ABO9" s="92"/>
      <c r="ABP9" s="79"/>
      <c r="ABQ9" s="92"/>
      <c r="ABR9" s="95"/>
      <c r="ABS9" s="71"/>
      <c r="ABV9" s="106"/>
      <c r="ABW9" s="15">
        <v>2</v>
      </c>
      <c r="ABX9" s="92"/>
      <c r="ABY9" s="79"/>
      <c r="ABZ9" s="92"/>
      <c r="ACA9" s="95"/>
      <c r="ACB9" s="71"/>
      <c r="ACE9" s="106"/>
      <c r="ACF9" s="15">
        <v>2</v>
      </c>
      <c r="ACG9" s="92"/>
      <c r="ACH9" s="79"/>
      <c r="ACI9" s="92"/>
      <c r="ACJ9" s="95"/>
      <c r="ACK9" s="71"/>
      <c r="ACN9" s="106"/>
      <c r="ACO9" s="15">
        <v>2</v>
      </c>
      <c r="ACP9" s="92"/>
      <c r="ACQ9" s="79"/>
      <c r="ACR9" s="92"/>
      <c r="ACS9" s="95"/>
      <c r="ACT9" s="71"/>
      <c r="ACW9" s="106"/>
      <c r="ACX9" s="15">
        <v>2</v>
      </c>
      <c r="ACY9" s="92"/>
      <c r="ACZ9" s="79"/>
      <c r="ADA9" s="92"/>
      <c r="ADB9" s="95"/>
      <c r="ADC9" s="71"/>
      <c r="ADF9" s="106"/>
      <c r="ADG9" s="15">
        <v>2</v>
      </c>
      <c r="ADH9" s="92"/>
      <c r="ADI9" s="79"/>
      <c r="ADJ9" s="92"/>
      <c r="ADK9" s="95"/>
      <c r="ADL9" s="71"/>
      <c r="ADO9" s="94"/>
      <c r="ADP9" s="15">
        <v>2</v>
      </c>
      <c r="ADQ9" s="92"/>
      <c r="ADR9" s="79"/>
      <c r="ADS9" s="92"/>
      <c r="ADT9" s="95"/>
      <c r="ADU9" s="71"/>
      <c r="ADX9" s="106"/>
      <c r="ADY9" s="15">
        <v>2</v>
      </c>
      <c r="ADZ9" s="92"/>
      <c r="AEA9" s="79"/>
      <c r="AEB9" s="92"/>
      <c r="AEC9" s="95"/>
      <c r="AED9" s="71"/>
      <c r="AEG9" s="106"/>
      <c r="AEH9" s="15">
        <v>2</v>
      </c>
      <c r="AEI9" s="92"/>
      <c r="AEJ9" s="79"/>
      <c r="AEK9" s="92"/>
      <c r="AEL9" s="95"/>
      <c r="AEM9" s="71"/>
      <c r="AEP9" s="106"/>
      <c r="AEQ9" s="15">
        <v>2</v>
      </c>
      <c r="AER9" s="92"/>
      <c r="AES9" s="79"/>
      <c r="AET9" s="92"/>
      <c r="AEU9" s="95"/>
      <c r="AEV9" s="71"/>
      <c r="AEY9" s="106"/>
      <c r="AEZ9" s="15">
        <v>2</v>
      </c>
      <c r="AFA9" s="92"/>
      <c r="AFB9" s="79"/>
      <c r="AFC9" s="92"/>
      <c r="AFD9" s="95"/>
      <c r="AFE9" s="71"/>
    </row>
    <row r="10" spans="1:837" ht="16.5" thickTop="1" x14ac:dyDescent="0.25">
      <c r="A10" s="137">
        <v>7</v>
      </c>
      <c r="B10" s="75" t="str">
        <f t="shared" ref="B10:I10" si="57">BS5</f>
        <v xml:space="preserve">OJAI ALIMENTOS SA DE CV </v>
      </c>
      <c r="C10" s="75" t="str">
        <f t="shared" si="57"/>
        <v>CERDO EN COMBO</v>
      </c>
      <c r="D10" s="102">
        <f t="shared" si="57"/>
        <v>0</v>
      </c>
      <c r="E10" s="135">
        <f t="shared" si="57"/>
        <v>44898</v>
      </c>
      <c r="F10" s="86">
        <f t="shared" si="57"/>
        <v>1123</v>
      </c>
      <c r="G10" s="73">
        <f t="shared" si="57"/>
        <v>2</v>
      </c>
      <c r="H10" s="48">
        <f t="shared" si="57"/>
        <v>1123</v>
      </c>
      <c r="I10" s="105">
        <f t="shared" si="57"/>
        <v>0</v>
      </c>
      <c r="L10" s="106"/>
      <c r="M10" s="15">
        <v>3</v>
      </c>
      <c r="N10" s="69">
        <v>893.6</v>
      </c>
      <c r="O10" s="252">
        <v>44895</v>
      </c>
      <c r="P10" s="69">
        <v>893.6</v>
      </c>
      <c r="Q10" s="70" t="s">
        <v>582</v>
      </c>
      <c r="R10" s="71">
        <v>51</v>
      </c>
      <c r="S10" s="393">
        <f t="shared" si="8"/>
        <v>45573.599999999999</v>
      </c>
      <c r="V10" s="106"/>
      <c r="W10" s="15">
        <v>3</v>
      </c>
      <c r="X10" s="69">
        <v>914.4</v>
      </c>
      <c r="Y10" s="252">
        <v>44895</v>
      </c>
      <c r="Z10" s="69">
        <v>914.4</v>
      </c>
      <c r="AA10" s="695" t="s">
        <v>580</v>
      </c>
      <c r="AB10" s="696">
        <v>51</v>
      </c>
      <c r="AC10" s="393">
        <f t="shared" si="9"/>
        <v>46634.400000000001</v>
      </c>
      <c r="AF10" s="94"/>
      <c r="AG10" s="15">
        <v>3</v>
      </c>
      <c r="AH10" s="92">
        <v>934.85</v>
      </c>
      <c r="AI10" s="244">
        <v>44896</v>
      </c>
      <c r="AJ10" s="92">
        <v>934.85</v>
      </c>
      <c r="AK10" s="95" t="s">
        <v>587</v>
      </c>
      <c r="AL10" s="71">
        <v>51</v>
      </c>
      <c r="AM10" s="393">
        <f t="shared" si="10"/>
        <v>47677.35</v>
      </c>
      <c r="AP10" s="94"/>
      <c r="AQ10" s="15">
        <v>3</v>
      </c>
      <c r="AR10" s="92">
        <v>939.8</v>
      </c>
      <c r="AS10" s="244">
        <v>44897</v>
      </c>
      <c r="AT10" s="92">
        <v>939.8</v>
      </c>
      <c r="AU10" s="95" t="s">
        <v>595</v>
      </c>
      <c r="AV10" s="71">
        <v>51</v>
      </c>
      <c r="AW10" s="393">
        <f t="shared" si="11"/>
        <v>47929.799999999996</v>
      </c>
      <c r="AZ10" s="94"/>
      <c r="BA10" s="15">
        <v>3</v>
      </c>
      <c r="BB10" s="92">
        <v>912.6</v>
      </c>
      <c r="BC10" s="244">
        <v>44897</v>
      </c>
      <c r="BD10" s="92">
        <v>912.6</v>
      </c>
      <c r="BE10" s="95" t="s">
        <v>598</v>
      </c>
      <c r="BF10" s="71">
        <v>51</v>
      </c>
      <c r="BG10" s="393">
        <f t="shared" si="12"/>
        <v>46542.6</v>
      </c>
      <c r="BJ10" s="106"/>
      <c r="BK10" s="15">
        <v>3</v>
      </c>
      <c r="BL10" s="92">
        <v>943.92</v>
      </c>
      <c r="BM10" s="135">
        <v>44898</v>
      </c>
      <c r="BN10" s="92">
        <v>943.92</v>
      </c>
      <c r="BO10" s="95" t="s">
        <v>602</v>
      </c>
      <c r="BP10" s="288">
        <v>51</v>
      </c>
      <c r="BQ10" s="481">
        <f t="shared" si="13"/>
        <v>48139.92</v>
      </c>
      <c r="BR10" s="393"/>
      <c r="BT10" s="106"/>
      <c r="BU10" s="15"/>
      <c r="BV10" s="92"/>
      <c r="BW10" s="289"/>
      <c r="BX10" s="1171"/>
      <c r="BY10" s="1172"/>
      <c r="BZ10" s="1173"/>
      <c r="CA10" s="1174">
        <f t="shared" si="5"/>
        <v>0</v>
      </c>
      <c r="CD10" s="213"/>
      <c r="CE10" s="15">
        <v>3</v>
      </c>
      <c r="CF10" s="92">
        <v>875.4</v>
      </c>
      <c r="CG10" s="289">
        <v>44901</v>
      </c>
      <c r="CH10" s="92">
        <v>875.4</v>
      </c>
      <c r="CI10" s="291" t="s">
        <v>619</v>
      </c>
      <c r="CJ10" s="290">
        <v>51</v>
      </c>
      <c r="CK10" s="393">
        <f t="shared" si="14"/>
        <v>44645.4</v>
      </c>
      <c r="CN10" s="94"/>
      <c r="CO10" s="15">
        <v>3</v>
      </c>
      <c r="CP10" s="92">
        <v>935.3</v>
      </c>
      <c r="CQ10" s="289">
        <v>44901</v>
      </c>
      <c r="CR10" s="92">
        <v>935.3</v>
      </c>
      <c r="CS10" s="291" t="s">
        <v>626</v>
      </c>
      <c r="CT10" s="290">
        <v>51</v>
      </c>
      <c r="CU10" s="398">
        <f t="shared" ref="CU10:CU30" si="58">CT10*CR10</f>
        <v>47700.299999999996</v>
      </c>
      <c r="CX10" s="94"/>
      <c r="CY10" s="15">
        <v>3</v>
      </c>
      <c r="CZ10" s="92">
        <v>944.37</v>
      </c>
      <c r="DA10" s="244">
        <v>44902</v>
      </c>
      <c r="DB10" s="92">
        <v>944.37</v>
      </c>
      <c r="DC10" s="95" t="s">
        <v>633</v>
      </c>
      <c r="DD10" s="71">
        <v>51</v>
      </c>
      <c r="DE10" s="393">
        <f t="shared" si="15"/>
        <v>48162.87</v>
      </c>
      <c r="DH10" s="94"/>
      <c r="DI10" s="15">
        <v>3</v>
      </c>
      <c r="DJ10" s="694">
        <v>871.8</v>
      </c>
      <c r="DK10" s="720">
        <v>44903</v>
      </c>
      <c r="DL10" s="694">
        <v>871.8</v>
      </c>
      <c r="DM10" s="721" t="s">
        <v>648</v>
      </c>
      <c r="DN10" s="722">
        <v>51</v>
      </c>
      <c r="DO10" s="398">
        <f t="shared" si="16"/>
        <v>44461.799999999996</v>
      </c>
      <c r="DR10" s="94"/>
      <c r="DS10" s="15">
        <v>3</v>
      </c>
      <c r="DT10" s="92">
        <v>920.33</v>
      </c>
      <c r="DU10" s="289">
        <v>44903</v>
      </c>
      <c r="DV10" s="92">
        <v>920.33</v>
      </c>
      <c r="DW10" s="291" t="s">
        <v>644</v>
      </c>
      <c r="DX10" s="290">
        <v>51</v>
      </c>
      <c r="DY10" s="393">
        <f t="shared" si="17"/>
        <v>46936.83</v>
      </c>
      <c r="EB10" s="94"/>
      <c r="EC10" s="15">
        <v>3</v>
      </c>
      <c r="ED10" s="69">
        <v>907.2</v>
      </c>
      <c r="EE10" s="252">
        <v>44904</v>
      </c>
      <c r="EF10" s="69">
        <v>907.2</v>
      </c>
      <c r="EG10" s="70" t="s">
        <v>661</v>
      </c>
      <c r="EH10" s="71">
        <v>51</v>
      </c>
      <c r="EI10" s="393">
        <f t="shared" si="18"/>
        <v>46267.200000000004</v>
      </c>
      <c r="EL10" s="94"/>
      <c r="EM10" s="15">
        <v>3</v>
      </c>
      <c r="EN10" s="69">
        <v>881.8</v>
      </c>
      <c r="EO10" s="252">
        <v>44904</v>
      </c>
      <c r="EP10" s="69">
        <v>881.8</v>
      </c>
      <c r="EQ10" s="70" t="s">
        <v>659</v>
      </c>
      <c r="ER10" s="71">
        <v>51</v>
      </c>
      <c r="ES10" s="393">
        <f t="shared" si="19"/>
        <v>44971.799999999996</v>
      </c>
      <c r="EV10" s="331"/>
      <c r="EW10" s="15">
        <v>3</v>
      </c>
      <c r="EX10" s="92">
        <v>889</v>
      </c>
      <c r="EY10" s="244">
        <v>44907</v>
      </c>
      <c r="EZ10" s="92">
        <v>889</v>
      </c>
      <c r="FA10" s="70" t="s">
        <v>682</v>
      </c>
      <c r="FB10" s="71">
        <v>51</v>
      </c>
      <c r="FC10" s="393">
        <f t="shared" si="20"/>
        <v>45339</v>
      </c>
      <c r="FF10" s="331"/>
      <c r="FG10" s="15">
        <v>3</v>
      </c>
      <c r="FH10" s="92">
        <v>907.2</v>
      </c>
      <c r="FI10" s="244">
        <v>44905</v>
      </c>
      <c r="FJ10" s="92">
        <v>907.2</v>
      </c>
      <c r="FK10" s="70" t="s">
        <v>678</v>
      </c>
      <c r="FL10" s="71">
        <v>51</v>
      </c>
      <c r="FM10" s="243">
        <f t="shared" si="21"/>
        <v>46267.200000000004</v>
      </c>
      <c r="FP10" s="94"/>
      <c r="FQ10" s="15">
        <v>3</v>
      </c>
      <c r="FR10" s="92">
        <v>950.72</v>
      </c>
      <c r="FS10" s="244">
        <v>44905</v>
      </c>
      <c r="FT10" s="92">
        <v>950.72</v>
      </c>
      <c r="FU10" s="70" t="s">
        <v>674</v>
      </c>
      <c r="FV10" s="71">
        <v>51</v>
      </c>
      <c r="FW10" s="393">
        <f t="shared" si="22"/>
        <v>48486.720000000001</v>
      </c>
      <c r="FZ10" s="94"/>
      <c r="GA10" s="15">
        <v>3</v>
      </c>
      <c r="GB10" s="69">
        <v>870.9</v>
      </c>
      <c r="GC10" s="252">
        <v>44908</v>
      </c>
      <c r="GD10" s="69">
        <v>870.9</v>
      </c>
      <c r="GE10" s="70" t="s">
        <v>689</v>
      </c>
      <c r="GF10" s="71">
        <v>49</v>
      </c>
      <c r="GG10" s="243">
        <f t="shared" si="23"/>
        <v>42674.1</v>
      </c>
      <c r="GJ10" s="94"/>
      <c r="GK10" s="15">
        <v>3</v>
      </c>
      <c r="GL10" s="352">
        <v>912.6</v>
      </c>
      <c r="GM10" s="244">
        <v>44908</v>
      </c>
      <c r="GN10" s="352">
        <v>912.6</v>
      </c>
      <c r="GO10" s="95" t="s">
        <v>696</v>
      </c>
      <c r="GP10" s="71">
        <v>49</v>
      </c>
      <c r="GQ10" s="393">
        <f t="shared" si="24"/>
        <v>44717.4</v>
      </c>
      <c r="GT10" s="94"/>
      <c r="GU10" s="15">
        <v>3</v>
      </c>
      <c r="GV10" s="92">
        <v>925.3</v>
      </c>
      <c r="GW10" s="244">
        <v>44908</v>
      </c>
      <c r="GX10" s="92">
        <v>925.3</v>
      </c>
      <c r="GY10" s="95" t="s">
        <v>694</v>
      </c>
      <c r="GZ10" s="71">
        <v>49</v>
      </c>
      <c r="HA10" s="393">
        <f t="shared" si="25"/>
        <v>45339.7</v>
      </c>
      <c r="HD10" s="94"/>
      <c r="HE10" s="15">
        <v>3</v>
      </c>
      <c r="HF10" s="92">
        <v>946.64</v>
      </c>
      <c r="HG10" s="244">
        <v>44909</v>
      </c>
      <c r="HH10" s="92">
        <v>946.64</v>
      </c>
      <c r="HI10" s="95" t="s">
        <v>705</v>
      </c>
      <c r="HJ10" s="71">
        <v>49</v>
      </c>
      <c r="HK10" s="393">
        <f t="shared" si="26"/>
        <v>46385.36</v>
      </c>
      <c r="HN10" s="94"/>
      <c r="HO10" s="15">
        <v>3</v>
      </c>
      <c r="HP10" s="92">
        <v>904.46</v>
      </c>
      <c r="HQ10" s="244">
        <v>44909</v>
      </c>
      <c r="HR10" s="92">
        <v>904.46</v>
      </c>
      <c r="HS10" s="292" t="s">
        <v>699</v>
      </c>
      <c r="HT10" s="71">
        <v>49</v>
      </c>
      <c r="HU10" s="393">
        <f t="shared" si="27"/>
        <v>44318.54</v>
      </c>
      <c r="HX10" s="106"/>
      <c r="HY10" s="15">
        <v>3</v>
      </c>
      <c r="HZ10" s="69">
        <v>964.33</v>
      </c>
      <c r="IA10" s="252">
        <v>44910</v>
      </c>
      <c r="IB10" s="69">
        <v>964.33</v>
      </c>
      <c r="IC10" s="70" t="s">
        <v>718</v>
      </c>
      <c r="ID10" s="71">
        <v>49</v>
      </c>
      <c r="IE10" s="393">
        <f t="shared" si="6"/>
        <v>47252.170000000006</v>
      </c>
      <c r="IH10" s="106"/>
      <c r="II10" s="15">
        <v>3</v>
      </c>
      <c r="IJ10" s="69">
        <v>864.5</v>
      </c>
      <c r="IK10" s="252">
        <v>44910</v>
      </c>
      <c r="IL10" s="69">
        <v>864.5</v>
      </c>
      <c r="IM10" s="70" t="s">
        <v>716</v>
      </c>
      <c r="IN10" s="71">
        <v>49</v>
      </c>
      <c r="IO10" s="393">
        <f t="shared" si="28"/>
        <v>42360.5</v>
      </c>
      <c r="IQ10" s="488"/>
      <c r="IR10" s="94"/>
      <c r="IS10" s="15">
        <v>3</v>
      </c>
      <c r="IT10" s="92">
        <v>895.4</v>
      </c>
      <c r="IU10" s="135">
        <v>44911</v>
      </c>
      <c r="IV10" s="92">
        <v>895.4</v>
      </c>
      <c r="IW10" s="363" t="s">
        <v>730</v>
      </c>
      <c r="IX10" s="71">
        <v>47</v>
      </c>
      <c r="IY10" s="243">
        <f t="shared" si="29"/>
        <v>42083.799999999996</v>
      </c>
      <c r="IZ10" s="92"/>
      <c r="JA10" s="69"/>
      <c r="JB10" s="94"/>
      <c r="JC10" s="15">
        <v>3</v>
      </c>
      <c r="JD10" s="92">
        <v>920.8</v>
      </c>
      <c r="JE10" s="252">
        <v>44911</v>
      </c>
      <c r="JF10" s="92">
        <v>920.8</v>
      </c>
      <c r="JG10" s="70" t="s">
        <v>727</v>
      </c>
      <c r="JH10" s="71">
        <v>47</v>
      </c>
      <c r="JI10" s="393">
        <f t="shared" si="30"/>
        <v>43277.599999999999</v>
      </c>
      <c r="JJ10" s="69"/>
      <c r="JL10" s="94"/>
      <c r="JM10" s="15">
        <v>3</v>
      </c>
      <c r="JN10" s="92">
        <v>922.6</v>
      </c>
      <c r="JO10" s="244">
        <v>44912</v>
      </c>
      <c r="JP10" s="92">
        <v>922.6</v>
      </c>
      <c r="JQ10" s="70" t="s">
        <v>739</v>
      </c>
      <c r="JR10" s="71">
        <v>48</v>
      </c>
      <c r="JS10" s="393">
        <f t="shared" si="31"/>
        <v>44284.800000000003</v>
      </c>
      <c r="JV10" s="106"/>
      <c r="JW10" s="15">
        <v>3</v>
      </c>
      <c r="JX10" s="69">
        <v>896.3</v>
      </c>
      <c r="JY10" s="252">
        <v>44912</v>
      </c>
      <c r="JZ10" s="69">
        <v>896.3</v>
      </c>
      <c r="KA10" s="70" t="s">
        <v>746</v>
      </c>
      <c r="KB10" s="71">
        <v>48</v>
      </c>
      <c r="KC10" s="393">
        <f t="shared" si="32"/>
        <v>43022.399999999994</v>
      </c>
      <c r="KF10" s="106"/>
      <c r="KG10" s="15">
        <v>3</v>
      </c>
      <c r="KH10" s="69">
        <v>902.2</v>
      </c>
      <c r="KI10" s="252">
        <v>44915</v>
      </c>
      <c r="KJ10" s="69">
        <v>902.2</v>
      </c>
      <c r="KK10" s="70" t="s">
        <v>756</v>
      </c>
      <c r="KL10" s="71">
        <v>49</v>
      </c>
      <c r="KM10" s="393">
        <f t="shared" si="33"/>
        <v>44207.8</v>
      </c>
      <c r="KP10" s="106"/>
      <c r="KQ10" s="15">
        <v>3</v>
      </c>
      <c r="KR10" s="69">
        <v>930.77</v>
      </c>
      <c r="KS10" s="252">
        <v>44915</v>
      </c>
      <c r="KT10" s="69">
        <v>930.77</v>
      </c>
      <c r="KU10" s="695" t="s">
        <v>757</v>
      </c>
      <c r="KV10" s="696">
        <v>49</v>
      </c>
      <c r="KW10" s="393">
        <f t="shared" si="34"/>
        <v>45607.729999999996</v>
      </c>
      <c r="KZ10" s="94"/>
      <c r="LA10" s="15">
        <v>3</v>
      </c>
      <c r="LB10" s="92">
        <v>911.7</v>
      </c>
      <c r="LC10" s="244">
        <v>44916</v>
      </c>
      <c r="LD10" s="92">
        <v>911.7</v>
      </c>
      <c r="LE10" s="95" t="s">
        <v>771</v>
      </c>
      <c r="LF10" s="71">
        <v>51</v>
      </c>
      <c r="LG10" s="393">
        <f t="shared" si="35"/>
        <v>46496.700000000004</v>
      </c>
      <c r="LJ10" s="94"/>
      <c r="LK10" s="15">
        <v>3</v>
      </c>
      <c r="LL10" s="92">
        <v>915.34</v>
      </c>
      <c r="LM10" s="244">
        <v>44916</v>
      </c>
      <c r="LN10" s="92">
        <v>915.34</v>
      </c>
      <c r="LO10" s="95" t="s">
        <v>776</v>
      </c>
      <c r="LP10" s="71">
        <v>51</v>
      </c>
      <c r="LQ10" s="393">
        <f t="shared" si="36"/>
        <v>46682.340000000004</v>
      </c>
      <c r="LT10" s="94"/>
      <c r="LU10" s="15">
        <v>3</v>
      </c>
      <c r="LV10" s="92">
        <v>876.8</v>
      </c>
      <c r="LW10" s="244">
        <v>44917</v>
      </c>
      <c r="LX10" s="92">
        <v>876.8</v>
      </c>
      <c r="LY10" s="95" t="s">
        <v>786</v>
      </c>
      <c r="LZ10" s="71">
        <v>53</v>
      </c>
      <c r="MA10" s="393">
        <f t="shared" si="37"/>
        <v>46470.399999999994</v>
      </c>
      <c r="MB10" s="393"/>
      <c r="MD10" s="94"/>
      <c r="ME10" s="15">
        <v>3</v>
      </c>
      <c r="MF10" s="296">
        <v>932.6</v>
      </c>
      <c r="MG10" s="244">
        <v>44916</v>
      </c>
      <c r="MH10" s="296">
        <v>932.6</v>
      </c>
      <c r="MI10" s="95" t="s">
        <v>780</v>
      </c>
      <c r="MJ10" s="71">
        <v>51</v>
      </c>
      <c r="MK10" s="71">
        <f t="shared" si="38"/>
        <v>47562.6</v>
      </c>
      <c r="MN10" s="94"/>
      <c r="MO10" s="15">
        <v>3</v>
      </c>
      <c r="MP10" s="92">
        <v>906.27</v>
      </c>
      <c r="MQ10" s="244">
        <v>44917</v>
      </c>
      <c r="MR10" s="92">
        <v>906.27</v>
      </c>
      <c r="MS10" s="95" t="s">
        <v>789</v>
      </c>
      <c r="MT10" s="71">
        <v>53</v>
      </c>
      <c r="MU10" s="71">
        <f t="shared" si="39"/>
        <v>48032.31</v>
      </c>
      <c r="MX10" s="94"/>
      <c r="MY10" s="15">
        <v>3</v>
      </c>
      <c r="MZ10" s="92">
        <v>917.2</v>
      </c>
      <c r="NA10" s="244">
        <v>44918</v>
      </c>
      <c r="NB10" s="92">
        <v>917.2</v>
      </c>
      <c r="NC10" s="95" t="s">
        <v>801</v>
      </c>
      <c r="ND10" s="71">
        <v>53</v>
      </c>
      <c r="NE10" s="71">
        <f t="shared" si="40"/>
        <v>48611.600000000006</v>
      </c>
      <c r="NH10" s="94"/>
      <c r="NI10" s="15">
        <v>3</v>
      </c>
      <c r="NJ10" s="92">
        <v>899</v>
      </c>
      <c r="NK10" s="244">
        <v>44918</v>
      </c>
      <c r="NL10" s="92">
        <v>899</v>
      </c>
      <c r="NM10" s="95" t="s">
        <v>809</v>
      </c>
      <c r="NN10" s="71">
        <v>53</v>
      </c>
      <c r="NO10" s="71">
        <f t="shared" si="41"/>
        <v>47647</v>
      </c>
      <c r="NR10" s="94"/>
      <c r="NS10" s="15">
        <v>3</v>
      </c>
      <c r="NT10" s="92">
        <v>881.8</v>
      </c>
      <c r="NU10" s="244">
        <v>44918</v>
      </c>
      <c r="NV10" s="92">
        <v>881.8</v>
      </c>
      <c r="NW10" s="95" t="s">
        <v>819</v>
      </c>
      <c r="NX10" s="71">
        <v>53</v>
      </c>
      <c r="NY10" s="71">
        <f t="shared" si="42"/>
        <v>46735.399999999994</v>
      </c>
      <c r="OB10" s="94"/>
      <c r="OC10" s="15">
        <v>3</v>
      </c>
      <c r="OD10" s="92">
        <v>879.1</v>
      </c>
      <c r="OE10" s="244">
        <v>44919</v>
      </c>
      <c r="OF10" s="92">
        <v>879.1</v>
      </c>
      <c r="OG10" s="95" t="s">
        <v>825</v>
      </c>
      <c r="OH10" s="71">
        <v>53</v>
      </c>
      <c r="OI10" s="71">
        <f t="shared" si="43"/>
        <v>46592.3</v>
      </c>
      <c r="OL10" s="94"/>
      <c r="OM10" s="15">
        <v>3</v>
      </c>
      <c r="ON10" s="92">
        <v>880.9</v>
      </c>
      <c r="OO10" s="244">
        <v>44919</v>
      </c>
      <c r="OP10" s="92">
        <v>880.9</v>
      </c>
      <c r="OQ10" s="95" t="s">
        <v>823</v>
      </c>
      <c r="OR10" s="71">
        <v>53</v>
      </c>
      <c r="OS10" s="71">
        <f t="shared" si="44"/>
        <v>46687.7</v>
      </c>
      <c r="OV10" s="94"/>
      <c r="OW10" s="15">
        <v>3</v>
      </c>
      <c r="OX10" s="92">
        <v>922.6</v>
      </c>
      <c r="OY10" s="244">
        <v>44921</v>
      </c>
      <c r="OZ10" s="92">
        <v>922.6</v>
      </c>
      <c r="PA10" s="95" t="s">
        <v>830</v>
      </c>
      <c r="PB10" s="71">
        <v>53</v>
      </c>
      <c r="PC10" s="71">
        <f t="shared" si="45"/>
        <v>48897.8</v>
      </c>
      <c r="PF10" s="94"/>
      <c r="PG10" s="15">
        <v>3</v>
      </c>
      <c r="PH10" s="92">
        <v>907.6</v>
      </c>
      <c r="PI10" s="244">
        <v>44924</v>
      </c>
      <c r="PJ10" s="92">
        <v>907.6</v>
      </c>
      <c r="PK10" s="95" t="s">
        <v>806</v>
      </c>
      <c r="PL10" s="71">
        <v>53</v>
      </c>
      <c r="PM10" s="71">
        <f t="shared" si="46"/>
        <v>48102.8</v>
      </c>
      <c r="PN10" s="71"/>
      <c r="PQ10" s="106"/>
      <c r="PR10" s="15">
        <v>3</v>
      </c>
      <c r="PS10" s="92">
        <v>935.8</v>
      </c>
      <c r="PT10" s="244">
        <v>44924</v>
      </c>
      <c r="PU10" s="92">
        <v>935.8</v>
      </c>
      <c r="PV10" s="95" t="s">
        <v>847</v>
      </c>
      <c r="PW10" s="71">
        <v>53</v>
      </c>
      <c r="PX10" s="71">
        <f t="shared" si="47"/>
        <v>49597.399999999994</v>
      </c>
      <c r="QA10" s="106"/>
      <c r="QB10" s="15">
        <v>3</v>
      </c>
      <c r="QC10" s="92">
        <v>928.95</v>
      </c>
      <c r="QD10" s="135">
        <v>44924</v>
      </c>
      <c r="QE10" s="92">
        <v>928.95</v>
      </c>
      <c r="QF10" s="95" t="s">
        <v>844</v>
      </c>
      <c r="QG10" s="71">
        <v>53</v>
      </c>
      <c r="QH10" s="71">
        <f t="shared" si="48"/>
        <v>49234.350000000006</v>
      </c>
      <c r="QK10" s="106"/>
      <c r="QL10" s="15">
        <v>3</v>
      </c>
      <c r="QM10" s="92">
        <v>904</v>
      </c>
      <c r="QN10" s="244">
        <v>44925</v>
      </c>
      <c r="QO10" s="92">
        <v>904</v>
      </c>
      <c r="QP10" s="95" t="s">
        <v>856</v>
      </c>
      <c r="QQ10" s="71">
        <v>53</v>
      </c>
      <c r="QR10" s="71">
        <f t="shared" si="49"/>
        <v>47912</v>
      </c>
      <c r="QU10" s="106"/>
      <c r="QV10" s="15">
        <v>3</v>
      </c>
      <c r="QW10" s="92">
        <v>895.4</v>
      </c>
      <c r="QX10" s="244">
        <v>44926</v>
      </c>
      <c r="QY10" s="92">
        <v>895.4</v>
      </c>
      <c r="QZ10" s="95" t="s">
        <v>860</v>
      </c>
      <c r="RA10" s="71">
        <v>53</v>
      </c>
      <c r="RB10" s="71">
        <f t="shared" si="50"/>
        <v>47456.2</v>
      </c>
      <c r="RE10" s="106"/>
      <c r="RF10" s="15">
        <v>3</v>
      </c>
      <c r="RG10" s="92">
        <v>885.4</v>
      </c>
      <c r="RH10" s="244">
        <v>44930</v>
      </c>
      <c r="RI10" s="92">
        <v>885.4</v>
      </c>
      <c r="RJ10" s="95" t="s">
        <v>889</v>
      </c>
      <c r="RK10" s="71">
        <v>47</v>
      </c>
      <c r="RL10" s="71">
        <f t="shared" si="51"/>
        <v>41613.799999999996</v>
      </c>
      <c r="RO10" s="106"/>
      <c r="RP10" s="15">
        <v>3</v>
      </c>
      <c r="RQ10" s="92">
        <v>888.1</v>
      </c>
      <c r="RR10" s="244">
        <v>44930</v>
      </c>
      <c r="RS10" s="92">
        <v>888.1</v>
      </c>
      <c r="RT10" s="95" t="s">
        <v>885</v>
      </c>
      <c r="RU10" s="71">
        <v>49</v>
      </c>
      <c r="RV10" s="71">
        <f t="shared" si="52"/>
        <v>43516.9</v>
      </c>
      <c r="RY10" s="106"/>
      <c r="RZ10" s="15">
        <v>3</v>
      </c>
      <c r="SA10" s="92">
        <v>927.14</v>
      </c>
      <c r="SB10" s="135">
        <v>44931</v>
      </c>
      <c r="SC10" s="92">
        <v>927.14</v>
      </c>
      <c r="SD10" s="95" t="s">
        <v>892</v>
      </c>
      <c r="SE10" s="71">
        <v>47</v>
      </c>
      <c r="SF10" s="71">
        <f t="shared" si="53"/>
        <v>43575.58</v>
      </c>
      <c r="SI10" s="106"/>
      <c r="SJ10" s="15">
        <v>3</v>
      </c>
      <c r="SK10" s="92">
        <v>915.34</v>
      </c>
      <c r="SL10" s="244">
        <v>44932</v>
      </c>
      <c r="SM10" s="92">
        <v>915.34</v>
      </c>
      <c r="SN10" s="95" t="s">
        <v>904</v>
      </c>
      <c r="SO10" s="71">
        <v>47</v>
      </c>
      <c r="SP10" s="71">
        <f t="shared" si="54"/>
        <v>43020.98</v>
      </c>
      <c r="SS10" s="106"/>
      <c r="ST10" s="15">
        <v>3</v>
      </c>
      <c r="SU10" s="92">
        <v>937.1</v>
      </c>
      <c r="SV10" s="244">
        <v>44933</v>
      </c>
      <c r="SW10" s="92">
        <v>937.1</v>
      </c>
      <c r="SX10" s="95" t="s">
        <v>909</v>
      </c>
      <c r="SY10" s="71">
        <v>45</v>
      </c>
      <c r="SZ10" s="71">
        <f t="shared" si="55"/>
        <v>42169.5</v>
      </c>
      <c r="TC10" s="106"/>
      <c r="TD10" s="15">
        <v>3</v>
      </c>
      <c r="TE10" s="92">
        <v>921.7</v>
      </c>
      <c r="TF10" s="244">
        <v>44933</v>
      </c>
      <c r="TG10" s="92">
        <v>921.7</v>
      </c>
      <c r="TH10" s="95" t="s">
        <v>913</v>
      </c>
      <c r="TI10" s="71">
        <v>45</v>
      </c>
      <c r="TJ10" s="71">
        <f t="shared" si="56"/>
        <v>41476.5</v>
      </c>
      <c r="TM10" s="106"/>
      <c r="TN10" s="15">
        <v>3</v>
      </c>
      <c r="TO10" s="92"/>
      <c r="TP10" s="295"/>
      <c r="TQ10" s="168"/>
      <c r="TR10" s="291"/>
      <c r="TS10" s="290"/>
      <c r="TT10" s="290"/>
      <c r="TW10" s="106"/>
      <c r="TX10" s="15">
        <v>3</v>
      </c>
      <c r="TY10" s="92"/>
      <c r="TZ10" s="79"/>
      <c r="UA10" s="92"/>
      <c r="UB10" s="95"/>
      <c r="UC10" s="71"/>
      <c r="UF10" s="106"/>
      <c r="UG10" s="15">
        <v>3</v>
      </c>
      <c r="UH10" s="92"/>
      <c r="UI10" s="79"/>
      <c r="UJ10" s="92"/>
      <c r="UK10" s="95"/>
      <c r="UL10" s="71"/>
      <c r="UO10" s="106"/>
      <c r="UP10" s="15">
        <v>3</v>
      </c>
      <c r="UQ10" s="92"/>
      <c r="UR10" s="79"/>
      <c r="US10" s="92"/>
      <c r="UT10" s="95"/>
      <c r="UU10" s="71"/>
      <c r="UX10" s="106"/>
      <c r="UY10" s="15">
        <v>3</v>
      </c>
      <c r="UZ10" s="92"/>
      <c r="VA10" s="79"/>
      <c r="VB10" s="92"/>
      <c r="VC10" s="95"/>
      <c r="VD10" s="71"/>
      <c r="VG10" s="106"/>
      <c r="VH10" s="15">
        <v>3</v>
      </c>
      <c r="VI10" s="92"/>
      <c r="VJ10" s="79"/>
      <c r="VK10" s="92"/>
      <c r="VL10" s="95"/>
      <c r="VM10" s="71"/>
      <c r="VP10" s="106"/>
      <c r="VQ10" s="15">
        <v>3</v>
      </c>
      <c r="VR10" s="92"/>
      <c r="VS10" s="79"/>
      <c r="VT10" s="92"/>
      <c r="VU10" s="95"/>
      <c r="VV10" s="71"/>
      <c r="VY10" s="106"/>
      <c r="VZ10" s="15">
        <v>3</v>
      </c>
      <c r="WA10" s="92"/>
      <c r="WB10" s="79"/>
      <c r="WC10" s="92"/>
      <c r="WD10" s="95"/>
      <c r="WE10" s="71"/>
      <c r="WH10" s="106"/>
      <c r="WI10" s="15">
        <v>3</v>
      </c>
      <c r="WJ10" s="92"/>
      <c r="WK10" s="79"/>
      <c r="WL10" s="92"/>
      <c r="WM10" s="95"/>
      <c r="WN10" s="71"/>
      <c r="WQ10" s="106"/>
      <c r="WR10" s="15">
        <v>3</v>
      </c>
      <c r="WS10" s="92"/>
      <c r="WT10" s="79"/>
      <c r="WU10" s="92"/>
      <c r="WV10" s="95"/>
      <c r="WW10" s="71"/>
      <c r="WZ10" s="106"/>
      <c r="XA10" s="15">
        <v>3</v>
      </c>
      <c r="XB10" s="92"/>
      <c r="XC10" s="79"/>
      <c r="XD10" s="92"/>
      <c r="XE10" s="95"/>
      <c r="XF10" s="71"/>
      <c r="XI10" s="106"/>
      <c r="XJ10" s="15">
        <v>3</v>
      </c>
      <c r="XK10" s="92"/>
      <c r="XL10" s="79"/>
      <c r="XM10" s="92"/>
      <c r="XN10" s="95"/>
      <c r="XO10" s="71"/>
      <c r="XR10" s="106"/>
      <c r="XS10" s="15">
        <v>3</v>
      </c>
      <c r="XT10" s="92"/>
      <c r="XU10" s="79"/>
      <c r="XV10" s="92"/>
      <c r="XW10" s="95"/>
      <c r="XX10" s="71"/>
      <c r="YA10" s="106"/>
      <c r="YB10" s="15">
        <v>3</v>
      </c>
      <c r="YC10" s="92"/>
      <c r="YD10" s="79"/>
      <c r="YE10" s="92"/>
      <c r="YF10" s="95"/>
      <c r="YG10" s="71"/>
      <c r="YJ10" s="106"/>
      <c r="YK10" s="15">
        <v>3</v>
      </c>
      <c r="YL10" s="92"/>
      <c r="YM10" s="79"/>
      <c r="YN10" s="92"/>
      <c r="YO10" s="95"/>
      <c r="YP10" s="71"/>
      <c r="YS10" s="106"/>
      <c r="YT10" s="15">
        <v>3</v>
      </c>
      <c r="YU10" s="92"/>
      <c r="YV10" s="79"/>
      <c r="YW10" s="92"/>
      <c r="YX10" s="95"/>
      <c r="YY10" s="71"/>
      <c r="ZB10" s="106"/>
      <c r="ZC10" s="15">
        <v>3</v>
      </c>
      <c r="ZD10" s="92"/>
      <c r="ZE10" s="79"/>
      <c r="ZF10" s="92"/>
      <c r="ZG10" s="95"/>
      <c r="ZH10" s="71"/>
      <c r="ZK10" s="106"/>
      <c r="ZL10" s="15">
        <v>3</v>
      </c>
      <c r="ZM10" s="92"/>
      <c r="ZN10" s="79"/>
      <c r="ZO10" s="92"/>
      <c r="ZP10" s="95"/>
      <c r="ZQ10" s="71"/>
      <c r="ZT10" s="106"/>
      <c r="ZU10" s="15">
        <v>3</v>
      </c>
      <c r="ZV10" s="92"/>
      <c r="ZW10" s="79"/>
      <c r="ZX10" s="92"/>
      <c r="ZY10" s="95"/>
      <c r="ZZ10" s="71"/>
      <c r="AAC10" s="106"/>
      <c r="AAD10" s="15">
        <v>3</v>
      </c>
      <c r="AAE10" s="92"/>
      <c r="AAF10" s="79"/>
      <c r="AAG10" s="92"/>
      <c r="AAH10" s="95"/>
      <c r="AAI10" s="71"/>
      <c r="AAL10" s="106"/>
      <c r="AAM10" s="15">
        <v>3</v>
      </c>
      <c r="AAN10" s="92"/>
      <c r="AAO10" s="79"/>
      <c r="AAP10" s="92"/>
      <c r="AAQ10" s="95"/>
      <c r="AAR10" s="71"/>
      <c r="AAU10" s="106"/>
      <c r="AAV10" s="15">
        <v>3</v>
      </c>
      <c r="AAW10" s="92"/>
      <c r="AAX10" s="79"/>
      <c r="AAY10" s="92"/>
      <c r="AAZ10" s="95"/>
      <c r="ABA10" s="71"/>
      <c r="ABD10" s="106"/>
      <c r="ABE10" s="15">
        <v>3</v>
      </c>
      <c r="ABF10" s="92"/>
      <c r="ABG10" s="79"/>
      <c r="ABH10" s="92"/>
      <c r="ABI10" s="95"/>
      <c r="ABJ10" s="71"/>
      <c r="ABM10" s="106"/>
      <c r="ABN10" s="15">
        <v>3</v>
      </c>
      <c r="ABO10" s="92"/>
      <c r="ABP10" s="79"/>
      <c r="ABQ10" s="92"/>
      <c r="ABR10" s="95"/>
      <c r="ABS10" s="71"/>
      <c r="ABV10" s="106"/>
      <c r="ABW10" s="15">
        <v>3</v>
      </c>
      <c r="ABX10" s="92"/>
      <c r="ABY10" s="79"/>
      <c r="ABZ10" s="92"/>
      <c r="ACA10" s="95"/>
      <c r="ACB10" s="71"/>
      <c r="ACE10" s="106"/>
      <c r="ACF10" s="15">
        <v>3</v>
      </c>
      <c r="ACG10" s="92"/>
      <c r="ACH10" s="79"/>
      <c r="ACI10" s="92"/>
      <c r="ACJ10" s="95"/>
      <c r="ACK10" s="71"/>
      <c r="ACN10" s="106"/>
      <c r="ACO10" s="15">
        <v>3</v>
      </c>
      <c r="ACP10" s="92"/>
      <c r="ACQ10" s="79"/>
      <c r="ACR10" s="92"/>
      <c r="ACS10" s="95"/>
      <c r="ACT10" s="71"/>
      <c r="ACW10" s="106"/>
      <c r="ACX10" s="15">
        <v>3</v>
      </c>
      <c r="ACY10" s="92"/>
      <c r="ACZ10" s="79"/>
      <c r="ADA10" s="92"/>
      <c r="ADB10" s="95"/>
      <c r="ADC10" s="71"/>
      <c r="ADF10" s="106"/>
      <c r="ADG10" s="15">
        <v>3</v>
      </c>
      <c r="ADH10" s="92"/>
      <c r="ADI10" s="79"/>
      <c r="ADJ10" s="92"/>
      <c r="ADK10" s="95"/>
      <c r="ADL10" s="71"/>
      <c r="ADO10" s="94"/>
      <c r="ADP10" s="15">
        <v>3</v>
      </c>
      <c r="ADQ10" s="92"/>
      <c r="ADR10" s="79"/>
      <c r="ADS10" s="92"/>
      <c r="ADT10" s="95"/>
      <c r="ADU10" s="71"/>
      <c r="ADX10" s="106"/>
      <c r="ADY10" s="15">
        <v>3</v>
      </c>
      <c r="ADZ10" s="92"/>
      <c r="AEA10" s="79"/>
      <c r="AEB10" s="92"/>
      <c r="AEC10" s="95"/>
      <c r="AED10" s="71"/>
      <c r="AEG10" s="106"/>
      <c r="AEH10" s="15">
        <v>3</v>
      </c>
      <c r="AEI10" s="92"/>
      <c r="AEJ10" s="79"/>
      <c r="AEK10" s="92"/>
      <c r="AEL10" s="95"/>
      <c r="AEM10" s="71"/>
      <c r="AEP10" s="106"/>
      <c r="AEQ10" s="15">
        <v>3</v>
      </c>
      <c r="AER10" s="92"/>
      <c r="AES10" s="79"/>
      <c r="AET10" s="92"/>
      <c r="AEU10" s="95"/>
      <c r="AEV10" s="71"/>
      <c r="AEY10" s="106"/>
      <c r="AEZ10" s="15">
        <v>3</v>
      </c>
      <c r="AFA10" s="92"/>
      <c r="AFB10" s="79"/>
      <c r="AFC10" s="92"/>
      <c r="AFD10" s="95"/>
      <c r="AFE10" s="71"/>
    </row>
    <row r="11" spans="1:837" x14ac:dyDescent="0.25">
      <c r="A11" s="137">
        <v>8</v>
      </c>
      <c r="B11" s="75" t="str">
        <f t="shared" ref="B11:I11" si="59">CC5</f>
        <v>SEABOARD FOODS</v>
      </c>
      <c r="C11" s="75" t="str">
        <f t="shared" si="59"/>
        <v>Seaboard</v>
      </c>
      <c r="D11" s="102" t="str">
        <f t="shared" si="59"/>
        <v>PED. 90587790</v>
      </c>
      <c r="E11" s="135">
        <f t="shared" si="59"/>
        <v>44901</v>
      </c>
      <c r="F11" s="86">
        <f t="shared" si="59"/>
        <v>18014.7</v>
      </c>
      <c r="G11" s="73">
        <f t="shared" si="59"/>
        <v>20</v>
      </c>
      <c r="H11" s="48">
        <f t="shared" si="59"/>
        <v>18032</v>
      </c>
      <c r="I11" s="105">
        <f t="shared" si="59"/>
        <v>-17.299999999999272</v>
      </c>
      <c r="K11" s="61"/>
      <c r="L11" s="106"/>
      <c r="M11" s="15">
        <v>4</v>
      </c>
      <c r="N11" s="69">
        <v>911.7</v>
      </c>
      <c r="O11" s="252">
        <v>44895</v>
      </c>
      <c r="P11" s="69">
        <v>911.7</v>
      </c>
      <c r="Q11" s="70" t="s">
        <v>582</v>
      </c>
      <c r="R11" s="71">
        <v>51</v>
      </c>
      <c r="S11" s="393">
        <f t="shared" si="8"/>
        <v>46496.700000000004</v>
      </c>
      <c r="U11" s="61"/>
      <c r="V11" s="106"/>
      <c r="W11" s="15">
        <v>4</v>
      </c>
      <c r="X11" s="69">
        <v>911.7</v>
      </c>
      <c r="Y11" s="252">
        <v>44895</v>
      </c>
      <c r="Z11" s="69">
        <v>911.7</v>
      </c>
      <c r="AA11" s="695" t="s">
        <v>580</v>
      </c>
      <c r="AB11" s="696">
        <v>51</v>
      </c>
      <c r="AC11" s="393">
        <f t="shared" si="9"/>
        <v>46496.700000000004</v>
      </c>
      <c r="AE11" s="61"/>
      <c r="AF11" s="106"/>
      <c r="AG11" s="15">
        <v>4</v>
      </c>
      <c r="AH11" s="92">
        <v>948.91</v>
      </c>
      <c r="AI11" s="244">
        <v>44896</v>
      </c>
      <c r="AJ11" s="92">
        <v>948.91</v>
      </c>
      <c r="AK11" s="95" t="s">
        <v>587</v>
      </c>
      <c r="AL11" s="71">
        <v>51</v>
      </c>
      <c r="AM11" s="393">
        <f t="shared" si="10"/>
        <v>48394.409999999996</v>
      </c>
      <c r="AO11" s="61"/>
      <c r="AP11" s="106"/>
      <c r="AQ11" s="15">
        <v>4</v>
      </c>
      <c r="AR11" s="92">
        <v>908.2</v>
      </c>
      <c r="AS11" s="244">
        <v>44897</v>
      </c>
      <c r="AT11" s="92">
        <v>908.2</v>
      </c>
      <c r="AU11" s="95" t="s">
        <v>595</v>
      </c>
      <c r="AV11" s="71">
        <v>51</v>
      </c>
      <c r="AW11" s="393">
        <f t="shared" si="11"/>
        <v>46318.200000000004</v>
      </c>
      <c r="AY11" s="61"/>
      <c r="AZ11" s="106"/>
      <c r="BA11" s="15">
        <v>4</v>
      </c>
      <c r="BB11" s="92">
        <v>883.6</v>
      </c>
      <c r="BC11" s="244">
        <v>44897</v>
      </c>
      <c r="BD11" s="92">
        <v>883.6</v>
      </c>
      <c r="BE11" s="95" t="s">
        <v>598</v>
      </c>
      <c r="BF11" s="71">
        <v>51</v>
      </c>
      <c r="BG11" s="393">
        <f t="shared" si="12"/>
        <v>45063.6</v>
      </c>
      <c r="BI11" s="61"/>
      <c r="BJ11" s="106"/>
      <c r="BK11" s="15">
        <v>4</v>
      </c>
      <c r="BL11" s="92">
        <v>965.24</v>
      </c>
      <c r="BM11" s="135">
        <v>44898</v>
      </c>
      <c r="BN11" s="92">
        <v>965.24</v>
      </c>
      <c r="BO11" s="95" t="s">
        <v>602</v>
      </c>
      <c r="BP11" s="288">
        <v>51</v>
      </c>
      <c r="BQ11" s="481">
        <f t="shared" si="13"/>
        <v>49227.24</v>
      </c>
      <c r="BR11" s="393"/>
      <c r="BS11" s="61"/>
      <c r="BT11" s="106"/>
      <c r="BU11" s="15"/>
      <c r="BV11" s="92"/>
      <c r="BW11" s="289"/>
      <c r="BX11" s="1171"/>
      <c r="BY11" s="1172"/>
      <c r="BZ11" s="1173"/>
      <c r="CA11" s="1174">
        <f t="shared" si="5"/>
        <v>0</v>
      </c>
      <c r="CC11" s="61"/>
      <c r="CD11" s="213"/>
      <c r="CE11" s="15">
        <v>4</v>
      </c>
      <c r="CF11" s="92">
        <v>901.7</v>
      </c>
      <c r="CG11" s="289">
        <v>44901</v>
      </c>
      <c r="CH11" s="92">
        <v>901.7</v>
      </c>
      <c r="CI11" s="291" t="s">
        <v>619</v>
      </c>
      <c r="CJ11" s="290">
        <v>51</v>
      </c>
      <c r="CK11" s="393">
        <f t="shared" si="14"/>
        <v>45986.700000000004</v>
      </c>
      <c r="CM11" s="61"/>
      <c r="CN11" s="94"/>
      <c r="CO11" s="15">
        <v>4</v>
      </c>
      <c r="CP11" s="92">
        <v>932.6</v>
      </c>
      <c r="CQ11" s="289">
        <v>44901</v>
      </c>
      <c r="CR11" s="92">
        <v>932.6</v>
      </c>
      <c r="CS11" s="291" t="s">
        <v>626</v>
      </c>
      <c r="CT11" s="290">
        <v>51</v>
      </c>
      <c r="CU11" s="398">
        <f t="shared" si="58"/>
        <v>47562.6</v>
      </c>
      <c r="CW11" s="61"/>
      <c r="CX11" s="106"/>
      <c r="CY11" s="15">
        <v>4</v>
      </c>
      <c r="CZ11" s="92">
        <v>915.34</v>
      </c>
      <c r="DA11" s="244">
        <v>44902</v>
      </c>
      <c r="DB11" s="92">
        <v>915.34</v>
      </c>
      <c r="DC11" s="95" t="s">
        <v>633</v>
      </c>
      <c r="DD11" s="71">
        <v>51</v>
      </c>
      <c r="DE11" s="393">
        <f t="shared" si="15"/>
        <v>46682.340000000004</v>
      </c>
      <c r="DG11" s="61"/>
      <c r="DH11" s="106"/>
      <c r="DI11" s="15">
        <v>4</v>
      </c>
      <c r="DJ11" s="694">
        <v>913.5</v>
      </c>
      <c r="DK11" s="720">
        <v>44903</v>
      </c>
      <c r="DL11" s="694">
        <v>913.5</v>
      </c>
      <c r="DM11" s="721" t="s">
        <v>648</v>
      </c>
      <c r="DN11" s="722">
        <v>51</v>
      </c>
      <c r="DO11" s="398">
        <f t="shared" si="16"/>
        <v>46588.5</v>
      </c>
      <c r="DQ11" s="61"/>
      <c r="DR11" s="106"/>
      <c r="DS11" s="15">
        <v>4</v>
      </c>
      <c r="DT11" s="92">
        <v>918.52</v>
      </c>
      <c r="DU11" s="289">
        <v>44903</v>
      </c>
      <c r="DV11" s="92">
        <v>918.52</v>
      </c>
      <c r="DW11" s="291" t="s">
        <v>644</v>
      </c>
      <c r="DX11" s="290">
        <v>51</v>
      </c>
      <c r="DY11" s="393">
        <f t="shared" si="17"/>
        <v>46844.52</v>
      </c>
      <c r="EA11" s="61"/>
      <c r="EB11" s="106"/>
      <c r="EC11" s="15">
        <v>4</v>
      </c>
      <c r="ED11" s="69">
        <v>899</v>
      </c>
      <c r="EE11" s="252">
        <v>44904</v>
      </c>
      <c r="EF11" s="69">
        <v>899</v>
      </c>
      <c r="EG11" s="70" t="s">
        <v>661</v>
      </c>
      <c r="EH11" s="71">
        <v>51</v>
      </c>
      <c r="EI11" s="393">
        <f t="shared" si="18"/>
        <v>45849</v>
      </c>
      <c r="EK11" s="61"/>
      <c r="EL11" s="106"/>
      <c r="EM11" s="15">
        <v>4</v>
      </c>
      <c r="EN11" s="69">
        <v>902.2</v>
      </c>
      <c r="EO11" s="252">
        <v>44904</v>
      </c>
      <c r="EP11" s="69">
        <v>902.2</v>
      </c>
      <c r="EQ11" s="70" t="s">
        <v>659</v>
      </c>
      <c r="ER11" s="71">
        <v>51</v>
      </c>
      <c r="ES11" s="393">
        <f t="shared" si="19"/>
        <v>46012.200000000004</v>
      </c>
      <c r="EU11" s="501"/>
      <c r="EV11" s="331"/>
      <c r="EW11" s="15">
        <v>4</v>
      </c>
      <c r="EX11" s="92">
        <v>914.4</v>
      </c>
      <c r="EY11" s="244">
        <v>44907</v>
      </c>
      <c r="EZ11" s="92">
        <v>914.4</v>
      </c>
      <c r="FA11" s="70" t="s">
        <v>682</v>
      </c>
      <c r="FB11" s="71">
        <v>51</v>
      </c>
      <c r="FC11" s="393">
        <f t="shared" si="20"/>
        <v>46634.400000000001</v>
      </c>
      <c r="FE11" s="61"/>
      <c r="FF11" s="331"/>
      <c r="FG11" s="15">
        <v>4</v>
      </c>
      <c r="FH11" s="92">
        <v>899.9</v>
      </c>
      <c r="FI11" s="244">
        <v>44905</v>
      </c>
      <c r="FJ11" s="92">
        <v>899.9</v>
      </c>
      <c r="FK11" s="70" t="s">
        <v>678</v>
      </c>
      <c r="FL11" s="71">
        <v>51</v>
      </c>
      <c r="FM11" s="243">
        <f t="shared" si="21"/>
        <v>45894.9</v>
      </c>
      <c r="FO11" s="61"/>
      <c r="FP11" s="106"/>
      <c r="FQ11" s="15">
        <v>4</v>
      </c>
      <c r="FR11" s="92">
        <v>952.54</v>
      </c>
      <c r="FS11" s="244">
        <v>44905</v>
      </c>
      <c r="FT11" s="92">
        <v>952.54</v>
      </c>
      <c r="FU11" s="70" t="s">
        <v>674</v>
      </c>
      <c r="FV11" s="71">
        <v>51</v>
      </c>
      <c r="FW11" s="393">
        <f t="shared" si="22"/>
        <v>48579.54</v>
      </c>
      <c r="FY11" s="61"/>
      <c r="FZ11" s="106"/>
      <c r="GA11" s="15">
        <v>4</v>
      </c>
      <c r="GB11" s="69">
        <v>894.5</v>
      </c>
      <c r="GC11" s="252">
        <v>44908</v>
      </c>
      <c r="GD11" s="69">
        <v>894.5</v>
      </c>
      <c r="GE11" s="70" t="s">
        <v>689</v>
      </c>
      <c r="GF11" s="71">
        <v>49</v>
      </c>
      <c r="GG11" s="243">
        <f t="shared" si="23"/>
        <v>43830.5</v>
      </c>
      <c r="GI11" s="61"/>
      <c r="GJ11" s="106"/>
      <c r="GK11" s="15">
        <v>4</v>
      </c>
      <c r="GL11" s="352">
        <v>897.2</v>
      </c>
      <c r="GM11" s="244">
        <v>44908</v>
      </c>
      <c r="GN11" s="352">
        <v>897.2</v>
      </c>
      <c r="GO11" s="95" t="s">
        <v>696</v>
      </c>
      <c r="GP11" s="71">
        <v>49</v>
      </c>
      <c r="GQ11" s="393">
        <f t="shared" si="24"/>
        <v>43962.8</v>
      </c>
      <c r="GS11" s="61"/>
      <c r="GT11" s="106"/>
      <c r="GU11" s="15">
        <v>4</v>
      </c>
      <c r="GV11" s="92">
        <v>926.2</v>
      </c>
      <c r="GW11" s="244">
        <v>44908</v>
      </c>
      <c r="GX11" s="92">
        <v>926.2</v>
      </c>
      <c r="GY11" s="95" t="s">
        <v>694</v>
      </c>
      <c r="GZ11" s="71">
        <v>49</v>
      </c>
      <c r="HA11" s="393">
        <f t="shared" si="25"/>
        <v>45383.8</v>
      </c>
      <c r="HC11" s="61"/>
      <c r="HD11" s="106"/>
      <c r="HE11" s="15">
        <v>4</v>
      </c>
      <c r="HF11" s="92">
        <v>928.5</v>
      </c>
      <c r="HG11" s="244">
        <v>44909</v>
      </c>
      <c r="HH11" s="92">
        <v>928.5</v>
      </c>
      <c r="HI11" s="95" t="s">
        <v>705</v>
      </c>
      <c r="HJ11" s="71">
        <v>49</v>
      </c>
      <c r="HK11" s="393">
        <f t="shared" si="26"/>
        <v>45496.5</v>
      </c>
      <c r="HM11" s="61"/>
      <c r="HN11" s="106"/>
      <c r="HO11" s="15">
        <v>4</v>
      </c>
      <c r="HP11" s="92">
        <v>884.5</v>
      </c>
      <c r="HQ11" s="244">
        <v>44909</v>
      </c>
      <c r="HR11" s="92">
        <v>884.5</v>
      </c>
      <c r="HS11" s="292" t="s">
        <v>699</v>
      </c>
      <c r="HT11" s="71">
        <v>49</v>
      </c>
      <c r="HU11" s="393">
        <f t="shared" si="27"/>
        <v>43340.5</v>
      </c>
      <c r="HW11" s="61"/>
      <c r="HX11" s="106"/>
      <c r="HY11" s="15">
        <v>4</v>
      </c>
      <c r="HZ11" s="69">
        <v>924.42</v>
      </c>
      <c r="IA11" s="252">
        <v>44910</v>
      </c>
      <c r="IB11" s="69">
        <v>924.42</v>
      </c>
      <c r="IC11" s="70" t="s">
        <v>718</v>
      </c>
      <c r="ID11" s="71">
        <v>49</v>
      </c>
      <c r="IE11" s="393">
        <f t="shared" si="6"/>
        <v>45296.579999999994</v>
      </c>
      <c r="IG11" s="61"/>
      <c r="IH11" s="106"/>
      <c r="II11" s="15">
        <v>4</v>
      </c>
      <c r="IJ11" s="69">
        <v>917.2</v>
      </c>
      <c r="IK11" s="252">
        <v>44910</v>
      </c>
      <c r="IL11" s="69">
        <v>917.2</v>
      </c>
      <c r="IM11" s="70" t="s">
        <v>716</v>
      </c>
      <c r="IN11" s="71">
        <v>49</v>
      </c>
      <c r="IO11" s="393">
        <f t="shared" si="28"/>
        <v>44942.8</v>
      </c>
      <c r="IQ11" s="175"/>
      <c r="IR11" s="106"/>
      <c r="IS11" s="15">
        <v>4</v>
      </c>
      <c r="IT11" s="92">
        <v>888.1</v>
      </c>
      <c r="IU11" s="135">
        <v>44911</v>
      </c>
      <c r="IV11" s="92">
        <v>888.1</v>
      </c>
      <c r="IW11" s="363" t="s">
        <v>730</v>
      </c>
      <c r="IX11" s="71">
        <v>47</v>
      </c>
      <c r="IY11" s="243">
        <f t="shared" si="29"/>
        <v>41740.700000000004</v>
      </c>
      <c r="IZ11" s="92"/>
      <c r="JA11" s="69"/>
      <c r="JB11" s="106"/>
      <c r="JC11" s="15">
        <v>4</v>
      </c>
      <c r="JD11" s="92">
        <v>934.4</v>
      </c>
      <c r="JE11" s="252">
        <v>44911</v>
      </c>
      <c r="JF11" s="92">
        <v>934.4</v>
      </c>
      <c r="JG11" s="70" t="s">
        <v>727</v>
      </c>
      <c r="JH11" s="71">
        <v>47</v>
      </c>
      <c r="JI11" s="393">
        <f t="shared" si="30"/>
        <v>43916.799999999996</v>
      </c>
      <c r="JJ11" s="69"/>
      <c r="JK11" s="61"/>
      <c r="JL11" s="106"/>
      <c r="JM11" s="15">
        <v>4</v>
      </c>
      <c r="JN11" s="92">
        <v>905.4</v>
      </c>
      <c r="JO11" s="244">
        <v>44912</v>
      </c>
      <c r="JP11" s="92">
        <v>905.4</v>
      </c>
      <c r="JQ11" s="70" t="s">
        <v>739</v>
      </c>
      <c r="JR11" s="71">
        <v>48</v>
      </c>
      <c r="JS11" s="393">
        <f t="shared" si="31"/>
        <v>43459.199999999997</v>
      </c>
      <c r="JU11" s="61"/>
      <c r="JV11" s="106"/>
      <c r="JW11" s="15">
        <v>4</v>
      </c>
      <c r="JX11" s="69">
        <v>866.4</v>
      </c>
      <c r="JY11" s="252">
        <v>44912</v>
      </c>
      <c r="JZ11" s="69">
        <v>866.4</v>
      </c>
      <c r="KA11" s="70" t="s">
        <v>746</v>
      </c>
      <c r="KB11" s="71">
        <v>48</v>
      </c>
      <c r="KC11" s="393">
        <f t="shared" si="32"/>
        <v>41587.199999999997</v>
      </c>
      <c r="KE11" s="61"/>
      <c r="KF11" s="106"/>
      <c r="KG11" s="15">
        <v>4</v>
      </c>
      <c r="KH11" s="69">
        <v>861.8</v>
      </c>
      <c r="KI11" s="252">
        <v>44915</v>
      </c>
      <c r="KJ11" s="69">
        <v>861.8</v>
      </c>
      <c r="KK11" s="70" t="s">
        <v>756</v>
      </c>
      <c r="KL11" s="71">
        <v>49</v>
      </c>
      <c r="KM11" s="393">
        <f t="shared" si="33"/>
        <v>42228.2</v>
      </c>
      <c r="KO11" s="61"/>
      <c r="KP11" s="106"/>
      <c r="KQ11" s="15">
        <v>4</v>
      </c>
      <c r="KR11" s="69">
        <v>920.33</v>
      </c>
      <c r="KS11" s="252">
        <v>44915</v>
      </c>
      <c r="KT11" s="69">
        <v>920.33</v>
      </c>
      <c r="KU11" s="695" t="s">
        <v>757</v>
      </c>
      <c r="KV11" s="696">
        <v>49</v>
      </c>
      <c r="KW11" s="393">
        <f t="shared" si="34"/>
        <v>45096.170000000006</v>
      </c>
      <c r="KY11" s="61"/>
      <c r="KZ11" s="106"/>
      <c r="LA11" s="15">
        <v>4</v>
      </c>
      <c r="LB11" s="92">
        <v>909.9</v>
      </c>
      <c r="LC11" s="244">
        <v>44916</v>
      </c>
      <c r="LD11" s="92">
        <v>909.9</v>
      </c>
      <c r="LE11" s="95" t="s">
        <v>771</v>
      </c>
      <c r="LF11" s="71">
        <v>51</v>
      </c>
      <c r="LG11" s="393">
        <f t="shared" si="35"/>
        <v>46404.9</v>
      </c>
      <c r="LI11" s="61"/>
      <c r="LJ11" s="106"/>
      <c r="LK11" s="15">
        <v>4</v>
      </c>
      <c r="LL11" s="92">
        <v>943.92</v>
      </c>
      <c r="LM11" s="244">
        <v>44916</v>
      </c>
      <c r="LN11" s="92">
        <v>943.92</v>
      </c>
      <c r="LO11" s="95" t="s">
        <v>776</v>
      </c>
      <c r="LP11" s="71">
        <v>51</v>
      </c>
      <c r="LQ11" s="393">
        <f t="shared" si="36"/>
        <v>48139.92</v>
      </c>
      <c r="LS11" s="61"/>
      <c r="LT11" s="106"/>
      <c r="LU11" s="15">
        <v>4</v>
      </c>
      <c r="LV11" s="92">
        <v>930.8</v>
      </c>
      <c r="LW11" s="244">
        <v>44917</v>
      </c>
      <c r="LX11" s="92">
        <v>930.8</v>
      </c>
      <c r="LY11" s="95" t="s">
        <v>786</v>
      </c>
      <c r="LZ11" s="71">
        <v>53</v>
      </c>
      <c r="MA11" s="393">
        <f t="shared" si="37"/>
        <v>49332.399999999994</v>
      </c>
      <c r="MB11" s="393"/>
      <c r="MC11" s="61"/>
      <c r="MD11" s="106"/>
      <c r="ME11" s="15">
        <v>4</v>
      </c>
      <c r="MF11" s="296">
        <v>916.3</v>
      </c>
      <c r="MG11" s="244">
        <v>44916</v>
      </c>
      <c r="MH11" s="296">
        <v>916.3</v>
      </c>
      <c r="MI11" s="95" t="s">
        <v>780</v>
      </c>
      <c r="MJ11" s="71">
        <v>51</v>
      </c>
      <c r="MK11" s="71">
        <f t="shared" si="38"/>
        <v>46731.299999999996</v>
      </c>
      <c r="MM11" s="61"/>
      <c r="MN11" s="106"/>
      <c r="MO11" s="15">
        <v>4</v>
      </c>
      <c r="MP11" s="92">
        <v>904</v>
      </c>
      <c r="MQ11" s="244">
        <v>44917</v>
      </c>
      <c r="MR11" s="92">
        <v>904</v>
      </c>
      <c r="MS11" s="95" t="s">
        <v>789</v>
      </c>
      <c r="MT11" s="71">
        <v>53</v>
      </c>
      <c r="MU11" s="71">
        <f t="shared" si="39"/>
        <v>47912</v>
      </c>
      <c r="MW11" s="61"/>
      <c r="MX11" s="106"/>
      <c r="MY11" s="15">
        <v>4</v>
      </c>
      <c r="MZ11" s="92">
        <v>919</v>
      </c>
      <c r="NA11" s="244">
        <v>44918</v>
      </c>
      <c r="NB11" s="92">
        <v>919</v>
      </c>
      <c r="NC11" s="95" t="s">
        <v>801</v>
      </c>
      <c r="ND11" s="71">
        <v>53</v>
      </c>
      <c r="NE11" s="71">
        <f t="shared" si="40"/>
        <v>48707</v>
      </c>
      <c r="NG11" s="61"/>
      <c r="NH11" s="106"/>
      <c r="NI11" s="15">
        <v>4</v>
      </c>
      <c r="NJ11" s="297">
        <v>892.7</v>
      </c>
      <c r="NK11" s="244">
        <v>44918</v>
      </c>
      <c r="NL11" s="297">
        <v>892.7</v>
      </c>
      <c r="NM11" s="95" t="s">
        <v>809</v>
      </c>
      <c r="NN11" s="71">
        <v>53</v>
      </c>
      <c r="NO11" s="71">
        <f t="shared" si="41"/>
        <v>47313.100000000006</v>
      </c>
      <c r="NQ11" s="61"/>
      <c r="NR11" s="106"/>
      <c r="NS11" s="15">
        <v>4</v>
      </c>
      <c r="NT11" s="92">
        <v>927.1</v>
      </c>
      <c r="NU11" s="244">
        <v>44918</v>
      </c>
      <c r="NV11" s="92">
        <v>927.1</v>
      </c>
      <c r="NW11" s="95" t="s">
        <v>819</v>
      </c>
      <c r="NX11" s="71">
        <v>53</v>
      </c>
      <c r="NY11" s="71">
        <f t="shared" si="42"/>
        <v>49136.3</v>
      </c>
      <c r="OA11" s="61"/>
      <c r="OB11" s="106"/>
      <c r="OC11" s="15">
        <v>4</v>
      </c>
      <c r="OD11" s="297">
        <v>910.8</v>
      </c>
      <c r="OE11" s="244">
        <v>44919</v>
      </c>
      <c r="OF11" s="297">
        <v>910.8</v>
      </c>
      <c r="OG11" s="95" t="s">
        <v>825</v>
      </c>
      <c r="OH11" s="71">
        <v>53</v>
      </c>
      <c r="OI11" s="71">
        <f t="shared" si="43"/>
        <v>48272.399999999994</v>
      </c>
      <c r="OK11" s="61"/>
      <c r="OL11" s="106"/>
      <c r="OM11" s="15">
        <v>4</v>
      </c>
      <c r="ON11" s="92">
        <v>875.4</v>
      </c>
      <c r="OO11" s="244">
        <v>44919</v>
      </c>
      <c r="OP11" s="92">
        <v>875.4</v>
      </c>
      <c r="OQ11" s="95" t="s">
        <v>823</v>
      </c>
      <c r="OR11" s="71">
        <v>53</v>
      </c>
      <c r="OS11" s="71">
        <f t="shared" si="44"/>
        <v>46396.2</v>
      </c>
      <c r="OU11" s="61"/>
      <c r="OV11" s="106"/>
      <c r="OW11" s="15">
        <v>4</v>
      </c>
      <c r="OX11" s="92">
        <v>918.1</v>
      </c>
      <c r="OY11" s="244">
        <v>44921</v>
      </c>
      <c r="OZ11" s="92">
        <v>918.1</v>
      </c>
      <c r="PA11" s="95" t="s">
        <v>830</v>
      </c>
      <c r="PB11" s="71">
        <v>53</v>
      </c>
      <c r="PC11" s="71">
        <f t="shared" si="45"/>
        <v>48659.3</v>
      </c>
      <c r="PE11" s="61"/>
      <c r="PF11" s="94"/>
      <c r="PG11" s="15">
        <v>4</v>
      </c>
      <c r="PH11" s="297">
        <v>890.9</v>
      </c>
      <c r="PI11" s="244">
        <v>44924</v>
      </c>
      <c r="PJ11" s="297">
        <v>890.9</v>
      </c>
      <c r="PK11" s="95" t="s">
        <v>806</v>
      </c>
      <c r="PL11" s="71">
        <v>53</v>
      </c>
      <c r="PM11" s="71">
        <f t="shared" si="46"/>
        <v>47217.7</v>
      </c>
      <c r="PN11" s="71"/>
      <c r="PP11" s="61"/>
      <c r="PQ11" s="106"/>
      <c r="PR11" s="15">
        <v>4</v>
      </c>
      <c r="PS11" s="92">
        <v>906.3</v>
      </c>
      <c r="PT11" s="244">
        <v>44924</v>
      </c>
      <c r="PU11" s="92">
        <v>906.3</v>
      </c>
      <c r="PV11" s="95" t="s">
        <v>847</v>
      </c>
      <c r="PW11" s="71">
        <v>53</v>
      </c>
      <c r="PX11" s="71">
        <f t="shared" si="47"/>
        <v>48033.899999999994</v>
      </c>
      <c r="PZ11" s="61"/>
      <c r="QA11" s="106"/>
      <c r="QB11" s="15">
        <v>4</v>
      </c>
      <c r="QC11" s="92">
        <v>963.88</v>
      </c>
      <c r="QD11" s="135">
        <v>44924</v>
      </c>
      <c r="QE11" s="92">
        <v>963.88</v>
      </c>
      <c r="QF11" s="95" t="s">
        <v>844</v>
      </c>
      <c r="QG11" s="71">
        <v>53</v>
      </c>
      <c r="QH11" s="71">
        <f t="shared" si="48"/>
        <v>51085.64</v>
      </c>
      <c r="QJ11" s="61"/>
      <c r="QK11" s="106"/>
      <c r="QL11" s="15">
        <v>4</v>
      </c>
      <c r="QM11" s="92">
        <v>888.6</v>
      </c>
      <c r="QN11" s="244">
        <v>44925</v>
      </c>
      <c r="QO11" s="92">
        <v>888.6</v>
      </c>
      <c r="QP11" s="95" t="s">
        <v>857</v>
      </c>
      <c r="QQ11" s="71">
        <v>53</v>
      </c>
      <c r="QR11" s="71">
        <f t="shared" si="49"/>
        <v>47095.8</v>
      </c>
      <c r="QT11" s="61"/>
      <c r="QU11" s="106"/>
      <c r="QV11" s="15">
        <v>4</v>
      </c>
      <c r="QW11" s="92">
        <v>934.8</v>
      </c>
      <c r="QX11" s="244">
        <v>44926</v>
      </c>
      <c r="QY11" s="92">
        <v>934.8</v>
      </c>
      <c r="QZ11" s="95" t="s">
        <v>860</v>
      </c>
      <c r="RA11" s="71">
        <v>53</v>
      </c>
      <c r="RB11" s="71">
        <f t="shared" si="50"/>
        <v>49544.399999999994</v>
      </c>
      <c r="RD11" s="61"/>
      <c r="RE11" s="106"/>
      <c r="RF11" s="15">
        <v>4</v>
      </c>
      <c r="RG11" s="92">
        <v>881.8</v>
      </c>
      <c r="RH11" s="244">
        <v>44930</v>
      </c>
      <c r="RI11" s="92">
        <v>881.8</v>
      </c>
      <c r="RJ11" s="95" t="s">
        <v>889</v>
      </c>
      <c r="RK11" s="71">
        <v>47</v>
      </c>
      <c r="RL11" s="71">
        <f t="shared" si="51"/>
        <v>41444.6</v>
      </c>
      <c r="RN11" s="61"/>
      <c r="RO11" s="106"/>
      <c r="RP11" s="15">
        <v>4</v>
      </c>
      <c r="RQ11" s="92">
        <v>917.2</v>
      </c>
      <c r="RR11" s="244">
        <v>44930</v>
      </c>
      <c r="RS11" s="92">
        <v>917.2</v>
      </c>
      <c r="RT11" s="95" t="s">
        <v>885</v>
      </c>
      <c r="RU11" s="71">
        <v>49</v>
      </c>
      <c r="RV11" s="71">
        <f t="shared" si="52"/>
        <v>44942.8</v>
      </c>
      <c r="RY11" s="106"/>
      <c r="RZ11" s="15">
        <v>4</v>
      </c>
      <c r="SA11" s="92">
        <v>914.44</v>
      </c>
      <c r="SB11" s="135">
        <v>44931</v>
      </c>
      <c r="SC11" s="92">
        <v>914.44</v>
      </c>
      <c r="SD11" s="95" t="s">
        <v>892</v>
      </c>
      <c r="SE11" s="71">
        <v>47</v>
      </c>
      <c r="SF11" s="71">
        <f t="shared" si="53"/>
        <v>42978.68</v>
      </c>
      <c r="SI11" s="106"/>
      <c r="SJ11" s="15">
        <v>4</v>
      </c>
      <c r="SK11" s="92">
        <v>909.9</v>
      </c>
      <c r="SL11" s="244">
        <v>44932</v>
      </c>
      <c r="SM11" s="92">
        <v>909.9</v>
      </c>
      <c r="SN11" s="95" t="s">
        <v>904</v>
      </c>
      <c r="SO11" s="71">
        <v>47</v>
      </c>
      <c r="SP11" s="71">
        <f t="shared" si="54"/>
        <v>42765.299999999996</v>
      </c>
      <c r="SS11" s="106"/>
      <c r="ST11" s="15">
        <v>4</v>
      </c>
      <c r="SU11" s="92">
        <v>915.3</v>
      </c>
      <c r="SV11" s="244">
        <v>44933</v>
      </c>
      <c r="SW11" s="92">
        <v>915.3</v>
      </c>
      <c r="SX11" s="95" t="s">
        <v>909</v>
      </c>
      <c r="SY11" s="71">
        <v>45</v>
      </c>
      <c r="SZ11" s="71">
        <f t="shared" si="55"/>
        <v>41188.5</v>
      </c>
      <c r="TC11" s="106"/>
      <c r="TD11" s="15">
        <v>4</v>
      </c>
      <c r="TE11" s="92">
        <v>861.8</v>
      </c>
      <c r="TF11" s="244">
        <v>44933</v>
      </c>
      <c r="TG11" s="92">
        <v>861.8</v>
      </c>
      <c r="TH11" s="95" t="s">
        <v>913</v>
      </c>
      <c r="TI11" s="71">
        <v>45</v>
      </c>
      <c r="TJ11" s="71">
        <f t="shared" si="56"/>
        <v>38781</v>
      </c>
      <c r="TM11" s="106"/>
      <c r="TN11" s="15">
        <v>4</v>
      </c>
      <c r="TO11" s="92"/>
      <c r="TP11" s="295"/>
      <c r="TQ11" s="168"/>
      <c r="TR11" s="291"/>
      <c r="TS11" s="290"/>
      <c r="TT11" s="290"/>
      <c r="TW11" s="106"/>
      <c r="TX11" s="15">
        <v>4</v>
      </c>
      <c r="TY11" s="92"/>
      <c r="TZ11" s="79"/>
      <c r="UA11" s="92"/>
      <c r="UB11" s="95"/>
      <c r="UC11" s="71"/>
      <c r="UF11" s="106"/>
      <c r="UG11" s="15">
        <v>4</v>
      </c>
      <c r="UH11" s="92"/>
      <c r="UI11" s="79"/>
      <c r="UJ11" s="92"/>
      <c r="UK11" s="95"/>
      <c r="UL11" s="71"/>
      <c r="UO11" s="106"/>
      <c r="UP11" s="15">
        <v>4</v>
      </c>
      <c r="UQ11" s="92"/>
      <c r="UR11" s="79"/>
      <c r="US11" s="92"/>
      <c r="UT11" s="95"/>
      <c r="UU11" s="71"/>
      <c r="UX11" s="106"/>
      <c r="UY11" s="15">
        <v>4</v>
      </c>
      <c r="UZ11" s="92"/>
      <c r="VA11" s="79"/>
      <c r="VB11" s="92"/>
      <c r="VC11" s="95"/>
      <c r="VD11" s="71"/>
      <c r="VG11" s="106"/>
      <c r="VH11" s="15">
        <v>4</v>
      </c>
      <c r="VI11" s="92"/>
      <c r="VJ11" s="79"/>
      <c r="VK11" s="92"/>
      <c r="VL11" s="95"/>
      <c r="VM11" s="71"/>
      <c r="VO11" s="61" t="s">
        <v>33</v>
      </c>
      <c r="VP11" s="106"/>
      <c r="VQ11" s="15">
        <v>4</v>
      </c>
      <c r="VR11" s="92"/>
      <c r="VS11" s="79"/>
      <c r="VT11" s="92"/>
      <c r="VU11" s="95"/>
      <c r="VV11" s="71"/>
      <c r="VX11" s="61" t="s">
        <v>33</v>
      </c>
      <c r="VY11" s="106"/>
      <c r="VZ11" s="15">
        <v>4</v>
      </c>
      <c r="WA11" s="92"/>
      <c r="WB11" s="79"/>
      <c r="WC11" s="92"/>
      <c r="WD11" s="95"/>
      <c r="WE11" s="71"/>
      <c r="WG11" s="61" t="s">
        <v>33</v>
      </c>
      <c r="WH11" s="106"/>
      <c r="WI11" s="15">
        <v>4</v>
      </c>
      <c r="WJ11" s="92"/>
      <c r="WK11" s="79"/>
      <c r="WL11" s="92"/>
      <c r="WM11" s="95"/>
      <c r="WN11" s="71"/>
      <c r="WP11" s="61" t="s">
        <v>33</v>
      </c>
      <c r="WQ11" s="106"/>
      <c r="WR11" s="15">
        <v>4</v>
      </c>
      <c r="WS11" s="92"/>
      <c r="WT11" s="79"/>
      <c r="WU11" s="92"/>
      <c r="WV11" s="95"/>
      <c r="WW11" s="71"/>
      <c r="WY11" s="61" t="s">
        <v>33</v>
      </c>
      <c r="WZ11" s="106"/>
      <c r="XA11" s="15">
        <v>4</v>
      </c>
      <c r="XB11" s="92"/>
      <c r="XC11" s="79"/>
      <c r="XD11" s="92"/>
      <c r="XE11" s="95"/>
      <c r="XF11" s="71"/>
      <c r="XH11" s="61" t="s">
        <v>33</v>
      </c>
      <c r="XI11" s="106"/>
      <c r="XJ11" s="15">
        <v>4</v>
      </c>
      <c r="XK11" s="92"/>
      <c r="XL11" s="79"/>
      <c r="XM11" s="92"/>
      <c r="XN11" s="95"/>
      <c r="XO11" s="71"/>
      <c r="XQ11" s="61" t="s">
        <v>33</v>
      </c>
      <c r="XR11" s="106"/>
      <c r="XS11" s="15">
        <v>4</v>
      </c>
      <c r="XT11" s="92"/>
      <c r="XU11" s="79"/>
      <c r="XV11" s="92"/>
      <c r="XW11" s="95"/>
      <c r="XX11" s="71"/>
      <c r="XZ11" s="61" t="s">
        <v>33</v>
      </c>
      <c r="YA11" s="106"/>
      <c r="YB11" s="15">
        <v>4</v>
      </c>
      <c r="YC11" s="92"/>
      <c r="YD11" s="79"/>
      <c r="YE11" s="92"/>
      <c r="YF11" s="95"/>
      <c r="YG11" s="71"/>
      <c r="YI11" s="61" t="s">
        <v>33</v>
      </c>
      <c r="YJ11" s="106"/>
      <c r="YK11" s="15">
        <v>4</v>
      </c>
      <c r="YL11" s="92"/>
      <c r="YM11" s="79"/>
      <c r="YN11" s="92"/>
      <c r="YO11" s="95"/>
      <c r="YP11" s="71"/>
      <c r="YR11" s="61" t="s">
        <v>33</v>
      </c>
      <c r="YS11" s="106"/>
      <c r="YT11" s="15">
        <v>4</v>
      </c>
      <c r="YU11" s="92"/>
      <c r="YV11" s="79"/>
      <c r="YW11" s="92"/>
      <c r="YX11" s="95"/>
      <c r="YY11" s="71"/>
      <c r="ZA11" s="61" t="s">
        <v>33</v>
      </c>
      <c r="ZB11" s="106"/>
      <c r="ZC11" s="15">
        <v>4</v>
      </c>
      <c r="ZD11" s="92"/>
      <c r="ZE11" s="79"/>
      <c r="ZF11" s="92"/>
      <c r="ZG11" s="95"/>
      <c r="ZH11" s="71"/>
      <c r="ZJ11" s="61" t="s">
        <v>33</v>
      </c>
      <c r="ZK11" s="106"/>
      <c r="ZL11" s="15">
        <v>4</v>
      </c>
      <c r="ZM11" s="92"/>
      <c r="ZN11" s="79"/>
      <c r="ZO11" s="92"/>
      <c r="ZP11" s="95"/>
      <c r="ZQ11" s="71"/>
      <c r="ZS11" s="61" t="s">
        <v>33</v>
      </c>
      <c r="ZT11" s="106"/>
      <c r="ZU11" s="15">
        <v>4</v>
      </c>
      <c r="ZV11" s="92"/>
      <c r="ZW11" s="79"/>
      <c r="ZX11" s="92"/>
      <c r="ZY11" s="95"/>
      <c r="ZZ11" s="71"/>
      <c r="AAB11" s="61" t="s">
        <v>33</v>
      </c>
      <c r="AAC11" s="106"/>
      <c r="AAD11" s="15">
        <v>4</v>
      </c>
      <c r="AAE11" s="92"/>
      <c r="AAF11" s="79"/>
      <c r="AAG11" s="92"/>
      <c r="AAH11" s="95"/>
      <c r="AAI11" s="71"/>
      <c r="AAK11" s="61" t="s">
        <v>33</v>
      </c>
      <c r="AAL11" s="106"/>
      <c r="AAM11" s="15">
        <v>4</v>
      </c>
      <c r="AAN11" s="92"/>
      <c r="AAO11" s="79"/>
      <c r="AAP11" s="92"/>
      <c r="AAQ11" s="95"/>
      <c r="AAR11" s="71"/>
      <c r="AAT11" s="61" t="s">
        <v>33</v>
      </c>
      <c r="AAU11" s="106"/>
      <c r="AAV11" s="15">
        <v>4</v>
      </c>
      <c r="AAW11" s="92"/>
      <c r="AAX11" s="79"/>
      <c r="AAY11" s="92"/>
      <c r="AAZ11" s="95"/>
      <c r="ABA11" s="71"/>
      <c r="ABC11" s="61" t="s">
        <v>33</v>
      </c>
      <c r="ABD11" s="106"/>
      <c r="ABE11" s="15">
        <v>4</v>
      </c>
      <c r="ABF11" s="92"/>
      <c r="ABG11" s="79"/>
      <c r="ABH11" s="92"/>
      <c r="ABI11" s="95"/>
      <c r="ABJ11" s="71"/>
      <c r="ABL11" s="61" t="s">
        <v>33</v>
      </c>
      <c r="ABM11" s="106"/>
      <c r="ABN11" s="15">
        <v>4</v>
      </c>
      <c r="ABO11" s="92"/>
      <c r="ABP11" s="79"/>
      <c r="ABQ11" s="92"/>
      <c r="ABR11" s="95"/>
      <c r="ABS11" s="71"/>
      <c r="ABU11" s="61" t="s">
        <v>33</v>
      </c>
      <c r="ABV11" s="106"/>
      <c r="ABW11" s="15">
        <v>4</v>
      </c>
      <c r="ABX11" s="92"/>
      <c r="ABY11" s="79"/>
      <c r="ABZ11" s="92"/>
      <c r="ACA11" s="95"/>
      <c r="ACB11" s="71"/>
      <c r="ACD11" s="61" t="s">
        <v>33</v>
      </c>
      <c r="ACE11" s="106"/>
      <c r="ACF11" s="15">
        <v>4</v>
      </c>
      <c r="ACG11" s="92"/>
      <c r="ACH11" s="79"/>
      <c r="ACI11" s="92"/>
      <c r="ACJ11" s="95"/>
      <c r="ACK11" s="71"/>
      <c r="ACM11" s="61" t="s">
        <v>33</v>
      </c>
      <c r="ACN11" s="106"/>
      <c r="ACO11" s="15">
        <v>4</v>
      </c>
      <c r="ACP11" s="92"/>
      <c r="ACQ11" s="79"/>
      <c r="ACR11" s="92"/>
      <c r="ACS11" s="95"/>
      <c r="ACT11" s="71"/>
      <c r="ACV11" s="61" t="s">
        <v>33</v>
      </c>
      <c r="ACW11" s="106"/>
      <c r="ACX11" s="15">
        <v>4</v>
      </c>
      <c r="ACY11" s="92"/>
      <c r="ACZ11" s="79"/>
      <c r="ADA11" s="92"/>
      <c r="ADB11" s="95"/>
      <c r="ADC11" s="71"/>
      <c r="ADE11" s="61" t="s">
        <v>33</v>
      </c>
      <c r="ADF11" s="106"/>
      <c r="ADG11" s="15">
        <v>4</v>
      </c>
      <c r="ADH11" s="92"/>
      <c r="ADI11" s="79"/>
      <c r="ADJ11" s="92"/>
      <c r="ADK11" s="95"/>
      <c r="ADL11" s="71"/>
      <c r="ADN11" s="61" t="s">
        <v>33</v>
      </c>
      <c r="ADO11" s="106"/>
      <c r="ADP11" s="15">
        <v>4</v>
      </c>
      <c r="ADQ11" s="92"/>
      <c r="ADR11" s="79"/>
      <c r="ADS11" s="92"/>
      <c r="ADT11" s="95"/>
      <c r="ADU11" s="71"/>
      <c r="ADW11" s="61" t="s">
        <v>33</v>
      </c>
      <c r="ADX11" s="106"/>
      <c r="ADY11" s="15">
        <v>4</v>
      </c>
      <c r="ADZ11" s="92"/>
      <c r="AEA11" s="79"/>
      <c r="AEB11" s="92"/>
      <c r="AEC11" s="95"/>
      <c r="AED11" s="71"/>
      <c r="AEF11" s="61" t="s">
        <v>33</v>
      </c>
      <c r="AEG11" s="106"/>
      <c r="AEH11" s="15">
        <v>4</v>
      </c>
      <c r="AEI11" s="92"/>
      <c r="AEJ11" s="79"/>
      <c r="AEK11" s="92"/>
      <c r="AEL11" s="95"/>
      <c r="AEM11" s="71"/>
      <c r="AEO11" s="61" t="s">
        <v>33</v>
      </c>
      <c r="AEP11" s="106"/>
      <c r="AEQ11" s="15">
        <v>4</v>
      </c>
      <c r="AER11" s="92"/>
      <c r="AES11" s="79"/>
      <c r="AET11" s="92"/>
      <c r="AEU11" s="95"/>
      <c r="AEV11" s="71"/>
      <c r="AEX11" s="61" t="s">
        <v>33</v>
      </c>
      <c r="AEY11" s="106"/>
      <c r="AEZ11" s="15">
        <v>4</v>
      </c>
      <c r="AFA11" s="92"/>
      <c r="AFB11" s="79"/>
      <c r="AFC11" s="92"/>
      <c r="AFD11" s="95"/>
      <c r="AFE11" s="71"/>
    </row>
    <row r="12" spans="1:837" x14ac:dyDescent="0.25">
      <c r="A12" s="137">
        <v>9</v>
      </c>
      <c r="B12" s="75" t="str">
        <f t="shared" ref="B12:I12" si="60">CM5</f>
        <v>SEABOARD FOODS</v>
      </c>
      <c r="C12" s="75" t="str">
        <f t="shared" si="60"/>
        <v>Seaboard</v>
      </c>
      <c r="D12" s="102" t="str">
        <f t="shared" si="60"/>
        <v>PED. 90644060</v>
      </c>
      <c r="E12" s="135">
        <f t="shared" si="60"/>
        <v>44901</v>
      </c>
      <c r="F12" s="86">
        <f t="shared" si="60"/>
        <v>19221</v>
      </c>
      <c r="G12" s="73">
        <f t="shared" si="60"/>
        <v>21</v>
      </c>
      <c r="H12" s="48">
        <f t="shared" si="60"/>
        <v>19080.599999999999</v>
      </c>
      <c r="I12" s="105">
        <f t="shared" si="60"/>
        <v>140.40000000000146</v>
      </c>
      <c r="L12" s="106"/>
      <c r="M12" s="15">
        <v>5</v>
      </c>
      <c r="N12" s="69">
        <v>866.4</v>
      </c>
      <c r="O12" s="252">
        <v>44895</v>
      </c>
      <c r="P12" s="69">
        <v>866.4</v>
      </c>
      <c r="Q12" s="70" t="s">
        <v>582</v>
      </c>
      <c r="R12" s="71">
        <v>51</v>
      </c>
      <c r="S12" s="393">
        <f t="shared" si="8"/>
        <v>44186.400000000001</v>
      </c>
      <c r="V12" s="106"/>
      <c r="W12" s="15">
        <v>5</v>
      </c>
      <c r="X12" s="69">
        <v>898.1</v>
      </c>
      <c r="Y12" s="252">
        <v>44895</v>
      </c>
      <c r="Z12" s="69">
        <v>898.1</v>
      </c>
      <c r="AA12" s="695" t="s">
        <v>580</v>
      </c>
      <c r="AB12" s="696">
        <v>51</v>
      </c>
      <c r="AC12" s="393">
        <f t="shared" si="9"/>
        <v>45803.1</v>
      </c>
      <c r="AF12" s="106"/>
      <c r="AG12" s="15">
        <v>5</v>
      </c>
      <c r="AH12" s="92">
        <v>936.2</v>
      </c>
      <c r="AI12" s="244">
        <v>44896</v>
      </c>
      <c r="AJ12" s="92">
        <v>936.2</v>
      </c>
      <c r="AK12" s="95" t="s">
        <v>587</v>
      </c>
      <c r="AL12" s="71">
        <v>51</v>
      </c>
      <c r="AM12" s="393">
        <f t="shared" si="10"/>
        <v>47746.200000000004</v>
      </c>
      <c r="AP12" s="106"/>
      <c r="AQ12" s="15">
        <v>5</v>
      </c>
      <c r="AR12" s="92">
        <v>898.1</v>
      </c>
      <c r="AS12" s="244">
        <v>44897</v>
      </c>
      <c r="AT12" s="92">
        <v>898.1</v>
      </c>
      <c r="AU12" s="95" t="s">
        <v>600</v>
      </c>
      <c r="AV12" s="71">
        <v>51</v>
      </c>
      <c r="AW12" s="393">
        <f t="shared" si="11"/>
        <v>45803.1</v>
      </c>
      <c r="AZ12" s="106"/>
      <c r="BA12" s="15">
        <v>5</v>
      </c>
      <c r="BB12" s="92">
        <v>920.9</v>
      </c>
      <c r="BC12" s="244">
        <v>44897</v>
      </c>
      <c r="BD12" s="92">
        <v>920.9</v>
      </c>
      <c r="BE12" s="95" t="s">
        <v>598</v>
      </c>
      <c r="BF12" s="71">
        <v>51</v>
      </c>
      <c r="BG12" s="393">
        <f t="shared" si="12"/>
        <v>46965.9</v>
      </c>
      <c r="BJ12" s="106"/>
      <c r="BK12" s="15">
        <v>5</v>
      </c>
      <c r="BL12" s="92">
        <v>975.22</v>
      </c>
      <c r="BM12" s="135">
        <v>44898</v>
      </c>
      <c r="BN12" s="92">
        <v>975.22</v>
      </c>
      <c r="BO12" s="95" t="s">
        <v>602</v>
      </c>
      <c r="BP12" s="288">
        <v>51</v>
      </c>
      <c r="BQ12" s="481">
        <f t="shared" si="13"/>
        <v>49736.22</v>
      </c>
      <c r="BR12" s="393"/>
      <c r="BT12" s="106"/>
      <c r="BU12" s="15"/>
      <c r="BV12" s="92"/>
      <c r="BW12" s="289"/>
      <c r="BX12" s="1171"/>
      <c r="BY12" s="1172"/>
      <c r="BZ12" s="1173"/>
      <c r="CA12" s="1174">
        <f t="shared" si="5"/>
        <v>0</v>
      </c>
      <c r="CD12" s="213"/>
      <c r="CE12" s="15">
        <v>5</v>
      </c>
      <c r="CF12" s="92">
        <v>891.8</v>
      </c>
      <c r="CG12" s="289">
        <v>44901</v>
      </c>
      <c r="CH12" s="92">
        <v>891.8</v>
      </c>
      <c r="CI12" s="291" t="s">
        <v>619</v>
      </c>
      <c r="CJ12" s="290">
        <v>51</v>
      </c>
      <c r="CK12" s="393">
        <f t="shared" si="14"/>
        <v>45481.799999999996</v>
      </c>
      <c r="CN12" s="94"/>
      <c r="CO12" s="15">
        <v>5</v>
      </c>
      <c r="CP12" s="92">
        <v>883.6</v>
      </c>
      <c r="CQ12" s="289">
        <v>44901</v>
      </c>
      <c r="CR12" s="92">
        <v>883.6</v>
      </c>
      <c r="CS12" s="291" t="s">
        <v>626</v>
      </c>
      <c r="CT12" s="290">
        <v>51</v>
      </c>
      <c r="CU12" s="398">
        <f t="shared" si="58"/>
        <v>45063.6</v>
      </c>
      <c r="CX12" s="106"/>
      <c r="CY12" s="15">
        <v>5</v>
      </c>
      <c r="CZ12" s="92">
        <v>916.71</v>
      </c>
      <c r="DA12" s="244">
        <v>44902</v>
      </c>
      <c r="DB12" s="92">
        <v>916.71</v>
      </c>
      <c r="DC12" s="95" t="s">
        <v>633</v>
      </c>
      <c r="DD12" s="71">
        <v>51</v>
      </c>
      <c r="DE12" s="393">
        <f t="shared" si="15"/>
        <v>46752.21</v>
      </c>
      <c r="DH12" s="106"/>
      <c r="DI12" s="15">
        <v>5</v>
      </c>
      <c r="DJ12" s="694">
        <v>899.9</v>
      </c>
      <c r="DK12" s="720">
        <v>44903</v>
      </c>
      <c r="DL12" s="694">
        <v>899.9</v>
      </c>
      <c r="DM12" s="721" t="s">
        <v>648</v>
      </c>
      <c r="DN12" s="722">
        <v>51</v>
      </c>
      <c r="DO12" s="398">
        <f t="shared" si="16"/>
        <v>45894.9</v>
      </c>
      <c r="DR12" s="106"/>
      <c r="DS12" s="15">
        <v>5</v>
      </c>
      <c r="DT12" s="92">
        <v>934.4</v>
      </c>
      <c r="DU12" s="289">
        <v>44903</v>
      </c>
      <c r="DV12" s="92">
        <v>934.4</v>
      </c>
      <c r="DW12" s="291" t="s">
        <v>644</v>
      </c>
      <c r="DX12" s="290">
        <v>51</v>
      </c>
      <c r="DY12" s="393">
        <f t="shared" si="17"/>
        <v>47654.400000000001</v>
      </c>
      <c r="EB12" s="106"/>
      <c r="EC12" s="15">
        <v>5</v>
      </c>
      <c r="ED12" s="69">
        <v>891.8</v>
      </c>
      <c r="EE12" s="252">
        <v>44904</v>
      </c>
      <c r="EF12" s="69">
        <v>891.8</v>
      </c>
      <c r="EG12" s="70" t="s">
        <v>661</v>
      </c>
      <c r="EH12" s="71">
        <v>51</v>
      </c>
      <c r="EI12" s="393">
        <f t="shared" si="18"/>
        <v>45481.799999999996</v>
      </c>
      <c r="EL12" s="106"/>
      <c r="EM12" s="15">
        <v>5</v>
      </c>
      <c r="EN12" s="69">
        <v>939.4</v>
      </c>
      <c r="EO12" s="252">
        <v>44904</v>
      </c>
      <c r="EP12" s="69">
        <v>939.4</v>
      </c>
      <c r="EQ12" s="70" t="s">
        <v>659</v>
      </c>
      <c r="ER12" s="71">
        <v>51</v>
      </c>
      <c r="ES12" s="393">
        <f t="shared" si="19"/>
        <v>47909.4</v>
      </c>
      <c r="EV12" s="331"/>
      <c r="EW12" s="15">
        <v>5</v>
      </c>
      <c r="EX12" s="92">
        <v>891.8</v>
      </c>
      <c r="EY12" s="244">
        <v>44907</v>
      </c>
      <c r="EZ12" s="92">
        <v>891.8</v>
      </c>
      <c r="FA12" s="70" t="s">
        <v>682</v>
      </c>
      <c r="FB12" s="71">
        <v>51</v>
      </c>
      <c r="FC12" s="393">
        <f t="shared" si="20"/>
        <v>45481.799999999996</v>
      </c>
      <c r="FF12" s="331"/>
      <c r="FG12" s="15">
        <v>5</v>
      </c>
      <c r="FH12" s="92">
        <v>914.4</v>
      </c>
      <c r="FI12" s="244">
        <v>44905</v>
      </c>
      <c r="FJ12" s="92">
        <v>914.4</v>
      </c>
      <c r="FK12" s="70" t="s">
        <v>678</v>
      </c>
      <c r="FL12" s="71">
        <v>51</v>
      </c>
      <c r="FM12" s="243">
        <f t="shared" si="21"/>
        <v>46634.400000000001</v>
      </c>
      <c r="FN12" s="75" t="s">
        <v>41</v>
      </c>
      <c r="FP12" s="106"/>
      <c r="FQ12" s="15">
        <v>5</v>
      </c>
      <c r="FR12" s="92">
        <v>964.33</v>
      </c>
      <c r="FS12" s="244">
        <v>44905</v>
      </c>
      <c r="FT12" s="92">
        <v>964.33</v>
      </c>
      <c r="FU12" s="70" t="s">
        <v>674</v>
      </c>
      <c r="FV12" s="71">
        <v>51</v>
      </c>
      <c r="FW12" s="393">
        <f t="shared" si="22"/>
        <v>49180.83</v>
      </c>
      <c r="FZ12" s="106"/>
      <c r="GA12" s="15">
        <v>5</v>
      </c>
      <c r="GB12" s="69">
        <v>879.1</v>
      </c>
      <c r="GC12" s="252">
        <v>44908</v>
      </c>
      <c r="GD12" s="69">
        <v>879.1</v>
      </c>
      <c r="GE12" s="70" t="s">
        <v>689</v>
      </c>
      <c r="GF12" s="71">
        <v>49</v>
      </c>
      <c r="GG12" s="243">
        <f t="shared" si="23"/>
        <v>43075.9</v>
      </c>
      <c r="GJ12" s="106"/>
      <c r="GK12" s="15">
        <v>5</v>
      </c>
      <c r="GL12" s="352">
        <v>893.6</v>
      </c>
      <c r="GM12" s="244">
        <v>44908</v>
      </c>
      <c r="GN12" s="352">
        <v>893.6</v>
      </c>
      <c r="GO12" s="95" t="s">
        <v>696</v>
      </c>
      <c r="GP12" s="71">
        <v>49</v>
      </c>
      <c r="GQ12" s="393">
        <f t="shared" si="24"/>
        <v>43786.400000000001</v>
      </c>
      <c r="GT12" s="106"/>
      <c r="GU12" s="15">
        <v>5</v>
      </c>
      <c r="GV12" s="92">
        <v>936.2</v>
      </c>
      <c r="GW12" s="244">
        <v>44908</v>
      </c>
      <c r="GX12" s="92">
        <v>936.2</v>
      </c>
      <c r="GY12" s="95" t="s">
        <v>694</v>
      </c>
      <c r="GZ12" s="71">
        <v>49</v>
      </c>
      <c r="HA12" s="393">
        <f t="shared" si="25"/>
        <v>45873.8</v>
      </c>
      <c r="HD12" s="106"/>
      <c r="HE12" s="15">
        <v>5</v>
      </c>
      <c r="HF12" s="92">
        <v>896.29</v>
      </c>
      <c r="HG12" s="244">
        <v>44909</v>
      </c>
      <c r="HH12" s="92">
        <v>896.29</v>
      </c>
      <c r="HI12" s="95" t="s">
        <v>705</v>
      </c>
      <c r="HJ12" s="71">
        <v>49</v>
      </c>
      <c r="HK12" s="393">
        <f t="shared" si="26"/>
        <v>43918.21</v>
      </c>
      <c r="HN12" s="106"/>
      <c r="HO12" s="15">
        <v>5</v>
      </c>
      <c r="HP12" s="92">
        <v>917.16</v>
      </c>
      <c r="HQ12" s="244">
        <v>44909</v>
      </c>
      <c r="HR12" s="92">
        <v>917.16</v>
      </c>
      <c r="HS12" s="292" t="s">
        <v>699</v>
      </c>
      <c r="HT12" s="71">
        <v>49</v>
      </c>
      <c r="HU12" s="393">
        <f t="shared" si="27"/>
        <v>44940.84</v>
      </c>
      <c r="HX12" s="106"/>
      <c r="HY12" s="15">
        <v>5</v>
      </c>
      <c r="HZ12" s="69">
        <v>959.8</v>
      </c>
      <c r="IA12" s="252">
        <v>44910</v>
      </c>
      <c r="IB12" s="69">
        <v>959.8</v>
      </c>
      <c r="IC12" s="70" t="s">
        <v>718</v>
      </c>
      <c r="ID12" s="71">
        <v>49</v>
      </c>
      <c r="IE12" s="393">
        <f t="shared" si="6"/>
        <v>47030.2</v>
      </c>
      <c r="IH12" s="106"/>
      <c r="II12" s="15">
        <v>5</v>
      </c>
      <c r="IJ12" s="69">
        <v>931.7</v>
      </c>
      <c r="IK12" s="252">
        <v>44910</v>
      </c>
      <c r="IL12" s="69">
        <v>931.7</v>
      </c>
      <c r="IM12" s="70" t="s">
        <v>716</v>
      </c>
      <c r="IN12" s="71">
        <v>49</v>
      </c>
      <c r="IO12" s="393">
        <f t="shared" si="28"/>
        <v>45653.3</v>
      </c>
      <c r="IQ12" s="488"/>
      <c r="IR12" s="106"/>
      <c r="IS12" s="15">
        <v>5</v>
      </c>
      <c r="IT12" s="92">
        <v>935.3</v>
      </c>
      <c r="IU12" s="135">
        <v>44911</v>
      </c>
      <c r="IV12" s="92">
        <v>935.3</v>
      </c>
      <c r="IW12" s="363" t="s">
        <v>730</v>
      </c>
      <c r="IX12" s="71">
        <v>47</v>
      </c>
      <c r="IY12" s="243">
        <f t="shared" si="29"/>
        <v>43959.1</v>
      </c>
      <c r="IZ12" s="92"/>
      <c r="JA12" s="69"/>
      <c r="JB12" s="106"/>
      <c r="JC12" s="15">
        <v>5</v>
      </c>
      <c r="JD12" s="92">
        <v>881.8</v>
      </c>
      <c r="JE12" s="252">
        <v>44911</v>
      </c>
      <c r="JF12" s="92">
        <v>881.8</v>
      </c>
      <c r="JG12" s="70" t="s">
        <v>727</v>
      </c>
      <c r="JH12" s="71">
        <v>47</v>
      </c>
      <c r="JI12" s="393">
        <f t="shared" si="30"/>
        <v>41444.6</v>
      </c>
      <c r="JJ12" s="69"/>
      <c r="JL12" s="106"/>
      <c r="JM12" s="15">
        <v>5</v>
      </c>
      <c r="JN12" s="92">
        <v>920.8</v>
      </c>
      <c r="JO12" s="244">
        <v>44912</v>
      </c>
      <c r="JP12" s="92">
        <v>920.8</v>
      </c>
      <c r="JQ12" s="70" t="s">
        <v>739</v>
      </c>
      <c r="JR12" s="71">
        <v>48</v>
      </c>
      <c r="JS12" s="393">
        <f t="shared" si="31"/>
        <v>44198.399999999994</v>
      </c>
      <c r="JV12" s="106"/>
      <c r="JW12" s="15">
        <v>5</v>
      </c>
      <c r="JX12" s="69">
        <v>906.3</v>
      </c>
      <c r="JY12" s="252">
        <v>44912</v>
      </c>
      <c r="JZ12" s="69">
        <v>906.3</v>
      </c>
      <c r="KA12" s="70" t="s">
        <v>746</v>
      </c>
      <c r="KB12" s="71">
        <v>48</v>
      </c>
      <c r="KC12" s="393">
        <f t="shared" si="32"/>
        <v>43502.399999999994</v>
      </c>
      <c r="KF12" s="106"/>
      <c r="KG12" s="15">
        <v>5</v>
      </c>
      <c r="KH12" s="69">
        <v>893.6</v>
      </c>
      <c r="KI12" s="252">
        <v>44915</v>
      </c>
      <c r="KJ12" s="69">
        <v>893.6</v>
      </c>
      <c r="KK12" s="70" t="s">
        <v>756</v>
      </c>
      <c r="KL12" s="71">
        <v>49</v>
      </c>
      <c r="KM12" s="393">
        <f t="shared" si="33"/>
        <v>43786.400000000001</v>
      </c>
      <c r="KP12" s="106"/>
      <c r="KQ12" s="15">
        <v>5</v>
      </c>
      <c r="KR12" s="69">
        <v>930.77</v>
      </c>
      <c r="KS12" s="252">
        <v>44915</v>
      </c>
      <c r="KT12" s="69">
        <v>930.77</v>
      </c>
      <c r="KU12" s="695" t="s">
        <v>757</v>
      </c>
      <c r="KV12" s="696">
        <v>49</v>
      </c>
      <c r="KW12" s="393">
        <f t="shared" si="34"/>
        <v>45607.729999999996</v>
      </c>
      <c r="KZ12" s="106"/>
      <c r="LA12" s="15">
        <v>5</v>
      </c>
      <c r="LB12" s="92">
        <v>927.1</v>
      </c>
      <c r="LC12" s="244">
        <v>44916</v>
      </c>
      <c r="LD12" s="92">
        <v>927.1</v>
      </c>
      <c r="LE12" s="95" t="s">
        <v>771</v>
      </c>
      <c r="LF12" s="71">
        <v>51</v>
      </c>
      <c r="LG12" s="393">
        <f t="shared" si="35"/>
        <v>47282.1</v>
      </c>
      <c r="LJ12" s="106"/>
      <c r="LK12" s="15">
        <v>5</v>
      </c>
      <c r="LL12" s="92">
        <v>940.29</v>
      </c>
      <c r="LM12" s="244">
        <v>44916</v>
      </c>
      <c r="LN12" s="92">
        <v>940.29</v>
      </c>
      <c r="LO12" s="95" t="s">
        <v>776</v>
      </c>
      <c r="LP12" s="71">
        <v>51</v>
      </c>
      <c r="LQ12" s="393">
        <f t="shared" si="36"/>
        <v>47954.79</v>
      </c>
      <c r="LT12" s="106"/>
      <c r="LU12" s="15">
        <v>5</v>
      </c>
      <c r="LV12" s="92">
        <v>917.6</v>
      </c>
      <c r="LW12" s="244">
        <v>44917</v>
      </c>
      <c r="LX12" s="92">
        <v>917.6</v>
      </c>
      <c r="LY12" s="95" t="s">
        <v>786</v>
      </c>
      <c r="LZ12" s="71">
        <v>53</v>
      </c>
      <c r="MA12" s="393">
        <f t="shared" si="37"/>
        <v>48632.800000000003</v>
      </c>
      <c r="MB12" s="393"/>
      <c r="MD12" s="106"/>
      <c r="ME12" s="15">
        <v>5</v>
      </c>
      <c r="MF12" s="296">
        <v>899.9</v>
      </c>
      <c r="MG12" s="244">
        <v>44916</v>
      </c>
      <c r="MH12" s="296">
        <v>899.9</v>
      </c>
      <c r="MI12" s="95" t="s">
        <v>780</v>
      </c>
      <c r="MJ12" s="71">
        <v>51</v>
      </c>
      <c r="MK12" s="71">
        <f t="shared" si="38"/>
        <v>45894.9</v>
      </c>
      <c r="MN12" s="106"/>
      <c r="MO12" s="15">
        <v>5</v>
      </c>
      <c r="MP12" s="92">
        <v>959.34</v>
      </c>
      <c r="MQ12" s="244">
        <v>44917</v>
      </c>
      <c r="MR12" s="92">
        <v>959.34</v>
      </c>
      <c r="MS12" s="95" t="s">
        <v>789</v>
      </c>
      <c r="MT12" s="71">
        <v>53</v>
      </c>
      <c r="MU12" s="71">
        <f t="shared" si="39"/>
        <v>50845.020000000004</v>
      </c>
      <c r="MX12" s="106"/>
      <c r="MY12" s="15">
        <v>5</v>
      </c>
      <c r="MZ12" s="92">
        <v>921.7</v>
      </c>
      <c r="NA12" s="244">
        <v>44918</v>
      </c>
      <c r="NB12" s="92">
        <v>921.7</v>
      </c>
      <c r="NC12" s="95" t="s">
        <v>801</v>
      </c>
      <c r="ND12" s="71">
        <v>53</v>
      </c>
      <c r="NE12" s="71">
        <f t="shared" si="40"/>
        <v>48850.100000000006</v>
      </c>
      <c r="NH12" s="106"/>
      <c r="NI12" s="15">
        <v>5</v>
      </c>
      <c r="NJ12" s="92">
        <v>909</v>
      </c>
      <c r="NK12" s="244">
        <v>44918</v>
      </c>
      <c r="NL12" s="92">
        <v>909</v>
      </c>
      <c r="NM12" s="95" t="s">
        <v>809</v>
      </c>
      <c r="NN12" s="71">
        <v>53</v>
      </c>
      <c r="NO12" s="71">
        <f t="shared" si="41"/>
        <v>48177</v>
      </c>
      <c r="NR12" s="106"/>
      <c r="NS12" s="15">
        <v>5</v>
      </c>
      <c r="NT12" s="92">
        <v>929.9</v>
      </c>
      <c r="NU12" s="244">
        <v>44918</v>
      </c>
      <c r="NV12" s="92">
        <v>929.9</v>
      </c>
      <c r="NW12" s="95" t="s">
        <v>819</v>
      </c>
      <c r="NX12" s="71">
        <v>53</v>
      </c>
      <c r="NY12" s="71">
        <f t="shared" si="42"/>
        <v>49284.7</v>
      </c>
      <c r="OB12" s="106"/>
      <c r="OC12" s="15">
        <v>5</v>
      </c>
      <c r="OD12" s="92">
        <v>898.1</v>
      </c>
      <c r="OE12" s="244">
        <v>44919</v>
      </c>
      <c r="OF12" s="92">
        <v>898.1</v>
      </c>
      <c r="OG12" s="95" t="s">
        <v>825</v>
      </c>
      <c r="OH12" s="71">
        <v>53</v>
      </c>
      <c r="OI12" s="71">
        <f t="shared" si="43"/>
        <v>47599.3</v>
      </c>
      <c r="OL12" s="106"/>
      <c r="OM12" s="15">
        <v>5</v>
      </c>
      <c r="ON12" s="92">
        <v>936.2</v>
      </c>
      <c r="OO12" s="244">
        <v>44919</v>
      </c>
      <c r="OP12" s="92">
        <v>936.2</v>
      </c>
      <c r="OQ12" s="95" t="s">
        <v>823</v>
      </c>
      <c r="OR12" s="71">
        <v>53</v>
      </c>
      <c r="OS12" s="71">
        <f t="shared" si="44"/>
        <v>49618.600000000006</v>
      </c>
      <c r="OV12" s="106"/>
      <c r="OW12" s="15">
        <v>5</v>
      </c>
      <c r="OX12" s="92">
        <v>912.6</v>
      </c>
      <c r="OY12" s="244">
        <v>44921</v>
      </c>
      <c r="OZ12" s="92">
        <v>912.6</v>
      </c>
      <c r="PA12" s="95" t="s">
        <v>830</v>
      </c>
      <c r="PB12" s="71">
        <v>53</v>
      </c>
      <c r="PC12" s="71">
        <f t="shared" si="45"/>
        <v>48367.8</v>
      </c>
      <c r="PF12" s="94"/>
      <c r="PG12" s="15">
        <v>5</v>
      </c>
      <c r="PH12" s="92">
        <v>896.87</v>
      </c>
      <c r="PI12" s="244">
        <v>44924</v>
      </c>
      <c r="PJ12" s="92">
        <v>896.87</v>
      </c>
      <c r="PK12" s="95" t="s">
        <v>806</v>
      </c>
      <c r="PL12" s="71">
        <v>53</v>
      </c>
      <c r="PM12" s="71">
        <f t="shared" si="46"/>
        <v>47534.11</v>
      </c>
      <c r="PN12" s="71"/>
      <c r="PQ12" s="106"/>
      <c r="PR12" s="15">
        <v>5</v>
      </c>
      <c r="PS12" s="92">
        <v>919.4</v>
      </c>
      <c r="PT12" s="244">
        <v>44924</v>
      </c>
      <c r="PU12" s="92">
        <v>919.4</v>
      </c>
      <c r="PV12" s="95" t="s">
        <v>847</v>
      </c>
      <c r="PW12" s="71">
        <v>53</v>
      </c>
      <c r="PX12" s="71">
        <f t="shared" si="47"/>
        <v>48728.2</v>
      </c>
      <c r="QA12" s="106"/>
      <c r="QB12" s="15">
        <v>5</v>
      </c>
      <c r="QC12" s="92">
        <v>968.87</v>
      </c>
      <c r="QD12" s="135">
        <v>44924</v>
      </c>
      <c r="QE12" s="92">
        <v>968.87</v>
      </c>
      <c r="QF12" s="95" t="s">
        <v>844</v>
      </c>
      <c r="QG12" s="71">
        <v>53</v>
      </c>
      <c r="QH12" s="71">
        <f t="shared" si="48"/>
        <v>51350.11</v>
      </c>
      <c r="QK12" s="106"/>
      <c r="QL12" s="15">
        <v>5</v>
      </c>
      <c r="QM12" s="92">
        <v>889</v>
      </c>
      <c r="QN12" s="244">
        <v>44925</v>
      </c>
      <c r="QO12" s="92">
        <v>889</v>
      </c>
      <c r="QP12" s="95" t="s">
        <v>857</v>
      </c>
      <c r="QQ12" s="71">
        <v>53</v>
      </c>
      <c r="QR12" s="71">
        <f t="shared" si="49"/>
        <v>47117</v>
      </c>
      <c r="QU12" s="106"/>
      <c r="QV12" s="15">
        <v>5</v>
      </c>
      <c r="QW12" s="92">
        <v>915.3</v>
      </c>
      <c r="QX12" s="244">
        <v>44926</v>
      </c>
      <c r="QY12" s="92">
        <v>915.3</v>
      </c>
      <c r="QZ12" s="95" t="s">
        <v>860</v>
      </c>
      <c r="RA12" s="71">
        <v>53</v>
      </c>
      <c r="RB12" s="71">
        <f t="shared" si="50"/>
        <v>48510.899999999994</v>
      </c>
      <c r="RE12" s="106"/>
      <c r="RF12" s="15">
        <v>5</v>
      </c>
      <c r="RG12" s="92">
        <v>892.7</v>
      </c>
      <c r="RH12" s="244">
        <v>44930</v>
      </c>
      <c r="RI12" s="92">
        <v>892.7</v>
      </c>
      <c r="RJ12" s="95" t="s">
        <v>889</v>
      </c>
      <c r="RK12" s="71">
        <v>47</v>
      </c>
      <c r="RL12" s="71">
        <f t="shared" si="51"/>
        <v>41956.9</v>
      </c>
      <c r="RO12" s="106"/>
      <c r="RP12" s="15">
        <v>5</v>
      </c>
      <c r="RQ12" s="92">
        <v>883.6</v>
      </c>
      <c r="RR12" s="244">
        <v>44930</v>
      </c>
      <c r="RS12" s="92">
        <v>883.6</v>
      </c>
      <c r="RT12" s="95" t="s">
        <v>885</v>
      </c>
      <c r="RU12" s="71">
        <v>49</v>
      </c>
      <c r="RV12" s="71">
        <f t="shared" si="52"/>
        <v>43296.4</v>
      </c>
      <c r="RX12" s="61"/>
      <c r="RY12" s="106"/>
      <c r="RZ12" s="15">
        <v>5</v>
      </c>
      <c r="SA12" s="92">
        <v>908.09</v>
      </c>
      <c r="SB12" s="135">
        <v>44931</v>
      </c>
      <c r="SC12" s="92">
        <v>908.09</v>
      </c>
      <c r="SD12" s="95" t="s">
        <v>892</v>
      </c>
      <c r="SE12" s="71">
        <v>47</v>
      </c>
      <c r="SF12" s="71">
        <f t="shared" si="53"/>
        <v>42680.23</v>
      </c>
      <c r="SH12" s="61"/>
      <c r="SI12" s="106"/>
      <c r="SJ12" s="15">
        <v>5</v>
      </c>
      <c r="SK12" s="92">
        <v>962.52</v>
      </c>
      <c r="SL12" s="244">
        <v>44932</v>
      </c>
      <c r="SM12" s="92">
        <v>962.52</v>
      </c>
      <c r="SN12" s="95" t="s">
        <v>904</v>
      </c>
      <c r="SO12" s="71">
        <v>47</v>
      </c>
      <c r="SP12" s="71">
        <f t="shared" si="54"/>
        <v>45238.44</v>
      </c>
      <c r="SR12" s="61"/>
      <c r="SS12" s="106"/>
      <c r="ST12" s="15">
        <v>5</v>
      </c>
      <c r="SU12" s="92">
        <v>940.7</v>
      </c>
      <c r="SV12" s="244">
        <v>44933</v>
      </c>
      <c r="SW12" s="92">
        <v>940.7</v>
      </c>
      <c r="SX12" s="95" t="s">
        <v>909</v>
      </c>
      <c r="SY12" s="71">
        <v>45</v>
      </c>
      <c r="SZ12" s="71">
        <f t="shared" si="55"/>
        <v>42331.5</v>
      </c>
      <c r="TB12" s="61"/>
      <c r="TC12" s="106"/>
      <c r="TD12" s="15">
        <v>5</v>
      </c>
      <c r="TE12" s="92">
        <v>889</v>
      </c>
      <c r="TF12" s="244">
        <v>44933</v>
      </c>
      <c r="TG12" s="92">
        <v>889</v>
      </c>
      <c r="TH12" s="95" t="s">
        <v>913</v>
      </c>
      <c r="TI12" s="71">
        <v>45</v>
      </c>
      <c r="TJ12" s="71">
        <f t="shared" si="56"/>
        <v>40005</v>
      </c>
      <c r="TL12" s="61"/>
      <c r="TM12" s="106"/>
      <c r="TN12" s="15">
        <v>5</v>
      </c>
      <c r="TO12" s="92"/>
      <c r="TP12" s="295"/>
      <c r="TQ12" s="168"/>
      <c r="TR12" s="291"/>
      <c r="TS12" s="290"/>
      <c r="TT12" s="290"/>
      <c r="TV12" s="61"/>
      <c r="TW12" s="106"/>
      <c r="TX12" s="15">
        <v>5</v>
      </c>
      <c r="TY12" s="92"/>
      <c r="TZ12" s="79"/>
      <c r="UA12" s="92"/>
      <c r="UB12" s="95"/>
      <c r="UC12" s="71"/>
      <c r="UE12" s="61" t="s">
        <v>33</v>
      </c>
      <c r="UF12" s="106"/>
      <c r="UG12" s="15">
        <v>5</v>
      </c>
      <c r="UH12" s="92"/>
      <c r="UI12" s="79"/>
      <c r="UJ12" s="92"/>
      <c r="UK12" s="95"/>
      <c r="UL12" s="71"/>
      <c r="UN12" s="61"/>
      <c r="UO12" s="106"/>
      <c r="UP12" s="15">
        <v>5</v>
      </c>
      <c r="UQ12" s="92"/>
      <c r="UR12" s="79"/>
      <c r="US12" s="92"/>
      <c r="UT12" s="95"/>
      <c r="UU12" s="71"/>
      <c r="UW12" s="61" t="s">
        <v>33</v>
      </c>
      <c r="UX12" s="106"/>
      <c r="UY12" s="15">
        <v>5</v>
      </c>
      <c r="UZ12" s="92"/>
      <c r="VA12" s="79"/>
      <c r="VB12" s="92"/>
      <c r="VC12" s="95"/>
      <c r="VD12" s="71"/>
      <c r="VF12" s="61" t="s">
        <v>33</v>
      </c>
      <c r="VG12" s="106"/>
      <c r="VH12" s="15">
        <v>5</v>
      </c>
      <c r="VI12" s="92"/>
      <c r="VJ12" s="79"/>
      <c r="VK12" s="92"/>
      <c r="VL12" s="95"/>
      <c r="VM12" s="71"/>
      <c r="VP12" s="106"/>
      <c r="VQ12" s="15">
        <v>5</v>
      </c>
      <c r="VR12" s="92"/>
      <c r="VS12" s="79"/>
      <c r="VT12" s="92"/>
      <c r="VU12" s="95"/>
      <c r="VV12" s="71"/>
      <c r="VY12" s="106"/>
      <c r="VZ12" s="15">
        <v>5</v>
      </c>
      <c r="WA12" s="92"/>
      <c r="WB12" s="79"/>
      <c r="WC12" s="92"/>
      <c r="WD12" s="95"/>
      <c r="WE12" s="71"/>
      <c r="WH12" s="106"/>
      <c r="WI12" s="15">
        <v>5</v>
      </c>
      <c r="WJ12" s="92"/>
      <c r="WK12" s="79"/>
      <c r="WL12" s="92"/>
      <c r="WM12" s="95"/>
      <c r="WN12" s="71"/>
      <c r="WQ12" s="106"/>
      <c r="WR12" s="15">
        <v>5</v>
      </c>
      <c r="WS12" s="92"/>
      <c r="WT12" s="79"/>
      <c r="WU12" s="92"/>
      <c r="WV12" s="95"/>
      <c r="WW12" s="71"/>
      <c r="WZ12" s="106"/>
      <c r="XA12" s="15">
        <v>5</v>
      </c>
      <c r="XB12" s="92"/>
      <c r="XC12" s="79"/>
      <c r="XD12" s="92"/>
      <c r="XE12" s="95"/>
      <c r="XF12" s="71"/>
      <c r="XI12" s="106"/>
      <c r="XJ12" s="15">
        <v>5</v>
      </c>
      <c r="XK12" s="92"/>
      <c r="XL12" s="79"/>
      <c r="XM12" s="92"/>
      <c r="XN12" s="95"/>
      <c r="XO12" s="71"/>
      <c r="XR12" s="106"/>
      <c r="XS12" s="15">
        <v>5</v>
      </c>
      <c r="XT12" s="92"/>
      <c r="XU12" s="79"/>
      <c r="XV12" s="92"/>
      <c r="XW12" s="95"/>
      <c r="XX12" s="71"/>
      <c r="YA12" s="106"/>
      <c r="YB12" s="15">
        <v>5</v>
      </c>
      <c r="YC12" s="92"/>
      <c r="YD12" s="79"/>
      <c r="YE12" s="92"/>
      <c r="YF12" s="95"/>
      <c r="YG12" s="71"/>
      <c r="YJ12" s="106"/>
      <c r="YK12" s="15">
        <v>5</v>
      </c>
      <c r="YL12" s="92"/>
      <c r="YM12" s="79"/>
      <c r="YN12" s="92"/>
      <c r="YO12" s="95"/>
      <c r="YP12" s="71"/>
      <c r="YS12" s="106"/>
      <c r="YT12" s="15">
        <v>5</v>
      </c>
      <c r="YU12" s="92"/>
      <c r="YV12" s="79"/>
      <c r="YW12" s="92"/>
      <c r="YX12" s="95"/>
      <c r="YY12" s="71"/>
      <c r="ZB12" s="106"/>
      <c r="ZC12" s="15">
        <v>5</v>
      </c>
      <c r="ZD12" s="92"/>
      <c r="ZE12" s="79"/>
      <c r="ZF12" s="92"/>
      <c r="ZG12" s="95"/>
      <c r="ZH12" s="71"/>
      <c r="ZK12" s="106"/>
      <c r="ZL12" s="15">
        <v>5</v>
      </c>
      <c r="ZM12" s="92"/>
      <c r="ZN12" s="79"/>
      <c r="ZO12" s="92"/>
      <c r="ZP12" s="95"/>
      <c r="ZQ12" s="71"/>
      <c r="ZT12" s="106"/>
      <c r="ZU12" s="15">
        <v>5</v>
      </c>
      <c r="ZV12" s="92"/>
      <c r="ZW12" s="79"/>
      <c r="ZX12" s="92"/>
      <c r="ZY12" s="95"/>
      <c r="ZZ12" s="71"/>
      <c r="AAC12" s="106"/>
      <c r="AAD12" s="15">
        <v>5</v>
      </c>
      <c r="AAE12" s="92"/>
      <c r="AAF12" s="79"/>
      <c r="AAG12" s="92"/>
      <c r="AAH12" s="95"/>
      <c r="AAI12" s="71"/>
      <c r="AAL12" s="106"/>
      <c r="AAM12" s="15">
        <v>5</v>
      </c>
      <c r="AAN12" s="92"/>
      <c r="AAO12" s="79"/>
      <c r="AAP12" s="92"/>
      <c r="AAQ12" s="95"/>
      <c r="AAR12" s="71"/>
      <c r="AAU12" s="106"/>
      <c r="AAV12" s="15">
        <v>5</v>
      </c>
      <c r="AAW12" s="92"/>
      <c r="AAX12" s="79"/>
      <c r="AAY12" s="92"/>
      <c r="AAZ12" s="95"/>
      <c r="ABA12" s="71"/>
      <c r="ABD12" s="106"/>
      <c r="ABE12" s="15">
        <v>5</v>
      </c>
      <c r="ABF12" s="92"/>
      <c r="ABG12" s="79"/>
      <c r="ABH12" s="92"/>
      <c r="ABI12" s="95"/>
      <c r="ABJ12" s="71"/>
      <c r="ABM12" s="106"/>
      <c r="ABN12" s="15">
        <v>5</v>
      </c>
      <c r="ABO12" s="92"/>
      <c r="ABP12" s="79"/>
      <c r="ABQ12" s="92"/>
      <c r="ABR12" s="95"/>
      <c r="ABS12" s="71"/>
      <c r="ABV12" s="106"/>
      <c r="ABW12" s="15">
        <v>5</v>
      </c>
      <c r="ABX12" s="92"/>
      <c r="ABY12" s="79"/>
      <c r="ABZ12" s="92"/>
      <c r="ACA12" s="95"/>
      <c r="ACB12" s="71"/>
      <c r="ACE12" s="106"/>
      <c r="ACF12" s="15">
        <v>5</v>
      </c>
      <c r="ACG12" s="92"/>
      <c r="ACH12" s="79"/>
      <c r="ACI12" s="92"/>
      <c r="ACJ12" s="95"/>
      <c r="ACK12" s="71"/>
      <c r="ACN12" s="106"/>
      <c r="ACO12" s="15">
        <v>5</v>
      </c>
      <c r="ACP12" s="92"/>
      <c r="ACQ12" s="79"/>
      <c r="ACR12" s="92"/>
      <c r="ACS12" s="95"/>
      <c r="ACT12" s="71"/>
      <c r="ACW12" s="106"/>
      <c r="ACX12" s="15">
        <v>5</v>
      </c>
      <c r="ACY12" s="92"/>
      <c r="ACZ12" s="79"/>
      <c r="ADA12" s="92"/>
      <c r="ADB12" s="95"/>
      <c r="ADC12" s="71"/>
      <c r="ADF12" s="106"/>
      <c r="ADG12" s="15">
        <v>5</v>
      </c>
      <c r="ADH12" s="92"/>
      <c r="ADI12" s="79"/>
      <c r="ADJ12" s="92"/>
      <c r="ADK12" s="95"/>
      <c r="ADL12" s="71"/>
      <c r="ADO12" s="106"/>
      <c r="ADP12" s="15">
        <v>5</v>
      </c>
      <c r="ADQ12" s="92"/>
      <c r="ADR12" s="79"/>
      <c r="ADS12" s="92"/>
      <c r="ADT12" s="95"/>
      <c r="ADU12" s="71"/>
      <c r="ADX12" s="106"/>
      <c r="ADY12" s="15">
        <v>5</v>
      </c>
      <c r="ADZ12" s="92"/>
      <c r="AEA12" s="79"/>
      <c r="AEB12" s="92"/>
      <c r="AEC12" s="95"/>
      <c r="AED12" s="71"/>
      <c r="AEG12" s="106"/>
      <c r="AEH12" s="15">
        <v>5</v>
      </c>
      <c r="AEI12" s="92"/>
      <c r="AEJ12" s="79"/>
      <c r="AEK12" s="92"/>
      <c r="AEL12" s="95"/>
      <c r="AEM12" s="71"/>
      <c r="AEP12" s="106"/>
      <c r="AEQ12" s="15">
        <v>5</v>
      </c>
      <c r="AER12" s="92"/>
      <c r="AES12" s="79"/>
      <c r="AET12" s="92"/>
      <c r="AEU12" s="95"/>
      <c r="AEV12" s="71"/>
      <c r="AEY12" s="106"/>
      <c r="AEZ12" s="15">
        <v>5</v>
      </c>
      <c r="AFA12" s="92"/>
      <c r="AFB12" s="79"/>
      <c r="AFC12" s="92"/>
      <c r="AFD12" s="95"/>
      <c r="AFE12" s="71"/>
    </row>
    <row r="13" spans="1:837" x14ac:dyDescent="0.25">
      <c r="A13" s="137">
        <v>10</v>
      </c>
      <c r="B13" s="75" t="str">
        <f t="shared" ref="B13:I13" si="61">CW5</f>
        <v>TYSON FRESH MEAT</v>
      </c>
      <c r="C13" s="75" t="str">
        <f t="shared" si="61"/>
        <v xml:space="preserve">I B P </v>
      </c>
      <c r="D13" s="102" t="str">
        <f t="shared" si="61"/>
        <v>PED. 90707882</v>
      </c>
      <c r="E13" s="135">
        <f t="shared" si="61"/>
        <v>44902</v>
      </c>
      <c r="F13" s="86">
        <f t="shared" si="61"/>
        <v>18623.95</v>
      </c>
      <c r="G13" s="73">
        <f t="shared" si="61"/>
        <v>20</v>
      </c>
      <c r="H13" s="48">
        <f t="shared" si="61"/>
        <v>18651.62</v>
      </c>
      <c r="I13" s="105">
        <f t="shared" si="61"/>
        <v>-27.669999999998254</v>
      </c>
      <c r="L13" s="106"/>
      <c r="M13" s="15">
        <v>6</v>
      </c>
      <c r="N13" s="69">
        <v>896.3</v>
      </c>
      <c r="O13" s="252">
        <v>44895</v>
      </c>
      <c r="P13" s="69">
        <v>896.3</v>
      </c>
      <c r="Q13" s="70" t="s">
        <v>582</v>
      </c>
      <c r="R13" s="71">
        <v>51</v>
      </c>
      <c r="S13" s="393">
        <f t="shared" si="8"/>
        <v>45711.299999999996</v>
      </c>
      <c r="V13" s="106"/>
      <c r="W13" s="15">
        <v>6</v>
      </c>
      <c r="X13" s="69">
        <v>880</v>
      </c>
      <c r="Y13" s="252">
        <v>44895</v>
      </c>
      <c r="Z13" s="69">
        <v>880</v>
      </c>
      <c r="AA13" s="695" t="s">
        <v>580</v>
      </c>
      <c r="AB13" s="696">
        <v>51</v>
      </c>
      <c r="AC13" s="393">
        <f t="shared" si="9"/>
        <v>44880</v>
      </c>
      <c r="AF13" s="106"/>
      <c r="AG13" s="15">
        <v>6</v>
      </c>
      <c r="AH13" s="92">
        <v>949.82</v>
      </c>
      <c r="AI13" s="244">
        <v>44896</v>
      </c>
      <c r="AJ13" s="92">
        <v>949.82</v>
      </c>
      <c r="AK13" s="95" t="s">
        <v>587</v>
      </c>
      <c r="AL13" s="71">
        <v>51</v>
      </c>
      <c r="AM13" s="393">
        <f t="shared" si="10"/>
        <v>48440.82</v>
      </c>
      <c r="AP13" s="106"/>
      <c r="AQ13" s="15">
        <v>6</v>
      </c>
      <c r="AR13" s="92">
        <v>927.1</v>
      </c>
      <c r="AS13" s="244">
        <v>44897</v>
      </c>
      <c r="AT13" s="92">
        <v>927.1</v>
      </c>
      <c r="AU13" s="95" t="s">
        <v>600</v>
      </c>
      <c r="AV13" s="71">
        <v>51</v>
      </c>
      <c r="AW13" s="393">
        <f t="shared" si="11"/>
        <v>47282.1</v>
      </c>
      <c r="AZ13" s="106"/>
      <c r="BA13" s="15">
        <v>6</v>
      </c>
      <c r="BB13" s="92">
        <v>880</v>
      </c>
      <c r="BC13" s="244">
        <v>44897</v>
      </c>
      <c r="BD13" s="92">
        <v>880</v>
      </c>
      <c r="BE13" s="95" t="s">
        <v>598</v>
      </c>
      <c r="BF13" s="71">
        <v>51</v>
      </c>
      <c r="BG13" s="393">
        <f t="shared" si="12"/>
        <v>44880</v>
      </c>
      <c r="BJ13" s="106"/>
      <c r="BK13" s="15">
        <v>6</v>
      </c>
      <c r="BL13" s="92">
        <v>901.28</v>
      </c>
      <c r="BM13" s="135">
        <v>44898</v>
      </c>
      <c r="BN13" s="92">
        <v>901.28</v>
      </c>
      <c r="BO13" s="95" t="s">
        <v>602</v>
      </c>
      <c r="BP13" s="288">
        <v>51</v>
      </c>
      <c r="BQ13" s="481">
        <f t="shared" si="13"/>
        <v>45965.279999999999</v>
      </c>
      <c r="BR13" s="393"/>
      <c r="BT13" s="106"/>
      <c r="BU13" s="15"/>
      <c r="BV13" s="92"/>
      <c r="BW13" s="289"/>
      <c r="BX13" s="92"/>
      <c r="BY13" s="577"/>
      <c r="BZ13" s="290"/>
      <c r="CA13" s="393">
        <f t="shared" si="5"/>
        <v>0</v>
      </c>
      <c r="CD13" s="213"/>
      <c r="CE13" s="15">
        <v>6</v>
      </c>
      <c r="CF13" s="92">
        <v>906.3</v>
      </c>
      <c r="CG13" s="289">
        <v>44901</v>
      </c>
      <c r="CH13" s="92">
        <v>906.3</v>
      </c>
      <c r="CI13" s="291" t="s">
        <v>619</v>
      </c>
      <c r="CJ13" s="290">
        <v>51</v>
      </c>
      <c r="CK13" s="393">
        <f t="shared" si="14"/>
        <v>46221.299999999996</v>
      </c>
      <c r="CN13" s="94"/>
      <c r="CO13" s="15">
        <v>6</v>
      </c>
      <c r="CP13" s="92">
        <v>921.7</v>
      </c>
      <c r="CQ13" s="289">
        <v>44901</v>
      </c>
      <c r="CR13" s="92">
        <v>921.7</v>
      </c>
      <c r="CS13" s="291" t="s">
        <v>626</v>
      </c>
      <c r="CT13" s="290">
        <v>51</v>
      </c>
      <c r="CU13" s="398">
        <f t="shared" si="58"/>
        <v>47006.700000000004</v>
      </c>
      <c r="CX13" s="106"/>
      <c r="CY13" s="15">
        <v>6</v>
      </c>
      <c r="CZ13" s="92">
        <v>929.86</v>
      </c>
      <c r="DA13" s="244">
        <v>44902</v>
      </c>
      <c r="DB13" s="92">
        <v>929.86</v>
      </c>
      <c r="DC13" s="95" t="s">
        <v>633</v>
      </c>
      <c r="DD13" s="71">
        <v>51</v>
      </c>
      <c r="DE13" s="393">
        <f t="shared" si="15"/>
        <v>47422.86</v>
      </c>
      <c r="DH13" s="106"/>
      <c r="DI13" s="15">
        <v>6</v>
      </c>
      <c r="DJ13" s="694">
        <v>929.9</v>
      </c>
      <c r="DK13" s="720">
        <v>44903</v>
      </c>
      <c r="DL13" s="694">
        <v>929.9</v>
      </c>
      <c r="DM13" s="721" t="s">
        <v>648</v>
      </c>
      <c r="DN13" s="722">
        <v>51</v>
      </c>
      <c r="DO13" s="398">
        <f t="shared" si="16"/>
        <v>47424.9</v>
      </c>
      <c r="DR13" s="106"/>
      <c r="DS13" s="15">
        <v>6</v>
      </c>
      <c r="DT13" s="92">
        <v>948.46</v>
      </c>
      <c r="DU13" s="289">
        <v>44903</v>
      </c>
      <c r="DV13" s="92">
        <v>948.46</v>
      </c>
      <c r="DW13" s="291" t="s">
        <v>644</v>
      </c>
      <c r="DX13" s="290">
        <v>51</v>
      </c>
      <c r="DY13" s="393">
        <f t="shared" si="17"/>
        <v>48371.46</v>
      </c>
      <c r="EB13" s="106"/>
      <c r="EC13" s="15">
        <v>6</v>
      </c>
      <c r="ED13" s="69">
        <v>876.3</v>
      </c>
      <c r="EE13" s="252">
        <v>44904</v>
      </c>
      <c r="EF13" s="69">
        <v>876.3</v>
      </c>
      <c r="EG13" s="70" t="s">
        <v>661</v>
      </c>
      <c r="EH13" s="71">
        <v>51</v>
      </c>
      <c r="EI13" s="393">
        <f t="shared" si="18"/>
        <v>44691.299999999996</v>
      </c>
      <c r="EL13" s="106"/>
      <c r="EM13" s="15">
        <v>6</v>
      </c>
      <c r="EN13" s="69">
        <v>885</v>
      </c>
      <c r="EO13" s="252">
        <v>44904</v>
      </c>
      <c r="EP13" s="69">
        <v>885</v>
      </c>
      <c r="EQ13" s="70" t="s">
        <v>659</v>
      </c>
      <c r="ER13" s="71">
        <v>51</v>
      </c>
      <c r="ES13" s="393">
        <f t="shared" si="19"/>
        <v>45135</v>
      </c>
      <c r="EV13" s="331"/>
      <c r="EW13" s="15">
        <v>6</v>
      </c>
      <c r="EX13" s="92">
        <v>863.6</v>
      </c>
      <c r="EY13" s="244">
        <v>44907</v>
      </c>
      <c r="EZ13" s="92">
        <v>863.6</v>
      </c>
      <c r="FA13" s="70" t="s">
        <v>682</v>
      </c>
      <c r="FB13" s="71">
        <v>51</v>
      </c>
      <c r="FC13" s="393">
        <f t="shared" si="20"/>
        <v>44043.6</v>
      </c>
      <c r="FF13" s="331"/>
      <c r="FG13" s="15">
        <v>6</v>
      </c>
      <c r="FH13" s="92">
        <v>889.9</v>
      </c>
      <c r="FI13" s="244">
        <v>44905</v>
      </c>
      <c r="FJ13" s="92">
        <v>889.9</v>
      </c>
      <c r="FK13" s="70" t="s">
        <v>678</v>
      </c>
      <c r="FL13" s="71">
        <v>51</v>
      </c>
      <c r="FM13" s="243">
        <f t="shared" si="21"/>
        <v>45384.9</v>
      </c>
      <c r="FP13" s="106"/>
      <c r="FQ13" s="15">
        <v>6</v>
      </c>
      <c r="FR13" s="92">
        <v>906.27</v>
      </c>
      <c r="FS13" s="244">
        <v>44905</v>
      </c>
      <c r="FT13" s="92">
        <v>906.27</v>
      </c>
      <c r="FU13" s="70" t="s">
        <v>674</v>
      </c>
      <c r="FV13" s="71">
        <v>51</v>
      </c>
      <c r="FW13" s="393">
        <f t="shared" si="22"/>
        <v>46219.77</v>
      </c>
      <c r="FZ13" s="106"/>
      <c r="GA13" s="15">
        <v>6</v>
      </c>
      <c r="GB13" s="69">
        <v>906.3</v>
      </c>
      <c r="GC13" s="252">
        <v>44908</v>
      </c>
      <c r="GD13" s="69">
        <v>906.3</v>
      </c>
      <c r="GE13" s="70" t="s">
        <v>689</v>
      </c>
      <c r="GF13" s="71">
        <v>49</v>
      </c>
      <c r="GG13" s="243">
        <f t="shared" si="23"/>
        <v>44408.7</v>
      </c>
      <c r="GJ13" s="106"/>
      <c r="GK13" s="15">
        <v>6</v>
      </c>
      <c r="GL13" s="352">
        <v>880.9</v>
      </c>
      <c r="GM13" s="244">
        <v>44908</v>
      </c>
      <c r="GN13" s="352">
        <v>880.9</v>
      </c>
      <c r="GO13" s="95" t="s">
        <v>696</v>
      </c>
      <c r="GP13" s="71">
        <v>49</v>
      </c>
      <c r="GQ13" s="393">
        <f t="shared" si="24"/>
        <v>43164.1</v>
      </c>
      <c r="GT13" s="106"/>
      <c r="GU13" s="15">
        <v>6</v>
      </c>
      <c r="GV13" s="92">
        <v>914.4</v>
      </c>
      <c r="GW13" s="244">
        <v>44908</v>
      </c>
      <c r="GX13" s="92">
        <v>914.4</v>
      </c>
      <c r="GY13" s="95" t="s">
        <v>694</v>
      </c>
      <c r="GZ13" s="71">
        <v>49</v>
      </c>
      <c r="HA13" s="393">
        <f t="shared" si="25"/>
        <v>44805.599999999999</v>
      </c>
      <c r="HD13" s="106"/>
      <c r="HE13" s="15">
        <v>6</v>
      </c>
      <c r="HF13" s="92">
        <v>949.82</v>
      </c>
      <c r="HG13" s="244">
        <v>44909</v>
      </c>
      <c r="HH13" s="92">
        <v>949.82</v>
      </c>
      <c r="HI13" s="95" t="s">
        <v>705</v>
      </c>
      <c r="HJ13" s="71">
        <v>49</v>
      </c>
      <c r="HK13" s="393">
        <f t="shared" si="26"/>
        <v>46541.18</v>
      </c>
      <c r="HN13" s="106"/>
      <c r="HO13" s="15">
        <v>6</v>
      </c>
      <c r="HP13" s="92">
        <v>914.89</v>
      </c>
      <c r="HQ13" s="244">
        <v>44909</v>
      </c>
      <c r="HR13" s="92">
        <v>914.89</v>
      </c>
      <c r="HS13" s="292" t="s">
        <v>699</v>
      </c>
      <c r="HT13" s="71">
        <v>49</v>
      </c>
      <c r="HU13" s="393">
        <f t="shared" si="27"/>
        <v>44829.61</v>
      </c>
      <c r="HX13" s="106"/>
      <c r="HY13" s="15">
        <v>6</v>
      </c>
      <c r="HZ13" s="69">
        <v>953.45</v>
      </c>
      <c r="IA13" s="252">
        <v>44910</v>
      </c>
      <c r="IB13" s="69">
        <v>953.45</v>
      </c>
      <c r="IC13" s="70" t="s">
        <v>718</v>
      </c>
      <c r="ID13" s="71">
        <v>49</v>
      </c>
      <c r="IE13" s="393">
        <f t="shared" si="6"/>
        <v>46719.05</v>
      </c>
      <c r="IH13" s="106"/>
      <c r="II13" s="15">
        <v>6</v>
      </c>
      <c r="IJ13" s="69">
        <v>895.4</v>
      </c>
      <c r="IK13" s="252">
        <v>44910</v>
      </c>
      <c r="IL13" s="69">
        <v>895.4</v>
      </c>
      <c r="IM13" s="70" t="s">
        <v>716</v>
      </c>
      <c r="IN13" s="71">
        <v>49</v>
      </c>
      <c r="IO13" s="393">
        <f t="shared" si="28"/>
        <v>43874.6</v>
      </c>
      <c r="IQ13" s="488"/>
      <c r="IR13" s="106"/>
      <c r="IS13" s="15">
        <v>6</v>
      </c>
      <c r="IT13" s="92">
        <v>913.5</v>
      </c>
      <c r="IU13" s="135">
        <v>44911</v>
      </c>
      <c r="IV13" s="92">
        <v>913.5</v>
      </c>
      <c r="IW13" s="363" t="s">
        <v>730</v>
      </c>
      <c r="IX13" s="71">
        <v>47</v>
      </c>
      <c r="IY13" s="243">
        <f t="shared" si="29"/>
        <v>42934.5</v>
      </c>
      <c r="IZ13" s="92"/>
      <c r="JA13" s="69"/>
      <c r="JB13" s="106"/>
      <c r="JC13" s="15">
        <v>6</v>
      </c>
      <c r="JD13" s="92">
        <v>934.4</v>
      </c>
      <c r="JE13" s="252">
        <v>44911</v>
      </c>
      <c r="JF13" s="92">
        <v>934.4</v>
      </c>
      <c r="JG13" s="70" t="s">
        <v>727</v>
      </c>
      <c r="JH13" s="71">
        <v>47</v>
      </c>
      <c r="JI13" s="393">
        <f t="shared" si="30"/>
        <v>43916.799999999996</v>
      </c>
      <c r="JJ13" s="69"/>
      <c r="JL13" s="106"/>
      <c r="JM13" s="15">
        <v>6</v>
      </c>
      <c r="JN13" s="92">
        <v>929.9</v>
      </c>
      <c r="JO13" s="244">
        <v>44912</v>
      </c>
      <c r="JP13" s="92">
        <v>929.9</v>
      </c>
      <c r="JQ13" s="70" t="s">
        <v>739</v>
      </c>
      <c r="JR13" s="71">
        <v>48</v>
      </c>
      <c r="JS13" s="393">
        <f t="shared" si="31"/>
        <v>44635.199999999997</v>
      </c>
      <c r="JV13" s="106"/>
      <c r="JW13" s="15">
        <v>6</v>
      </c>
      <c r="JX13" s="69">
        <v>916.3</v>
      </c>
      <c r="JY13" s="252">
        <v>44912</v>
      </c>
      <c r="JZ13" s="69">
        <v>916.3</v>
      </c>
      <c r="KA13" s="70" t="s">
        <v>746</v>
      </c>
      <c r="KB13" s="71">
        <v>48</v>
      </c>
      <c r="KC13" s="393">
        <f t="shared" si="32"/>
        <v>43982.399999999994</v>
      </c>
      <c r="KF13" s="106"/>
      <c r="KG13" s="15">
        <v>6</v>
      </c>
      <c r="KH13" s="69">
        <v>935.3</v>
      </c>
      <c r="KI13" s="252">
        <v>44915</v>
      </c>
      <c r="KJ13" s="69">
        <v>935.3</v>
      </c>
      <c r="KK13" s="70" t="s">
        <v>756</v>
      </c>
      <c r="KL13" s="71">
        <v>49</v>
      </c>
      <c r="KM13" s="393">
        <f t="shared" si="33"/>
        <v>45829.7</v>
      </c>
      <c r="KP13" s="106"/>
      <c r="KQ13" s="15">
        <v>6</v>
      </c>
      <c r="KR13" s="69">
        <v>933.49</v>
      </c>
      <c r="KS13" s="252">
        <v>44915</v>
      </c>
      <c r="KT13" s="69">
        <v>933.49</v>
      </c>
      <c r="KU13" s="695" t="s">
        <v>757</v>
      </c>
      <c r="KV13" s="696">
        <v>49</v>
      </c>
      <c r="KW13" s="393">
        <f t="shared" si="34"/>
        <v>45741.01</v>
      </c>
      <c r="KZ13" s="106"/>
      <c r="LA13" s="15">
        <v>6</v>
      </c>
      <c r="LB13" s="92">
        <v>913.5</v>
      </c>
      <c r="LC13" s="244">
        <v>44916</v>
      </c>
      <c r="LD13" s="92">
        <v>913.5</v>
      </c>
      <c r="LE13" s="95" t="s">
        <v>771</v>
      </c>
      <c r="LF13" s="71">
        <v>51</v>
      </c>
      <c r="LG13" s="393">
        <f t="shared" si="35"/>
        <v>46588.5</v>
      </c>
      <c r="LJ13" s="106"/>
      <c r="LK13" s="15">
        <v>6</v>
      </c>
      <c r="LL13" s="92">
        <v>947.1</v>
      </c>
      <c r="LM13" s="244">
        <v>44916</v>
      </c>
      <c r="LN13" s="92">
        <v>947.1</v>
      </c>
      <c r="LO13" s="95" t="s">
        <v>776</v>
      </c>
      <c r="LP13" s="71">
        <v>51</v>
      </c>
      <c r="LQ13" s="393">
        <f t="shared" si="36"/>
        <v>48302.1</v>
      </c>
      <c r="LT13" s="106"/>
      <c r="LU13" s="15">
        <v>6</v>
      </c>
      <c r="LV13" s="92">
        <v>887.2</v>
      </c>
      <c r="LW13" s="244">
        <v>44917</v>
      </c>
      <c r="LX13" s="92">
        <v>887.2</v>
      </c>
      <c r="LY13" s="95" t="s">
        <v>786</v>
      </c>
      <c r="LZ13" s="71">
        <v>53</v>
      </c>
      <c r="MA13" s="393">
        <f t="shared" si="37"/>
        <v>47021.600000000006</v>
      </c>
      <c r="MB13" s="393"/>
      <c r="MD13" s="106"/>
      <c r="ME13" s="15">
        <v>6</v>
      </c>
      <c r="MF13" s="296">
        <v>867.3</v>
      </c>
      <c r="MG13" s="244">
        <v>44916</v>
      </c>
      <c r="MH13" s="296">
        <v>867.3</v>
      </c>
      <c r="MI13" s="95" t="s">
        <v>780</v>
      </c>
      <c r="MJ13" s="71">
        <v>51</v>
      </c>
      <c r="MK13" s="71">
        <f t="shared" si="38"/>
        <v>44232.299999999996</v>
      </c>
      <c r="MN13" s="106"/>
      <c r="MO13" s="15">
        <v>6</v>
      </c>
      <c r="MP13" s="92">
        <v>903.55</v>
      </c>
      <c r="MQ13" s="244">
        <v>44917</v>
      </c>
      <c r="MR13" s="92">
        <v>903.55</v>
      </c>
      <c r="MS13" s="95" t="s">
        <v>789</v>
      </c>
      <c r="MT13" s="71">
        <v>53</v>
      </c>
      <c r="MU13" s="71">
        <f t="shared" si="39"/>
        <v>47888.149999999994</v>
      </c>
      <c r="MX13" s="106"/>
      <c r="MY13" s="15">
        <v>6</v>
      </c>
      <c r="MZ13" s="92">
        <v>915.3</v>
      </c>
      <c r="NA13" s="244">
        <v>44918</v>
      </c>
      <c r="NB13" s="92">
        <v>915.3</v>
      </c>
      <c r="NC13" s="95" t="s">
        <v>801</v>
      </c>
      <c r="ND13" s="71">
        <v>53</v>
      </c>
      <c r="NE13" s="71">
        <f t="shared" si="40"/>
        <v>48510.899999999994</v>
      </c>
      <c r="NH13" s="106"/>
      <c r="NI13" s="15">
        <v>6</v>
      </c>
      <c r="NJ13" s="92">
        <v>910.8</v>
      </c>
      <c r="NK13" s="244">
        <v>44918</v>
      </c>
      <c r="NL13" s="92">
        <v>910.8</v>
      </c>
      <c r="NM13" s="95" t="s">
        <v>809</v>
      </c>
      <c r="NN13" s="71">
        <v>53</v>
      </c>
      <c r="NO13" s="71">
        <f t="shared" si="41"/>
        <v>48272.399999999994</v>
      </c>
      <c r="NR13" s="106"/>
      <c r="NS13" s="15">
        <v>6</v>
      </c>
      <c r="NT13" s="92">
        <v>930.8</v>
      </c>
      <c r="NU13" s="244">
        <v>44918</v>
      </c>
      <c r="NV13" s="92">
        <v>930.8</v>
      </c>
      <c r="NW13" s="95" t="s">
        <v>819</v>
      </c>
      <c r="NX13" s="71">
        <v>53</v>
      </c>
      <c r="NY13" s="71">
        <f t="shared" si="42"/>
        <v>49332.399999999994</v>
      </c>
      <c r="OB13" s="106"/>
      <c r="OC13" s="15">
        <v>6</v>
      </c>
      <c r="OD13" s="92">
        <v>916.3</v>
      </c>
      <c r="OE13" s="244">
        <v>44919</v>
      </c>
      <c r="OF13" s="92">
        <v>916.3</v>
      </c>
      <c r="OG13" s="95" t="s">
        <v>825</v>
      </c>
      <c r="OH13" s="71">
        <v>53</v>
      </c>
      <c r="OI13" s="71">
        <f t="shared" si="43"/>
        <v>48563.899999999994</v>
      </c>
      <c r="OL13" s="106"/>
      <c r="OM13" s="15">
        <v>6</v>
      </c>
      <c r="ON13" s="92">
        <v>918.1</v>
      </c>
      <c r="OO13" s="244">
        <v>44919</v>
      </c>
      <c r="OP13" s="92">
        <v>918.1</v>
      </c>
      <c r="OQ13" s="95" t="s">
        <v>823</v>
      </c>
      <c r="OR13" s="71">
        <v>53</v>
      </c>
      <c r="OS13" s="71">
        <f t="shared" si="44"/>
        <v>48659.3</v>
      </c>
      <c r="OV13" s="106"/>
      <c r="OW13" s="15">
        <v>6</v>
      </c>
      <c r="OX13" s="92">
        <v>911.7</v>
      </c>
      <c r="OY13" s="244">
        <v>44921</v>
      </c>
      <c r="OZ13" s="92">
        <v>911.7</v>
      </c>
      <c r="PA13" s="95" t="s">
        <v>830</v>
      </c>
      <c r="PB13" s="71">
        <v>53</v>
      </c>
      <c r="PC13" s="71">
        <f t="shared" si="45"/>
        <v>48320.100000000006</v>
      </c>
      <c r="PF13" s="94"/>
      <c r="PG13" s="15">
        <v>6</v>
      </c>
      <c r="PH13" s="92">
        <v>879.1</v>
      </c>
      <c r="PI13" s="244">
        <v>44924</v>
      </c>
      <c r="PJ13" s="92">
        <v>879.1</v>
      </c>
      <c r="PK13" s="95" t="s">
        <v>806</v>
      </c>
      <c r="PL13" s="71">
        <v>53</v>
      </c>
      <c r="PM13" s="71">
        <f t="shared" si="46"/>
        <v>46592.3</v>
      </c>
      <c r="PN13" s="71"/>
      <c r="PQ13" s="106"/>
      <c r="PR13" s="15">
        <v>6</v>
      </c>
      <c r="PS13" s="92">
        <v>899.5</v>
      </c>
      <c r="PT13" s="244">
        <v>44924</v>
      </c>
      <c r="PU13" s="92">
        <v>899.5</v>
      </c>
      <c r="PV13" s="95" t="s">
        <v>847</v>
      </c>
      <c r="PW13" s="71">
        <v>53</v>
      </c>
      <c r="PX13" s="71">
        <f t="shared" si="47"/>
        <v>47673.5</v>
      </c>
      <c r="QA13" s="106"/>
      <c r="QB13" s="15">
        <v>6</v>
      </c>
      <c r="QC13" s="92">
        <v>931.22</v>
      </c>
      <c r="QD13" s="135">
        <v>44924</v>
      </c>
      <c r="QE13" s="92">
        <v>931.22</v>
      </c>
      <c r="QF13" s="95" t="s">
        <v>844</v>
      </c>
      <c r="QG13" s="71">
        <v>53</v>
      </c>
      <c r="QH13" s="71">
        <f t="shared" si="48"/>
        <v>49354.66</v>
      </c>
      <c r="QK13" s="106"/>
      <c r="QL13" s="15">
        <v>6</v>
      </c>
      <c r="QM13" s="92">
        <v>890.9</v>
      </c>
      <c r="QN13" s="244">
        <v>44926</v>
      </c>
      <c r="QO13" s="92">
        <v>890.9</v>
      </c>
      <c r="QP13" s="95" t="s">
        <v>859</v>
      </c>
      <c r="QQ13" s="71">
        <v>53</v>
      </c>
      <c r="QR13" s="71">
        <f t="shared" si="49"/>
        <v>47217.7</v>
      </c>
      <c r="QU13" s="106"/>
      <c r="QV13" s="15">
        <v>6</v>
      </c>
      <c r="QW13" s="92">
        <v>919</v>
      </c>
      <c r="QX13" s="244">
        <v>44926</v>
      </c>
      <c r="QY13" s="92">
        <v>919</v>
      </c>
      <c r="QZ13" s="95" t="s">
        <v>860</v>
      </c>
      <c r="RA13" s="71">
        <v>53</v>
      </c>
      <c r="RB13" s="71">
        <f t="shared" si="50"/>
        <v>48707</v>
      </c>
      <c r="RE13" s="106"/>
      <c r="RF13" s="15">
        <v>6</v>
      </c>
      <c r="RG13" s="92">
        <v>863.6</v>
      </c>
      <c r="RH13" s="244">
        <v>44930</v>
      </c>
      <c r="RI13" s="92">
        <v>863.6</v>
      </c>
      <c r="RJ13" s="95" t="s">
        <v>889</v>
      </c>
      <c r="RK13" s="71">
        <v>47</v>
      </c>
      <c r="RL13" s="71">
        <f t="shared" si="51"/>
        <v>40589.200000000004</v>
      </c>
      <c r="RO13" s="94"/>
      <c r="RP13" s="15">
        <v>6</v>
      </c>
      <c r="RQ13" s="92">
        <v>889</v>
      </c>
      <c r="RR13" s="244">
        <v>44930</v>
      </c>
      <c r="RS13" s="92">
        <v>889</v>
      </c>
      <c r="RT13" s="95" t="s">
        <v>885</v>
      </c>
      <c r="RU13" s="71">
        <v>49</v>
      </c>
      <c r="RV13" s="71">
        <f t="shared" si="52"/>
        <v>43561</v>
      </c>
      <c r="RY13" s="106"/>
      <c r="RZ13" s="15">
        <v>6</v>
      </c>
      <c r="SA13" s="92">
        <v>966.15</v>
      </c>
      <c r="SB13" s="135">
        <v>44931</v>
      </c>
      <c r="SC13" s="92">
        <v>966.15</v>
      </c>
      <c r="SD13" s="95" t="s">
        <v>892</v>
      </c>
      <c r="SE13" s="71">
        <v>47</v>
      </c>
      <c r="SF13" s="71">
        <f t="shared" si="53"/>
        <v>45409.049999999996</v>
      </c>
      <c r="SI13" s="106"/>
      <c r="SJ13" s="15">
        <v>6</v>
      </c>
      <c r="SK13" s="92">
        <v>939.84</v>
      </c>
      <c r="SL13" s="244">
        <v>44932</v>
      </c>
      <c r="SM13" s="92">
        <v>939.84</v>
      </c>
      <c r="SN13" s="95" t="s">
        <v>904</v>
      </c>
      <c r="SO13" s="71">
        <v>47</v>
      </c>
      <c r="SP13" s="71">
        <f t="shared" si="54"/>
        <v>44172.480000000003</v>
      </c>
      <c r="SS13" s="106"/>
      <c r="ST13" s="15">
        <v>6</v>
      </c>
      <c r="SU13" s="92">
        <v>873.6</v>
      </c>
      <c r="SV13" s="244">
        <v>44933</v>
      </c>
      <c r="SW13" s="92">
        <v>873.6</v>
      </c>
      <c r="SX13" s="95" t="s">
        <v>909</v>
      </c>
      <c r="SY13" s="71">
        <v>45</v>
      </c>
      <c r="SZ13" s="71">
        <f t="shared" si="55"/>
        <v>39312</v>
      </c>
      <c r="TC13" s="106"/>
      <c r="TD13" s="15">
        <v>6</v>
      </c>
      <c r="TE13" s="92">
        <v>907.2</v>
      </c>
      <c r="TF13" s="244">
        <v>44933</v>
      </c>
      <c r="TG13" s="92">
        <v>907.2</v>
      </c>
      <c r="TH13" s="95" t="s">
        <v>913</v>
      </c>
      <c r="TI13" s="71">
        <v>45</v>
      </c>
      <c r="TJ13" s="71">
        <f t="shared" si="56"/>
        <v>40824</v>
      </c>
      <c r="TM13" s="106"/>
      <c r="TN13" s="15">
        <v>6</v>
      </c>
      <c r="TO13" s="92"/>
      <c r="TP13" s="295"/>
      <c r="TQ13" s="168"/>
      <c r="TR13" s="291"/>
      <c r="TS13" s="290"/>
      <c r="TT13" s="290"/>
      <c r="TW13" s="106"/>
      <c r="TX13" s="15">
        <v>6</v>
      </c>
      <c r="TY13" s="92"/>
      <c r="TZ13" s="79"/>
      <c r="UA13" s="92"/>
      <c r="UB13" s="95"/>
      <c r="UC13" s="71"/>
      <c r="UF13" s="106"/>
      <c r="UG13" s="15">
        <v>6</v>
      </c>
      <c r="UH13" s="92"/>
      <c r="UI13" s="79"/>
      <c r="UJ13" s="92"/>
      <c r="UK13" s="95"/>
      <c r="UL13" s="71"/>
      <c r="UO13" s="106"/>
      <c r="UP13" s="15">
        <v>6</v>
      </c>
      <c r="UQ13" s="92"/>
      <c r="UR13" s="79"/>
      <c r="US13" s="92"/>
      <c r="UT13" s="95"/>
      <c r="UU13" s="71"/>
      <c r="UX13" s="106"/>
      <c r="UY13" s="15">
        <v>6</v>
      </c>
      <c r="UZ13" s="92"/>
      <c r="VA13" s="79"/>
      <c r="VB13" s="92"/>
      <c r="VC13" s="95"/>
      <c r="VD13" s="71"/>
      <c r="VG13" s="106"/>
      <c r="VH13" s="15">
        <v>6</v>
      </c>
      <c r="VI13" s="92"/>
      <c r="VJ13" s="79"/>
      <c r="VK13" s="92"/>
      <c r="VL13" s="95"/>
      <c r="VM13" s="71"/>
      <c r="VP13" s="106"/>
      <c r="VQ13" s="15">
        <v>6</v>
      </c>
      <c r="VR13" s="92"/>
      <c r="VS13" s="79"/>
      <c r="VT13" s="92"/>
      <c r="VU13" s="95"/>
      <c r="VV13" s="71"/>
      <c r="VY13" s="106"/>
      <c r="VZ13" s="15">
        <v>6</v>
      </c>
      <c r="WA13" s="92"/>
      <c r="WB13" s="79"/>
      <c r="WC13" s="92"/>
      <c r="WD13" s="95"/>
      <c r="WE13" s="71"/>
      <c r="WH13" s="106"/>
      <c r="WI13" s="15">
        <v>6</v>
      </c>
      <c r="WJ13" s="92"/>
      <c r="WK13" s="79"/>
      <c r="WL13" s="92"/>
      <c r="WM13" s="95"/>
      <c r="WN13" s="71"/>
      <c r="WQ13" s="106"/>
      <c r="WR13" s="15">
        <v>6</v>
      </c>
      <c r="WS13" s="92"/>
      <c r="WT13" s="79"/>
      <c r="WU13" s="92"/>
      <c r="WV13" s="95"/>
      <c r="WW13" s="71"/>
      <c r="WZ13" s="106"/>
      <c r="XA13" s="15">
        <v>6</v>
      </c>
      <c r="XB13" s="92"/>
      <c r="XC13" s="79"/>
      <c r="XD13" s="92"/>
      <c r="XE13" s="95"/>
      <c r="XF13" s="71"/>
      <c r="XI13" s="106"/>
      <c r="XJ13" s="15">
        <v>6</v>
      </c>
      <c r="XK13" s="92"/>
      <c r="XL13" s="79"/>
      <c r="XM13" s="92"/>
      <c r="XN13" s="95"/>
      <c r="XO13" s="71"/>
      <c r="XR13" s="106"/>
      <c r="XS13" s="15">
        <v>6</v>
      </c>
      <c r="XT13" s="92"/>
      <c r="XU13" s="79"/>
      <c r="XV13" s="92"/>
      <c r="XW13" s="95"/>
      <c r="XX13" s="71"/>
      <c r="YA13" s="106"/>
      <c r="YB13" s="15">
        <v>6</v>
      </c>
      <c r="YC13" s="92"/>
      <c r="YD13" s="79"/>
      <c r="YE13" s="92"/>
      <c r="YF13" s="95"/>
      <c r="YG13" s="71"/>
      <c r="YJ13" s="106"/>
      <c r="YK13" s="15">
        <v>6</v>
      </c>
      <c r="YL13" s="92"/>
      <c r="YM13" s="79"/>
      <c r="YN13" s="92"/>
      <c r="YO13" s="95"/>
      <c r="YP13" s="71"/>
      <c r="YS13" s="106"/>
      <c r="YT13" s="15">
        <v>6</v>
      </c>
      <c r="YU13" s="92"/>
      <c r="YV13" s="79"/>
      <c r="YW13" s="92"/>
      <c r="YX13" s="95"/>
      <c r="YY13" s="71"/>
      <c r="ZB13" s="106"/>
      <c r="ZC13" s="15">
        <v>6</v>
      </c>
      <c r="ZD13" s="92"/>
      <c r="ZE13" s="79"/>
      <c r="ZF13" s="92"/>
      <c r="ZG13" s="95"/>
      <c r="ZH13" s="71"/>
      <c r="ZK13" s="106"/>
      <c r="ZL13" s="15">
        <v>6</v>
      </c>
      <c r="ZM13" s="92"/>
      <c r="ZN13" s="79"/>
      <c r="ZO13" s="92"/>
      <c r="ZP13" s="95"/>
      <c r="ZQ13" s="71"/>
      <c r="ZT13" s="106"/>
      <c r="ZU13" s="15">
        <v>6</v>
      </c>
      <c r="ZV13" s="92"/>
      <c r="ZW13" s="79"/>
      <c r="ZX13" s="92"/>
      <c r="ZY13" s="95"/>
      <c r="ZZ13" s="71"/>
      <c r="AAC13" s="106"/>
      <c r="AAD13" s="15">
        <v>6</v>
      </c>
      <c r="AAE13" s="92"/>
      <c r="AAF13" s="79"/>
      <c r="AAG13" s="92"/>
      <c r="AAH13" s="95"/>
      <c r="AAI13" s="71"/>
      <c r="AAL13" s="106"/>
      <c r="AAM13" s="15">
        <v>6</v>
      </c>
      <c r="AAN13" s="92"/>
      <c r="AAO13" s="79"/>
      <c r="AAP13" s="92"/>
      <c r="AAQ13" s="95"/>
      <c r="AAR13" s="71"/>
      <c r="AAU13" s="106"/>
      <c r="AAV13" s="15">
        <v>6</v>
      </c>
      <c r="AAW13" s="92"/>
      <c r="AAX13" s="79"/>
      <c r="AAY13" s="92"/>
      <c r="AAZ13" s="95"/>
      <c r="ABA13" s="71"/>
      <c r="ABD13" s="106"/>
      <c r="ABE13" s="15">
        <v>6</v>
      </c>
      <c r="ABF13" s="92"/>
      <c r="ABG13" s="79"/>
      <c r="ABH13" s="92"/>
      <c r="ABI13" s="95"/>
      <c r="ABJ13" s="71"/>
      <c r="ABM13" s="106"/>
      <c r="ABN13" s="15">
        <v>6</v>
      </c>
      <c r="ABO13" s="92"/>
      <c r="ABP13" s="79"/>
      <c r="ABQ13" s="92"/>
      <c r="ABR13" s="95"/>
      <c r="ABS13" s="71"/>
      <c r="ABV13" s="106"/>
      <c r="ABW13" s="15">
        <v>6</v>
      </c>
      <c r="ABX13" s="92"/>
      <c r="ABY13" s="79"/>
      <c r="ABZ13" s="92"/>
      <c r="ACA13" s="95"/>
      <c r="ACB13" s="71"/>
      <c r="ACE13" s="106"/>
      <c r="ACF13" s="15">
        <v>6</v>
      </c>
      <c r="ACG13" s="92"/>
      <c r="ACH13" s="79"/>
      <c r="ACI13" s="92"/>
      <c r="ACJ13" s="95"/>
      <c r="ACK13" s="71"/>
      <c r="ACN13" s="106"/>
      <c r="ACO13" s="15">
        <v>6</v>
      </c>
      <c r="ACP13" s="92"/>
      <c r="ACQ13" s="79"/>
      <c r="ACR13" s="92"/>
      <c r="ACS13" s="95"/>
      <c r="ACT13" s="71"/>
      <c r="ACW13" s="106"/>
      <c r="ACX13" s="15">
        <v>6</v>
      </c>
      <c r="ACY13" s="92"/>
      <c r="ACZ13" s="79"/>
      <c r="ADA13" s="92"/>
      <c r="ADB13" s="95"/>
      <c r="ADC13" s="71"/>
      <c r="ADF13" s="106"/>
      <c r="ADG13" s="15">
        <v>6</v>
      </c>
      <c r="ADH13" s="92"/>
      <c r="ADI13" s="79"/>
      <c r="ADJ13" s="92"/>
      <c r="ADK13" s="95"/>
      <c r="ADL13" s="71"/>
      <c r="ADO13" s="106"/>
      <c r="ADP13" s="15">
        <v>6</v>
      </c>
      <c r="ADQ13" s="92"/>
      <c r="ADR13" s="79"/>
      <c r="ADS13" s="92"/>
      <c r="ADT13" s="95"/>
      <c r="ADU13" s="71"/>
      <c r="ADX13" s="106"/>
      <c r="ADY13" s="15">
        <v>6</v>
      </c>
      <c r="ADZ13" s="92"/>
      <c r="AEA13" s="79"/>
      <c r="AEB13" s="92"/>
      <c r="AEC13" s="95"/>
      <c r="AED13" s="71"/>
      <c r="AEG13" s="106"/>
      <c r="AEH13" s="15">
        <v>6</v>
      </c>
      <c r="AEI13" s="92"/>
      <c r="AEJ13" s="79"/>
      <c r="AEK13" s="92"/>
      <c r="AEL13" s="95"/>
      <c r="AEM13" s="71"/>
      <c r="AEP13" s="106"/>
      <c r="AEQ13" s="15">
        <v>6</v>
      </c>
      <c r="AER13" s="92"/>
      <c r="AES13" s="79"/>
      <c r="AET13" s="92"/>
      <c r="AEU13" s="95"/>
      <c r="AEV13" s="71"/>
      <c r="AEY13" s="106"/>
      <c r="AEZ13" s="15">
        <v>6</v>
      </c>
      <c r="AFA13" s="92"/>
      <c r="AFB13" s="79"/>
      <c r="AFC13" s="92"/>
      <c r="AFD13" s="95"/>
      <c r="AFE13" s="71"/>
    </row>
    <row r="14" spans="1:837" ht="16.5" thickBot="1" x14ac:dyDescent="0.3">
      <c r="A14" s="137">
        <v>11</v>
      </c>
      <c r="B14" s="75" t="str">
        <f t="shared" ref="B14:I14" si="62">DG5</f>
        <v>SEABOARD FOODS</v>
      </c>
      <c r="C14" s="75" t="str">
        <f t="shared" si="62"/>
        <v>Seaboard</v>
      </c>
      <c r="D14" s="102" t="str">
        <f t="shared" si="62"/>
        <v>PED. 90757463</v>
      </c>
      <c r="E14" s="135">
        <f t="shared" si="62"/>
        <v>44903</v>
      </c>
      <c r="F14" s="86">
        <f t="shared" si="62"/>
        <v>18888.5</v>
      </c>
      <c r="G14" s="73">
        <f t="shared" si="62"/>
        <v>21</v>
      </c>
      <c r="H14" s="48">
        <f t="shared" si="62"/>
        <v>18798.7</v>
      </c>
      <c r="I14" s="105">
        <f t="shared" si="62"/>
        <v>89.799999999999272</v>
      </c>
      <c r="L14" s="106"/>
      <c r="M14" s="15">
        <v>7</v>
      </c>
      <c r="N14" s="69">
        <v>907.2</v>
      </c>
      <c r="O14" s="252">
        <v>44895</v>
      </c>
      <c r="P14" s="69">
        <v>907.2</v>
      </c>
      <c r="Q14" s="70" t="s">
        <v>582</v>
      </c>
      <c r="R14" s="71">
        <v>51</v>
      </c>
      <c r="S14" s="393">
        <f t="shared" si="8"/>
        <v>46267.200000000004</v>
      </c>
      <c r="V14" s="106"/>
      <c r="W14" s="15">
        <v>7</v>
      </c>
      <c r="X14" s="69">
        <v>893.6</v>
      </c>
      <c r="Y14" s="252">
        <v>44895</v>
      </c>
      <c r="Z14" s="69">
        <v>893.6</v>
      </c>
      <c r="AA14" s="695" t="s">
        <v>580</v>
      </c>
      <c r="AB14" s="696">
        <v>51</v>
      </c>
      <c r="AC14" s="393">
        <f t="shared" si="9"/>
        <v>45573.599999999999</v>
      </c>
      <c r="AF14" s="106"/>
      <c r="AG14" s="15">
        <v>7</v>
      </c>
      <c r="AH14" s="92">
        <v>973.4</v>
      </c>
      <c r="AI14" s="244">
        <v>44896</v>
      </c>
      <c r="AJ14" s="92">
        <v>973.4</v>
      </c>
      <c r="AK14" s="95" t="s">
        <v>587</v>
      </c>
      <c r="AL14" s="71">
        <v>51</v>
      </c>
      <c r="AM14" s="393">
        <f t="shared" si="10"/>
        <v>49643.4</v>
      </c>
      <c r="AP14" s="106"/>
      <c r="AQ14" s="15">
        <v>7</v>
      </c>
      <c r="AR14" s="92">
        <v>875.4</v>
      </c>
      <c r="AS14" s="244">
        <v>44897</v>
      </c>
      <c r="AT14" s="92">
        <v>875.4</v>
      </c>
      <c r="AU14" s="95" t="s">
        <v>595</v>
      </c>
      <c r="AV14" s="71">
        <v>51</v>
      </c>
      <c r="AW14" s="393">
        <f t="shared" si="11"/>
        <v>44645.4</v>
      </c>
      <c r="AZ14" s="106"/>
      <c r="BA14" s="15">
        <v>7</v>
      </c>
      <c r="BB14" s="92">
        <v>884.5</v>
      </c>
      <c r="BC14" s="244">
        <v>44897</v>
      </c>
      <c r="BD14" s="92">
        <v>884.5</v>
      </c>
      <c r="BE14" s="95" t="s">
        <v>598</v>
      </c>
      <c r="BF14" s="71">
        <v>51</v>
      </c>
      <c r="BG14" s="393">
        <f t="shared" si="12"/>
        <v>45109.5</v>
      </c>
      <c r="BJ14" s="667"/>
      <c r="BK14" s="15">
        <v>7</v>
      </c>
      <c r="BL14" s="92">
        <v>870.44</v>
      </c>
      <c r="BM14" s="135">
        <v>44898</v>
      </c>
      <c r="BN14" s="92">
        <v>870.44</v>
      </c>
      <c r="BO14" s="95" t="s">
        <v>602</v>
      </c>
      <c r="BP14" s="288">
        <v>51</v>
      </c>
      <c r="BQ14" s="481">
        <f t="shared" si="13"/>
        <v>44392.44</v>
      </c>
      <c r="BR14" s="393"/>
      <c r="BT14" s="106"/>
      <c r="BU14" s="15"/>
      <c r="BV14" s="92"/>
      <c r="BW14" s="289"/>
      <c r="BX14" s="92"/>
      <c r="BY14" s="577"/>
      <c r="BZ14" s="290"/>
      <c r="CA14" s="393">
        <f t="shared" si="5"/>
        <v>0</v>
      </c>
      <c r="CD14" s="213"/>
      <c r="CE14" s="15">
        <v>7</v>
      </c>
      <c r="CF14" s="92">
        <v>893.6</v>
      </c>
      <c r="CG14" s="289">
        <v>44901</v>
      </c>
      <c r="CH14" s="92">
        <v>893.6</v>
      </c>
      <c r="CI14" s="291" t="s">
        <v>619</v>
      </c>
      <c r="CJ14" s="290">
        <v>51</v>
      </c>
      <c r="CK14" s="393">
        <f t="shared" si="14"/>
        <v>45573.599999999999</v>
      </c>
      <c r="CN14" s="94"/>
      <c r="CO14" s="15">
        <v>7</v>
      </c>
      <c r="CP14" s="92">
        <v>867.3</v>
      </c>
      <c r="CQ14" s="289">
        <v>44901</v>
      </c>
      <c r="CR14" s="92">
        <v>867.3</v>
      </c>
      <c r="CS14" s="291" t="s">
        <v>626</v>
      </c>
      <c r="CT14" s="290">
        <v>51</v>
      </c>
      <c r="CU14" s="398">
        <f t="shared" si="58"/>
        <v>44232.299999999996</v>
      </c>
      <c r="CX14" s="106"/>
      <c r="CY14" s="15">
        <v>7</v>
      </c>
      <c r="CZ14" s="92">
        <v>934.85</v>
      </c>
      <c r="DA14" s="244">
        <v>44902</v>
      </c>
      <c r="DB14" s="92">
        <v>934.85</v>
      </c>
      <c r="DC14" s="95" t="s">
        <v>633</v>
      </c>
      <c r="DD14" s="71">
        <v>51</v>
      </c>
      <c r="DE14" s="393">
        <f t="shared" si="15"/>
        <v>47677.35</v>
      </c>
      <c r="DH14" s="106"/>
      <c r="DI14" s="15">
        <v>7</v>
      </c>
      <c r="DJ14" s="694">
        <v>902.6</v>
      </c>
      <c r="DK14" s="720">
        <v>44903</v>
      </c>
      <c r="DL14" s="694">
        <v>902.6</v>
      </c>
      <c r="DM14" s="721" t="s">
        <v>648</v>
      </c>
      <c r="DN14" s="722">
        <v>51</v>
      </c>
      <c r="DO14" s="398">
        <f t="shared" si="16"/>
        <v>46032.6</v>
      </c>
      <c r="DR14" s="106"/>
      <c r="DS14" s="15">
        <v>7</v>
      </c>
      <c r="DT14" s="92">
        <v>947.55</v>
      </c>
      <c r="DU14" s="289">
        <v>44903</v>
      </c>
      <c r="DV14" s="92">
        <v>947.55</v>
      </c>
      <c r="DW14" s="291" t="s">
        <v>644</v>
      </c>
      <c r="DX14" s="290">
        <v>51</v>
      </c>
      <c r="DY14" s="393">
        <f t="shared" si="17"/>
        <v>48325.049999999996</v>
      </c>
      <c r="EB14" s="106"/>
      <c r="EC14" s="15">
        <v>7</v>
      </c>
      <c r="ED14" s="69">
        <v>938</v>
      </c>
      <c r="EE14" s="252">
        <v>44904</v>
      </c>
      <c r="EF14" s="69">
        <v>938</v>
      </c>
      <c r="EG14" s="70" t="s">
        <v>661</v>
      </c>
      <c r="EH14" s="71">
        <v>51</v>
      </c>
      <c r="EI14" s="393">
        <f t="shared" si="18"/>
        <v>47838</v>
      </c>
      <c r="EL14" s="106"/>
      <c r="EM14" s="15">
        <v>7</v>
      </c>
      <c r="EN14" s="69">
        <v>920.8</v>
      </c>
      <c r="EO14" s="252">
        <v>44904</v>
      </c>
      <c r="EP14" s="69">
        <v>920.8</v>
      </c>
      <c r="EQ14" s="70" t="s">
        <v>659</v>
      </c>
      <c r="ER14" s="71">
        <v>51</v>
      </c>
      <c r="ES14" s="393">
        <f t="shared" si="19"/>
        <v>46960.799999999996</v>
      </c>
      <c r="EV14" s="331"/>
      <c r="EW14" s="15">
        <v>7</v>
      </c>
      <c r="EX14" s="92">
        <v>863.6</v>
      </c>
      <c r="EY14" s="244">
        <v>44907</v>
      </c>
      <c r="EZ14" s="92">
        <v>863.6</v>
      </c>
      <c r="FA14" s="70" t="s">
        <v>682</v>
      </c>
      <c r="FB14" s="71">
        <v>51</v>
      </c>
      <c r="FC14" s="393">
        <f t="shared" si="20"/>
        <v>44043.6</v>
      </c>
      <c r="FF14" s="331"/>
      <c r="FG14" s="15">
        <v>7</v>
      </c>
      <c r="FH14" s="92">
        <v>913.5</v>
      </c>
      <c r="FI14" s="244">
        <v>44905</v>
      </c>
      <c r="FJ14" s="92">
        <v>913.5</v>
      </c>
      <c r="FK14" s="70" t="s">
        <v>678</v>
      </c>
      <c r="FL14" s="71">
        <v>51</v>
      </c>
      <c r="FM14" s="243">
        <f t="shared" si="21"/>
        <v>46588.5</v>
      </c>
      <c r="FP14" s="106"/>
      <c r="FQ14" s="15">
        <v>7</v>
      </c>
      <c r="FR14" s="92">
        <v>941.65</v>
      </c>
      <c r="FS14" s="244">
        <v>44905</v>
      </c>
      <c r="FT14" s="92">
        <v>941.65</v>
      </c>
      <c r="FU14" s="70" t="s">
        <v>674</v>
      </c>
      <c r="FV14" s="71">
        <v>51</v>
      </c>
      <c r="FW14" s="393">
        <f t="shared" si="22"/>
        <v>48024.15</v>
      </c>
      <c r="FZ14" s="106"/>
      <c r="GA14" s="15">
        <v>7</v>
      </c>
      <c r="GB14" s="69">
        <v>925.3</v>
      </c>
      <c r="GC14" s="252">
        <v>44908</v>
      </c>
      <c r="GD14" s="69">
        <v>925.3</v>
      </c>
      <c r="GE14" s="70" t="s">
        <v>689</v>
      </c>
      <c r="GF14" s="71">
        <v>49</v>
      </c>
      <c r="GG14" s="243">
        <f t="shared" si="23"/>
        <v>45339.7</v>
      </c>
      <c r="GJ14" s="106"/>
      <c r="GK14" s="15">
        <v>7</v>
      </c>
      <c r="GL14" s="352">
        <v>901.7</v>
      </c>
      <c r="GM14" s="244">
        <v>44908</v>
      </c>
      <c r="GN14" s="352">
        <v>901.7</v>
      </c>
      <c r="GO14" s="95" t="s">
        <v>696</v>
      </c>
      <c r="GP14" s="71">
        <v>49</v>
      </c>
      <c r="GQ14" s="393">
        <f t="shared" si="24"/>
        <v>44183.3</v>
      </c>
      <c r="GT14" s="106"/>
      <c r="GU14" s="15">
        <v>7</v>
      </c>
      <c r="GV14" s="92">
        <v>909</v>
      </c>
      <c r="GW14" s="244">
        <v>44908</v>
      </c>
      <c r="GX14" s="92">
        <v>909</v>
      </c>
      <c r="GY14" s="95" t="s">
        <v>694</v>
      </c>
      <c r="GZ14" s="71">
        <v>49</v>
      </c>
      <c r="HA14" s="393">
        <f t="shared" si="25"/>
        <v>44541</v>
      </c>
      <c r="HD14" s="106"/>
      <c r="HE14" s="15">
        <v>7</v>
      </c>
      <c r="HF14" s="92">
        <v>910.8</v>
      </c>
      <c r="HG14" s="244">
        <v>44909</v>
      </c>
      <c r="HH14" s="92">
        <v>910.8</v>
      </c>
      <c r="HI14" s="95" t="s">
        <v>705</v>
      </c>
      <c r="HJ14" s="71">
        <v>49</v>
      </c>
      <c r="HK14" s="393">
        <f t="shared" si="26"/>
        <v>44629.2</v>
      </c>
      <c r="HN14" s="106"/>
      <c r="HO14" s="15">
        <v>7</v>
      </c>
      <c r="HP14" s="92">
        <v>891.3</v>
      </c>
      <c r="HQ14" s="244">
        <v>44909</v>
      </c>
      <c r="HR14" s="92">
        <v>891.3</v>
      </c>
      <c r="HS14" s="292" t="s">
        <v>699</v>
      </c>
      <c r="HT14" s="71">
        <v>49</v>
      </c>
      <c r="HU14" s="393">
        <f t="shared" si="27"/>
        <v>43673.7</v>
      </c>
      <c r="HX14" s="106"/>
      <c r="HY14" s="15">
        <v>7</v>
      </c>
      <c r="HZ14" s="69">
        <v>941.65</v>
      </c>
      <c r="IA14" s="252">
        <v>44910</v>
      </c>
      <c r="IB14" s="69">
        <v>941.65</v>
      </c>
      <c r="IC14" s="70" t="s">
        <v>718</v>
      </c>
      <c r="ID14" s="71">
        <v>49</v>
      </c>
      <c r="IE14" s="393">
        <f t="shared" si="6"/>
        <v>46140.85</v>
      </c>
      <c r="IH14" s="106"/>
      <c r="II14" s="15">
        <v>7</v>
      </c>
      <c r="IJ14" s="69">
        <v>881.8</v>
      </c>
      <c r="IK14" s="252">
        <v>44910</v>
      </c>
      <c r="IL14" s="69">
        <v>881.8</v>
      </c>
      <c r="IM14" s="70" t="s">
        <v>715</v>
      </c>
      <c r="IN14" s="71">
        <v>49</v>
      </c>
      <c r="IO14" s="393">
        <f t="shared" si="28"/>
        <v>43208.2</v>
      </c>
      <c r="IQ14" s="485"/>
      <c r="IR14" s="106"/>
      <c r="IS14" s="15">
        <v>7</v>
      </c>
      <c r="IT14" s="92">
        <v>911.7</v>
      </c>
      <c r="IU14" s="135">
        <v>44911</v>
      </c>
      <c r="IV14" s="92">
        <v>911.7</v>
      </c>
      <c r="IW14" s="363" t="s">
        <v>730</v>
      </c>
      <c r="IX14" s="71">
        <v>47</v>
      </c>
      <c r="IY14" s="243">
        <f t="shared" si="29"/>
        <v>42849.9</v>
      </c>
      <c r="IZ14" s="92"/>
      <c r="JA14" s="69"/>
      <c r="JB14" s="106"/>
      <c r="JC14" s="15">
        <v>7</v>
      </c>
      <c r="JD14" s="92">
        <v>914.4</v>
      </c>
      <c r="JE14" s="252">
        <v>44911</v>
      </c>
      <c r="JF14" s="92">
        <v>914.4</v>
      </c>
      <c r="JG14" s="70" t="s">
        <v>727</v>
      </c>
      <c r="JH14" s="71">
        <v>47</v>
      </c>
      <c r="JI14" s="393">
        <f t="shared" si="30"/>
        <v>42976.799999999996</v>
      </c>
      <c r="JJ14" s="69"/>
      <c r="JL14" s="106"/>
      <c r="JM14" s="15">
        <v>7</v>
      </c>
      <c r="JN14" s="92">
        <v>900.8</v>
      </c>
      <c r="JO14" s="244">
        <v>44912</v>
      </c>
      <c r="JP14" s="92">
        <v>900.8</v>
      </c>
      <c r="JQ14" s="70" t="s">
        <v>739</v>
      </c>
      <c r="JR14" s="71">
        <v>48</v>
      </c>
      <c r="JS14" s="393">
        <f t="shared" si="31"/>
        <v>43238.399999999994</v>
      </c>
      <c r="JV14" s="106"/>
      <c r="JW14" s="15">
        <v>7</v>
      </c>
      <c r="JX14" s="69">
        <v>911.7</v>
      </c>
      <c r="JY14" s="252">
        <v>44912</v>
      </c>
      <c r="JZ14" s="69">
        <v>911.7</v>
      </c>
      <c r="KA14" s="70" t="s">
        <v>746</v>
      </c>
      <c r="KB14" s="71">
        <v>48</v>
      </c>
      <c r="KC14" s="393">
        <f t="shared" si="32"/>
        <v>43761.600000000006</v>
      </c>
      <c r="KF14" s="106"/>
      <c r="KG14" s="15">
        <v>7</v>
      </c>
      <c r="KH14" s="69">
        <v>914.9</v>
      </c>
      <c r="KI14" s="252">
        <v>44915</v>
      </c>
      <c r="KJ14" s="69">
        <v>914.9</v>
      </c>
      <c r="KK14" s="70" t="s">
        <v>756</v>
      </c>
      <c r="KL14" s="71">
        <v>49</v>
      </c>
      <c r="KM14" s="393">
        <f t="shared" si="33"/>
        <v>44830.1</v>
      </c>
      <c r="KP14" s="106"/>
      <c r="KQ14" s="15">
        <v>7</v>
      </c>
      <c r="KR14" s="69">
        <v>938.02</v>
      </c>
      <c r="KS14" s="252">
        <v>44915</v>
      </c>
      <c r="KT14" s="69">
        <v>938.02</v>
      </c>
      <c r="KU14" s="695" t="s">
        <v>757</v>
      </c>
      <c r="KV14" s="696">
        <v>49</v>
      </c>
      <c r="KW14" s="393">
        <f t="shared" si="34"/>
        <v>45962.979999999996</v>
      </c>
      <c r="KZ14" s="106"/>
      <c r="LA14" s="15">
        <v>7</v>
      </c>
      <c r="LB14" s="92">
        <v>909</v>
      </c>
      <c r="LC14" s="244">
        <v>44916</v>
      </c>
      <c r="LD14" s="92">
        <v>909</v>
      </c>
      <c r="LE14" s="95" t="s">
        <v>771</v>
      </c>
      <c r="LF14" s="71">
        <v>51</v>
      </c>
      <c r="LG14" s="393">
        <f t="shared" si="35"/>
        <v>46359</v>
      </c>
      <c r="LJ14" s="106"/>
      <c r="LK14" s="15">
        <v>7</v>
      </c>
      <c r="LL14" s="92">
        <v>947.1</v>
      </c>
      <c r="LM14" s="244">
        <v>44916</v>
      </c>
      <c r="LN14" s="92">
        <v>947.1</v>
      </c>
      <c r="LO14" s="95" t="s">
        <v>776</v>
      </c>
      <c r="LP14" s="71">
        <v>51</v>
      </c>
      <c r="LQ14" s="393">
        <f t="shared" si="36"/>
        <v>48302.1</v>
      </c>
      <c r="LT14" s="106"/>
      <c r="LU14" s="15">
        <v>7</v>
      </c>
      <c r="LV14" s="92">
        <v>862.7</v>
      </c>
      <c r="LW14" s="244">
        <v>44917</v>
      </c>
      <c r="LX14" s="92">
        <v>862.7</v>
      </c>
      <c r="LY14" s="95" t="s">
        <v>786</v>
      </c>
      <c r="LZ14" s="71">
        <v>53</v>
      </c>
      <c r="MA14" s="393">
        <f t="shared" si="37"/>
        <v>45723.100000000006</v>
      </c>
      <c r="MB14" s="393"/>
      <c r="MD14" s="106"/>
      <c r="ME14" s="15">
        <v>7</v>
      </c>
      <c r="MF14" s="296">
        <v>889.9</v>
      </c>
      <c r="MG14" s="244">
        <v>44916</v>
      </c>
      <c r="MH14" s="296">
        <v>889.9</v>
      </c>
      <c r="MI14" s="95" t="s">
        <v>780</v>
      </c>
      <c r="MJ14" s="71">
        <v>51</v>
      </c>
      <c r="MK14" s="71">
        <f t="shared" si="38"/>
        <v>45384.9</v>
      </c>
      <c r="MN14" s="106"/>
      <c r="MO14" s="15">
        <v>7</v>
      </c>
      <c r="MP14" s="92">
        <v>933.49</v>
      </c>
      <c r="MQ14" s="244">
        <v>44917</v>
      </c>
      <c r="MR14" s="92">
        <v>933.49</v>
      </c>
      <c r="MS14" s="95" t="s">
        <v>789</v>
      </c>
      <c r="MT14" s="71">
        <v>53</v>
      </c>
      <c r="MU14" s="71">
        <f t="shared" si="39"/>
        <v>49474.97</v>
      </c>
      <c r="MX14" s="106"/>
      <c r="MY14" s="15">
        <v>7</v>
      </c>
      <c r="MZ14" s="92">
        <v>886.3</v>
      </c>
      <c r="NA14" s="244">
        <v>44918</v>
      </c>
      <c r="NB14" s="92">
        <v>886.3</v>
      </c>
      <c r="NC14" s="95" t="s">
        <v>801</v>
      </c>
      <c r="ND14" s="71">
        <v>53</v>
      </c>
      <c r="NE14" s="71">
        <f t="shared" si="40"/>
        <v>46973.899999999994</v>
      </c>
      <c r="NH14" s="106"/>
      <c r="NI14" s="15">
        <v>7</v>
      </c>
      <c r="NJ14" s="92">
        <v>925.3</v>
      </c>
      <c r="NK14" s="244">
        <v>44918</v>
      </c>
      <c r="NL14" s="92">
        <v>925.3</v>
      </c>
      <c r="NM14" s="95" t="s">
        <v>809</v>
      </c>
      <c r="NN14" s="71">
        <v>53</v>
      </c>
      <c r="NO14" s="71">
        <f t="shared" si="41"/>
        <v>49040.899999999994</v>
      </c>
      <c r="NR14" s="106"/>
      <c r="NS14" s="15">
        <v>7</v>
      </c>
      <c r="NT14" s="92">
        <v>920.8</v>
      </c>
      <c r="NU14" s="244">
        <v>44918</v>
      </c>
      <c r="NV14" s="92">
        <v>920.8</v>
      </c>
      <c r="NW14" s="95" t="s">
        <v>819</v>
      </c>
      <c r="NX14" s="71">
        <v>53</v>
      </c>
      <c r="NY14" s="71">
        <f t="shared" si="42"/>
        <v>48802.399999999994</v>
      </c>
      <c r="OB14" s="106"/>
      <c r="OC14" s="15">
        <v>7</v>
      </c>
      <c r="OD14" s="92">
        <v>901.7</v>
      </c>
      <c r="OE14" s="244">
        <v>44919</v>
      </c>
      <c r="OF14" s="92">
        <v>901.7</v>
      </c>
      <c r="OG14" s="95" t="s">
        <v>825</v>
      </c>
      <c r="OH14" s="71">
        <v>53</v>
      </c>
      <c r="OI14" s="71">
        <f t="shared" si="43"/>
        <v>47790.100000000006</v>
      </c>
      <c r="OL14" s="106"/>
      <c r="OM14" s="15">
        <v>7</v>
      </c>
      <c r="ON14" s="92">
        <v>936.2</v>
      </c>
      <c r="OO14" s="244">
        <v>44919</v>
      </c>
      <c r="OP14" s="92">
        <v>936.2</v>
      </c>
      <c r="OQ14" s="95" t="s">
        <v>823</v>
      </c>
      <c r="OR14" s="71">
        <v>53</v>
      </c>
      <c r="OS14" s="71">
        <f t="shared" si="44"/>
        <v>49618.600000000006</v>
      </c>
      <c r="OV14" s="106"/>
      <c r="OW14" s="15">
        <v>7</v>
      </c>
      <c r="OX14" s="92">
        <v>927.1</v>
      </c>
      <c r="OY14" s="244">
        <v>44921</v>
      </c>
      <c r="OZ14" s="92">
        <v>927.1</v>
      </c>
      <c r="PA14" s="95" t="s">
        <v>830</v>
      </c>
      <c r="PB14" s="71">
        <v>53</v>
      </c>
      <c r="PC14" s="71">
        <f t="shared" si="45"/>
        <v>49136.3</v>
      </c>
      <c r="PF14" s="94"/>
      <c r="PG14" s="15">
        <v>7</v>
      </c>
      <c r="PH14" s="92">
        <v>874.5</v>
      </c>
      <c r="PI14" s="244">
        <v>44924</v>
      </c>
      <c r="PJ14" s="92">
        <v>874.5</v>
      </c>
      <c r="PK14" s="95" t="s">
        <v>806</v>
      </c>
      <c r="PL14" s="71">
        <v>53</v>
      </c>
      <c r="PM14" s="71">
        <f t="shared" si="46"/>
        <v>46348.5</v>
      </c>
      <c r="PN14" s="71"/>
      <c r="PQ14" s="106"/>
      <c r="PR14" s="15">
        <v>7</v>
      </c>
      <c r="PS14" s="92">
        <v>941.2</v>
      </c>
      <c r="PT14" s="244">
        <v>44924</v>
      </c>
      <c r="PU14" s="92">
        <v>941.2</v>
      </c>
      <c r="PV14" s="95" t="s">
        <v>847</v>
      </c>
      <c r="PW14" s="71">
        <v>53</v>
      </c>
      <c r="PX14" s="71">
        <f t="shared" si="47"/>
        <v>49883.600000000006</v>
      </c>
      <c r="QA14" s="106"/>
      <c r="QB14" s="15">
        <v>7</v>
      </c>
      <c r="QC14" s="92">
        <v>927.59</v>
      </c>
      <c r="QD14" s="135">
        <v>44924</v>
      </c>
      <c r="QE14" s="92">
        <v>927.59</v>
      </c>
      <c r="QF14" s="95" t="s">
        <v>844</v>
      </c>
      <c r="QG14" s="71">
        <v>53</v>
      </c>
      <c r="QH14" s="71">
        <f t="shared" si="48"/>
        <v>49162.270000000004</v>
      </c>
      <c r="QK14" s="106"/>
      <c r="QL14" s="15">
        <v>7</v>
      </c>
      <c r="QM14" s="92">
        <v>870.9</v>
      </c>
      <c r="QN14" s="244">
        <v>44926</v>
      </c>
      <c r="QO14" s="92">
        <v>870.9</v>
      </c>
      <c r="QP14" s="95" t="s">
        <v>859</v>
      </c>
      <c r="QQ14" s="71">
        <v>53</v>
      </c>
      <c r="QR14" s="71">
        <f t="shared" si="49"/>
        <v>46157.7</v>
      </c>
      <c r="QU14" s="106"/>
      <c r="QV14" s="15">
        <v>7</v>
      </c>
      <c r="QW14" s="92">
        <v>907.2</v>
      </c>
      <c r="QX14" s="244">
        <v>44926</v>
      </c>
      <c r="QY14" s="92">
        <v>907.2</v>
      </c>
      <c r="QZ14" s="95" t="s">
        <v>860</v>
      </c>
      <c r="RA14" s="71">
        <v>53</v>
      </c>
      <c r="RB14" s="71">
        <f t="shared" si="50"/>
        <v>48081.600000000006</v>
      </c>
      <c r="RE14" s="106"/>
      <c r="RF14" s="15">
        <v>7</v>
      </c>
      <c r="RG14" s="92">
        <v>908.1</v>
      </c>
      <c r="RH14" s="244">
        <v>44930</v>
      </c>
      <c r="RI14" s="92">
        <v>908.1</v>
      </c>
      <c r="RJ14" s="95" t="s">
        <v>889</v>
      </c>
      <c r="RK14" s="71">
        <v>47</v>
      </c>
      <c r="RL14" s="71">
        <f t="shared" si="51"/>
        <v>42680.700000000004</v>
      </c>
      <c r="RO14" s="106"/>
      <c r="RP14" s="15">
        <v>7</v>
      </c>
      <c r="RQ14" s="92">
        <v>869.1</v>
      </c>
      <c r="RR14" s="244">
        <v>44930</v>
      </c>
      <c r="RS14" s="92">
        <v>869.1</v>
      </c>
      <c r="RT14" s="95" t="s">
        <v>885</v>
      </c>
      <c r="RU14" s="71">
        <v>49</v>
      </c>
      <c r="RV14" s="71">
        <f t="shared" si="52"/>
        <v>42585.9</v>
      </c>
      <c r="RY14" s="106"/>
      <c r="RZ14" s="15">
        <v>7</v>
      </c>
      <c r="SA14" s="92">
        <v>940.75</v>
      </c>
      <c r="SB14" s="135">
        <v>44931</v>
      </c>
      <c r="SC14" s="92">
        <v>940.75</v>
      </c>
      <c r="SD14" s="95" t="s">
        <v>892</v>
      </c>
      <c r="SE14" s="71">
        <v>47</v>
      </c>
      <c r="SF14" s="71">
        <f t="shared" si="53"/>
        <v>44215.25</v>
      </c>
      <c r="SI14" s="106"/>
      <c r="SJ14" s="15">
        <v>7</v>
      </c>
      <c r="SK14" s="92">
        <v>924.42</v>
      </c>
      <c r="SL14" s="244">
        <v>44932</v>
      </c>
      <c r="SM14" s="92">
        <v>924.42</v>
      </c>
      <c r="SN14" s="95" t="s">
        <v>904</v>
      </c>
      <c r="SO14" s="71">
        <v>47</v>
      </c>
      <c r="SP14" s="71">
        <f t="shared" si="54"/>
        <v>43447.74</v>
      </c>
      <c r="SS14" s="106"/>
      <c r="ST14" s="15">
        <v>7</v>
      </c>
      <c r="SU14" s="92">
        <v>905.4</v>
      </c>
      <c r="SV14" s="244">
        <v>44933</v>
      </c>
      <c r="SW14" s="92">
        <v>905.4</v>
      </c>
      <c r="SX14" s="95" t="s">
        <v>909</v>
      </c>
      <c r="SY14" s="71">
        <v>45</v>
      </c>
      <c r="SZ14" s="71">
        <f t="shared" si="55"/>
        <v>40743</v>
      </c>
      <c r="TC14" s="106"/>
      <c r="TD14" s="15">
        <v>7</v>
      </c>
      <c r="TE14" s="92">
        <v>902.6</v>
      </c>
      <c r="TF14" s="244">
        <v>44933</v>
      </c>
      <c r="TG14" s="92">
        <v>902.6</v>
      </c>
      <c r="TH14" s="95" t="s">
        <v>913</v>
      </c>
      <c r="TI14" s="71">
        <v>45</v>
      </c>
      <c r="TJ14" s="71">
        <f t="shared" si="56"/>
        <v>40617</v>
      </c>
      <c r="TM14" s="106"/>
      <c r="TN14" s="15">
        <v>7</v>
      </c>
      <c r="TO14" s="92"/>
      <c r="TP14" s="295"/>
      <c r="TQ14" s="168"/>
      <c r="TR14" s="291"/>
      <c r="TS14" s="290"/>
      <c r="TT14" s="290"/>
      <c r="TW14" s="106"/>
      <c r="TX14" s="15">
        <v>7</v>
      </c>
      <c r="TY14" s="92"/>
      <c r="TZ14" s="79"/>
      <c r="UA14" s="92"/>
      <c r="UB14" s="95"/>
      <c r="UC14" s="71"/>
      <c r="UF14" s="106"/>
      <c r="UG14" s="15">
        <v>7</v>
      </c>
      <c r="UH14" s="92"/>
      <c r="UI14" s="79"/>
      <c r="UJ14" s="92"/>
      <c r="UK14" s="95"/>
      <c r="UL14" s="71"/>
      <c r="UO14" s="106"/>
      <c r="UP14" s="15">
        <v>7</v>
      </c>
      <c r="UQ14" s="92"/>
      <c r="UR14" s="79"/>
      <c r="US14" s="92"/>
      <c r="UT14" s="95"/>
      <c r="UU14" s="71"/>
      <c r="UX14" s="106"/>
      <c r="UY14" s="15">
        <v>7</v>
      </c>
      <c r="UZ14" s="92"/>
      <c r="VA14" s="79"/>
      <c r="VB14" s="92"/>
      <c r="VC14" s="95"/>
      <c r="VD14" s="71"/>
      <c r="VG14" s="106"/>
      <c r="VH14" s="15">
        <v>7</v>
      </c>
      <c r="VI14" s="92"/>
      <c r="VJ14" s="79"/>
      <c r="VK14" s="92"/>
      <c r="VL14" s="95"/>
      <c r="VM14" s="71"/>
      <c r="VP14" s="106"/>
      <c r="VQ14" s="15">
        <v>7</v>
      </c>
      <c r="VR14" s="92"/>
      <c r="VS14" s="79"/>
      <c r="VT14" s="92"/>
      <c r="VU14" s="95"/>
      <c r="VV14" s="71"/>
      <c r="VY14" s="106"/>
      <c r="VZ14" s="15">
        <v>7</v>
      </c>
      <c r="WA14" s="92"/>
      <c r="WB14" s="79"/>
      <c r="WC14" s="92"/>
      <c r="WD14" s="95"/>
      <c r="WE14" s="71"/>
      <c r="WH14" s="106"/>
      <c r="WI14" s="15">
        <v>7</v>
      </c>
      <c r="WJ14" s="92"/>
      <c r="WK14" s="79"/>
      <c r="WL14" s="92"/>
      <c r="WM14" s="95"/>
      <c r="WN14" s="71"/>
      <c r="WQ14" s="106"/>
      <c r="WR14" s="15">
        <v>7</v>
      </c>
      <c r="WS14" s="92"/>
      <c r="WT14" s="79"/>
      <c r="WU14" s="92"/>
      <c r="WV14" s="95"/>
      <c r="WW14" s="71"/>
      <c r="WZ14" s="106"/>
      <c r="XA14" s="15">
        <v>7</v>
      </c>
      <c r="XB14" s="92"/>
      <c r="XC14" s="79"/>
      <c r="XD14" s="92"/>
      <c r="XE14" s="95"/>
      <c r="XF14" s="71"/>
      <c r="XI14" s="106"/>
      <c r="XJ14" s="15">
        <v>7</v>
      </c>
      <c r="XK14" s="92"/>
      <c r="XL14" s="79"/>
      <c r="XM14" s="92"/>
      <c r="XN14" s="95"/>
      <c r="XO14" s="71"/>
      <c r="XR14" s="106"/>
      <c r="XS14" s="15">
        <v>7</v>
      </c>
      <c r="XT14" s="92"/>
      <c r="XU14" s="79"/>
      <c r="XV14" s="92"/>
      <c r="XW14" s="95"/>
      <c r="XX14" s="71"/>
      <c r="YA14" s="106"/>
      <c r="YB14" s="15">
        <v>7</v>
      </c>
      <c r="YC14" s="92"/>
      <c r="YD14" s="79"/>
      <c r="YE14" s="92"/>
      <c r="YF14" s="95"/>
      <c r="YG14" s="71"/>
      <c r="YJ14" s="106"/>
      <c r="YK14" s="15">
        <v>7</v>
      </c>
      <c r="YL14" s="92"/>
      <c r="YM14" s="79"/>
      <c r="YN14" s="92"/>
      <c r="YO14" s="95"/>
      <c r="YP14" s="71"/>
      <c r="YS14" s="106"/>
      <c r="YT14" s="15">
        <v>7</v>
      </c>
      <c r="YU14" s="92"/>
      <c r="YV14" s="79"/>
      <c r="YW14" s="92"/>
      <c r="YX14" s="95"/>
      <c r="YY14" s="71"/>
      <c r="ZB14" s="106"/>
      <c r="ZC14" s="15">
        <v>7</v>
      </c>
      <c r="ZD14" s="92"/>
      <c r="ZE14" s="79"/>
      <c r="ZF14" s="92"/>
      <c r="ZG14" s="95"/>
      <c r="ZH14" s="71"/>
      <c r="ZK14" s="106"/>
      <c r="ZL14" s="15">
        <v>7</v>
      </c>
      <c r="ZM14" s="92"/>
      <c r="ZN14" s="79"/>
      <c r="ZO14" s="92"/>
      <c r="ZP14" s="95"/>
      <c r="ZQ14" s="71"/>
      <c r="ZT14" s="106"/>
      <c r="ZU14" s="15">
        <v>7</v>
      </c>
      <c r="ZV14" s="92"/>
      <c r="ZW14" s="79"/>
      <c r="ZX14" s="92"/>
      <c r="ZY14" s="95"/>
      <c r="ZZ14" s="71"/>
      <c r="AAC14" s="106"/>
      <c r="AAD14" s="15">
        <v>7</v>
      </c>
      <c r="AAE14" s="92"/>
      <c r="AAF14" s="79"/>
      <c r="AAG14" s="92"/>
      <c r="AAH14" s="95"/>
      <c r="AAI14" s="71"/>
      <c r="AAL14" s="106"/>
      <c r="AAM14" s="15">
        <v>7</v>
      </c>
      <c r="AAN14" s="92"/>
      <c r="AAO14" s="79"/>
      <c r="AAP14" s="92"/>
      <c r="AAQ14" s="95"/>
      <c r="AAR14" s="71"/>
      <c r="AAU14" s="106"/>
      <c r="AAV14" s="15">
        <v>7</v>
      </c>
      <c r="AAW14" s="92"/>
      <c r="AAX14" s="79"/>
      <c r="AAY14" s="92"/>
      <c r="AAZ14" s="95"/>
      <c r="ABA14" s="71"/>
      <c r="ABD14" s="106"/>
      <c r="ABE14" s="15">
        <v>7</v>
      </c>
      <c r="ABF14" s="92"/>
      <c r="ABG14" s="79"/>
      <c r="ABH14" s="92"/>
      <c r="ABI14" s="95"/>
      <c r="ABJ14" s="71"/>
      <c r="ABM14" s="106"/>
      <c r="ABN14" s="15">
        <v>7</v>
      </c>
      <c r="ABO14" s="92"/>
      <c r="ABP14" s="79"/>
      <c r="ABQ14" s="92"/>
      <c r="ABR14" s="95"/>
      <c r="ABS14" s="71"/>
      <c r="ABV14" s="106"/>
      <c r="ABW14" s="15">
        <v>7</v>
      </c>
      <c r="ABX14" s="92"/>
      <c r="ABY14" s="79"/>
      <c r="ABZ14" s="92"/>
      <c r="ACA14" s="95"/>
      <c r="ACB14" s="71"/>
      <c r="ACE14" s="106"/>
      <c r="ACF14" s="15">
        <v>7</v>
      </c>
      <c r="ACG14" s="92"/>
      <c r="ACH14" s="79"/>
      <c r="ACI14" s="92"/>
      <c r="ACJ14" s="95"/>
      <c r="ACK14" s="71"/>
      <c r="ACN14" s="106"/>
      <c r="ACO14" s="15">
        <v>7</v>
      </c>
      <c r="ACP14" s="92"/>
      <c r="ACQ14" s="79"/>
      <c r="ACR14" s="92"/>
      <c r="ACS14" s="95"/>
      <c r="ACT14" s="71"/>
      <c r="ACW14" s="106"/>
      <c r="ACX14" s="15">
        <v>7</v>
      </c>
      <c r="ACY14" s="92"/>
      <c r="ACZ14" s="79"/>
      <c r="ADA14" s="92"/>
      <c r="ADB14" s="95"/>
      <c r="ADC14" s="71"/>
      <c r="ADF14" s="106"/>
      <c r="ADG14" s="15">
        <v>7</v>
      </c>
      <c r="ADH14" s="92"/>
      <c r="ADI14" s="79"/>
      <c r="ADJ14" s="92"/>
      <c r="ADK14" s="95"/>
      <c r="ADL14" s="71"/>
      <c r="ADO14" s="106"/>
      <c r="ADP14" s="15">
        <v>7</v>
      </c>
      <c r="ADQ14" s="92"/>
      <c r="ADR14" s="79"/>
      <c r="ADS14" s="92"/>
      <c r="ADT14" s="95"/>
      <c r="ADU14" s="71"/>
      <c r="ADX14" s="106"/>
      <c r="ADY14" s="15">
        <v>7</v>
      </c>
      <c r="ADZ14" s="92"/>
      <c r="AEA14" s="79"/>
      <c r="AEB14" s="92"/>
      <c r="AEC14" s="95"/>
      <c r="AED14" s="71"/>
      <c r="AEG14" s="106"/>
      <c r="AEH14" s="15">
        <v>7</v>
      </c>
      <c r="AEI14" s="92"/>
      <c r="AEJ14" s="79"/>
      <c r="AEK14" s="92"/>
      <c r="AEL14" s="95"/>
      <c r="AEM14" s="71"/>
      <c r="AEP14" s="106"/>
      <c r="AEQ14" s="15">
        <v>7</v>
      </c>
      <c r="AER14" s="92"/>
      <c r="AES14" s="79"/>
      <c r="AET14" s="92"/>
      <c r="AEU14" s="95"/>
      <c r="AEV14" s="71"/>
      <c r="AEY14" s="106"/>
      <c r="AEZ14" s="15">
        <v>7</v>
      </c>
      <c r="AFA14" s="92"/>
      <c r="AFB14" s="79"/>
      <c r="AFC14" s="92"/>
      <c r="AFD14" s="95"/>
      <c r="AFE14" s="71"/>
    </row>
    <row r="15" spans="1:837" x14ac:dyDescent="0.25">
      <c r="A15" s="137">
        <v>12</v>
      </c>
      <c r="B15" s="75" t="str">
        <f t="shared" ref="B15:I15" si="63">DQ5</f>
        <v>TYSON FRESH MEAT</v>
      </c>
      <c r="C15" s="75" t="str">
        <f t="shared" si="63"/>
        <v xml:space="preserve">I B P </v>
      </c>
      <c r="D15" s="102" t="str">
        <f t="shared" si="63"/>
        <v>PED. 90722929</v>
      </c>
      <c r="E15" s="135">
        <f t="shared" si="63"/>
        <v>44903</v>
      </c>
      <c r="F15" s="86">
        <f t="shared" si="63"/>
        <v>18366.080000000002</v>
      </c>
      <c r="G15" s="73">
        <f t="shared" si="63"/>
        <v>20</v>
      </c>
      <c r="H15" s="48">
        <f t="shared" si="63"/>
        <v>18341.810000000001</v>
      </c>
      <c r="I15" s="105">
        <f t="shared" si="63"/>
        <v>24.270000000000437</v>
      </c>
      <c r="L15" s="106"/>
      <c r="M15" s="15">
        <v>8</v>
      </c>
      <c r="N15" s="69">
        <v>880</v>
      </c>
      <c r="O15" s="252">
        <v>44895</v>
      </c>
      <c r="P15" s="69">
        <v>880</v>
      </c>
      <c r="Q15" s="70" t="s">
        <v>582</v>
      </c>
      <c r="R15" s="71">
        <v>51</v>
      </c>
      <c r="S15" s="393">
        <f t="shared" si="8"/>
        <v>44880</v>
      </c>
      <c r="V15" s="106"/>
      <c r="W15" s="15">
        <v>8</v>
      </c>
      <c r="X15" s="69">
        <v>920.8</v>
      </c>
      <c r="Y15" s="252">
        <v>44895</v>
      </c>
      <c r="Z15" s="69">
        <v>920.8</v>
      </c>
      <c r="AA15" s="695" t="s">
        <v>580</v>
      </c>
      <c r="AB15" s="696">
        <v>51</v>
      </c>
      <c r="AC15" s="393">
        <f t="shared" si="9"/>
        <v>46960.799999999996</v>
      </c>
      <c r="AF15" s="106"/>
      <c r="AG15" s="15">
        <v>8</v>
      </c>
      <c r="AH15" s="92">
        <v>960.25</v>
      </c>
      <c r="AI15" s="244">
        <v>44896</v>
      </c>
      <c r="AJ15" s="92">
        <v>960.25</v>
      </c>
      <c r="AK15" s="95" t="s">
        <v>587</v>
      </c>
      <c r="AL15" s="71">
        <v>51</v>
      </c>
      <c r="AM15" s="393">
        <f t="shared" si="10"/>
        <v>48972.75</v>
      </c>
      <c r="AP15" s="106"/>
      <c r="AQ15" s="15">
        <v>8</v>
      </c>
      <c r="AR15" s="92">
        <v>903.6</v>
      </c>
      <c r="AS15" s="244">
        <v>44897</v>
      </c>
      <c r="AT15" s="92">
        <v>903.6</v>
      </c>
      <c r="AU15" s="95" t="s">
        <v>595</v>
      </c>
      <c r="AV15" s="71">
        <v>51</v>
      </c>
      <c r="AW15" s="393">
        <f t="shared" si="11"/>
        <v>46083.6</v>
      </c>
      <c r="AZ15" s="106"/>
      <c r="BA15" s="15">
        <v>8</v>
      </c>
      <c r="BB15" s="92">
        <v>901.7</v>
      </c>
      <c r="BC15" s="244">
        <v>44897</v>
      </c>
      <c r="BD15" s="92">
        <v>901.7</v>
      </c>
      <c r="BE15" s="95" t="s">
        <v>598</v>
      </c>
      <c r="BF15" s="71">
        <v>51</v>
      </c>
      <c r="BG15" s="393">
        <f t="shared" si="12"/>
        <v>45986.700000000004</v>
      </c>
      <c r="BJ15" s="667"/>
      <c r="BK15" s="15">
        <v>8</v>
      </c>
      <c r="BL15" s="92">
        <v>880.87</v>
      </c>
      <c r="BM15" s="135">
        <v>44898</v>
      </c>
      <c r="BN15" s="92">
        <v>880.87</v>
      </c>
      <c r="BO15" s="95" t="s">
        <v>602</v>
      </c>
      <c r="BP15" s="288">
        <v>51</v>
      </c>
      <c r="BQ15" s="481">
        <f t="shared" si="13"/>
        <v>44924.37</v>
      </c>
      <c r="BR15" s="393"/>
      <c r="BT15" s="106"/>
      <c r="BU15" s="15"/>
      <c r="BV15" s="92"/>
      <c r="BW15" s="289"/>
      <c r="BX15" s="92"/>
      <c r="BY15" s="577"/>
      <c r="BZ15" s="290"/>
      <c r="CA15" s="393">
        <f t="shared" si="5"/>
        <v>0</v>
      </c>
      <c r="CD15" s="213"/>
      <c r="CE15" s="15">
        <v>8</v>
      </c>
      <c r="CF15" s="92">
        <v>919.9</v>
      </c>
      <c r="CG15" s="289">
        <v>44901</v>
      </c>
      <c r="CH15" s="92">
        <v>919.9</v>
      </c>
      <c r="CI15" s="291" t="s">
        <v>619</v>
      </c>
      <c r="CJ15" s="290">
        <v>51</v>
      </c>
      <c r="CK15" s="393">
        <f t="shared" si="14"/>
        <v>46914.9</v>
      </c>
      <c r="CN15" s="94"/>
      <c r="CO15" s="15">
        <v>8</v>
      </c>
      <c r="CP15" s="92">
        <v>935.3</v>
      </c>
      <c r="CQ15" s="289">
        <v>44901</v>
      </c>
      <c r="CR15" s="92">
        <v>935.3</v>
      </c>
      <c r="CS15" s="291" t="s">
        <v>626</v>
      </c>
      <c r="CT15" s="290">
        <v>51</v>
      </c>
      <c r="CU15" s="398">
        <f t="shared" si="58"/>
        <v>47700.299999999996</v>
      </c>
      <c r="CX15" s="106"/>
      <c r="CY15" s="15">
        <v>8</v>
      </c>
      <c r="CZ15" s="92">
        <v>947.1</v>
      </c>
      <c r="DA15" s="244">
        <v>44902</v>
      </c>
      <c r="DB15" s="92">
        <v>947.1</v>
      </c>
      <c r="DC15" s="95" t="s">
        <v>633</v>
      </c>
      <c r="DD15" s="71">
        <v>51</v>
      </c>
      <c r="DE15" s="393">
        <f t="shared" si="15"/>
        <v>48302.1</v>
      </c>
      <c r="DH15" s="106"/>
      <c r="DI15" s="15">
        <v>8</v>
      </c>
      <c r="DJ15" s="694">
        <v>919.9</v>
      </c>
      <c r="DK15" s="720">
        <v>44903</v>
      </c>
      <c r="DL15" s="694">
        <v>919.9</v>
      </c>
      <c r="DM15" s="721" t="s">
        <v>648</v>
      </c>
      <c r="DN15" s="722">
        <v>51</v>
      </c>
      <c r="DO15" s="398">
        <f t="shared" si="16"/>
        <v>46914.9</v>
      </c>
      <c r="DR15" s="106"/>
      <c r="DS15" s="15">
        <v>8</v>
      </c>
      <c r="DT15" s="92">
        <v>924.87</v>
      </c>
      <c r="DU15" s="289">
        <v>44903</v>
      </c>
      <c r="DV15" s="92">
        <v>924.87</v>
      </c>
      <c r="DW15" s="291" t="s">
        <v>644</v>
      </c>
      <c r="DX15" s="290">
        <v>51</v>
      </c>
      <c r="DY15" s="393">
        <f t="shared" si="17"/>
        <v>47168.37</v>
      </c>
      <c r="EB15" s="106"/>
      <c r="EC15" s="15">
        <v>8</v>
      </c>
      <c r="ED15" s="69">
        <v>880</v>
      </c>
      <c r="EE15" s="252">
        <v>44904</v>
      </c>
      <c r="EF15" s="69">
        <v>880</v>
      </c>
      <c r="EG15" s="70" t="s">
        <v>661</v>
      </c>
      <c r="EH15" s="71">
        <v>51</v>
      </c>
      <c r="EI15" s="393">
        <f t="shared" si="18"/>
        <v>44880</v>
      </c>
      <c r="EL15" s="106"/>
      <c r="EM15" s="15">
        <v>8</v>
      </c>
      <c r="EN15" s="69">
        <v>927.6</v>
      </c>
      <c r="EO15" s="252">
        <v>44904</v>
      </c>
      <c r="EP15" s="69">
        <v>927.6</v>
      </c>
      <c r="EQ15" s="70" t="s">
        <v>659</v>
      </c>
      <c r="ER15" s="71">
        <v>51</v>
      </c>
      <c r="ES15" s="393">
        <f t="shared" si="19"/>
        <v>47307.6</v>
      </c>
      <c r="EV15" s="331"/>
      <c r="EW15" s="15">
        <v>8</v>
      </c>
      <c r="EX15" s="92">
        <v>889.9</v>
      </c>
      <c r="EY15" s="244">
        <v>44907</v>
      </c>
      <c r="EZ15" s="92">
        <v>889.9</v>
      </c>
      <c r="FA15" s="70" t="s">
        <v>682</v>
      </c>
      <c r="FB15" s="71">
        <v>51</v>
      </c>
      <c r="FC15" s="393">
        <f t="shared" si="20"/>
        <v>45384.9</v>
      </c>
      <c r="FF15" s="331"/>
      <c r="FG15" s="15">
        <v>8</v>
      </c>
      <c r="FH15" s="92">
        <v>899</v>
      </c>
      <c r="FI15" s="244">
        <v>44905</v>
      </c>
      <c r="FJ15" s="92">
        <v>899</v>
      </c>
      <c r="FK15" s="70" t="s">
        <v>678</v>
      </c>
      <c r="FL15" s="71">
        <v>51</v>
      </c>
      <c r="FM15" s="243">
        <f t="shared" si="21"/>
        <v>45849</v>
      </c>
      <c r="FP15" s="106"/>
      <c r="FQ15" s="15">
        <v>8</v>
      </c>
      <c r="FR15" s="92">
        <v>949.82</v>
      </c>
      <c r="FS15" s="244">
        <v>44905</v>
      </c>
      <c r="FT15" s="92">
        <v>949.82</v>
      </c>
      <c r="FU15" s="70" t="s">
        <v>674</v>
      </c>
      <c r="FV15" s="71">
        <v>51</v>
      </c>
      <c r="FW15" s="393">
        <f t="shared" si="22"/>
        <v>48440.82</v>
      </c>
      <c r="FZ15" s="106"/>
      <c r="GA15" s="15">
        <v>8</v>
      </c>
      <c r="GB15" s="69">
        <v>899.9</v>
      </c>
      <c r="GC15" s="252">
        <v>44908</v>
      </c>
      <c r="GD15" s="69">
        <v>899.9</v>
      </c>
      <c r="GE15" s="70" t="s">
        <v>689</v>
      </c>
      <c r="GF15" s="71">
        <v>49</v>
      </c>
      <c r="GG15" s="243">
        <f t="shared" si="23"/>
        <v>44095.1</v>
      </c>
      <c r="GJ15" s="106"/>
      <c r="GK15" s="15">
        <v>8</v>
      </c>
      <c r="GL15" s="352">
        <v>867.3</v>
      </c>
      <c r="GM15" s="244">
        <v>44908</v>
      </c>
      <c r="GN15" s="352">
        <v>867.3</v>
      </c>
      <c r="GO15" s="95" t="s">
        <v>696</v>
      </c>
      <c r="GP15" s="71">
        <v>49</v>
      </c>
      <c r="GQ15" s="393">
        <f t="shared" si="24"/>
        <v>42497.7</v>
      </c>
      <c r="GT15" s="106"/>
      <c r="GU15" s="15">
        <v>8</v>
      </c>
      <c r="GV15" s="92">
        <v>903.6</v>
      </c>
      <c r="GW15" s="244">
        <v>44908</v>
      </c>
      <c r="GX15" s="92">
        <v>903.6</v>
      </c>
      <c r="GY15" s="95" t="s">
        <v>694</v>
      </c>
      <c r="GZ15" s="71">
        <v>49</v>
      </c>
      <c r="HA15" s="393">
        <f t="shared" si="25"/>
        <v>44276.4</v>
      </c>
      <c r="HD15" s="106"/>
      <c r="HE15" s="15">
        <v>8</v>
      </c>
      <c r="HF15" s="92">
        <v>902.19</v>
      </c>
      <c r="HG15" s="244">
        <v>44909</v>
      </c>
      <c r="HH15" s="92">
        <v>902.19</v>
      </c>
      <c r="HI15" s="95" t="s">
        <v>705</v>
      </c>
      <c r="HJ15" s="71">
        <v>49</v>
      </c>
      <c r="HK15" s="393">
        <f t="shared" si="26"/>
        <v>44207.310000000005</v>
      </c>
      <c r="HN15" s="106"/>
      <c r="HO15" s="15">
        <v>8</v>
      </c>
      <c r="HP15" s="92">
        <v>879.51</v>
      </c>
      <c r="HQ15" s="244">
        <v>44909</v>
      </c>
      <c r="HR15" s="92">
        <v>879.51</v>
      </c>
      <c r="HS15" s="292" t="s">
        <v>699</v>
      </c>
      <c r="HT15" s="71">
        <v>49</v>
      </c>
      <c r="HU15" s="393">
        <f t="shared" si="27"/>
        <v>43095.99</v>
      </c>
      <c r="HX15" s="94"/>
      <c r="HY15" s="15">
        <v>8</v>
      </c>
      <c r="HZ15" s="69">
        <v>928.04</v>
      </c>
      <c r="IA15" s="252">
        <v>44910</v>
      </c>
      <c r="IB15" s="69">
        <v>928.04</v>
      </c>
      <c r="IC15" s="70" t="s">
        <v>718</v>
      </c>
      <c r="ID15" s="71">
        <v>49</v>
      </c>
      <c r="IE15" s="393">
        <f t="shared" si="6"/>
        <v>45473.96</v>
      </c>
      <c r="IH15" s="94"/>
      <c r="II15" s="15">
        <v>8</v>
      </c>
      <c r="IJ15" s="69">
        <v>899</v>
      </c>
      <c r="IK15" s="252">
        <v>44910</v>
      </c>
      <c r="IL15" s="69">
        <v>899</v>
      </c>
      <c r="IM15" s="70" t="s">
        <v>715</v>
      </c>
      <c r="IN15" s="71">
        <v>49</v>
      </c>
      <c r="IO15" s="393">
        <f t="shared" si="28"/>
        <v>44051</v>
      </c>
      <c r="IR15" s="106"/>
      <c r="IS15" s="15">
        <v>8</v>
      </c>
      <c r="IT15" s="92">
        <v>940.7</v>
      </c>
      <c r="IU15" s="135">
        <v>44911</v>
      </c>
      <c r="IV15" s="92">
        <v>940.7</v>
      </c>
      <c r="IW15" s="363" t="s">
        <v>730</v>
      </c>
      <c r="IX15" s="71">
        <v>47</v>
      </c>
      <c r="IY15" s="243">
        <f t="shared" si="29"/>
        <v>44212.9</v>
      </c>
      <c r="IZ15" s="92"/>
      <c r="JA15" s="69"/>
      <c r="JB15" s="106"/>
      <c r="JC15" s="15">
        <v>8</v>
      </c>
      <c r="JD15" s="92">
        <v>883.6</v>
      </c>
      <c r="JE15" s="252">
        <v>44911</v>
      </c>
      <c r="JF15" s="92">
        <v>883.6</v>
      </c>
      <c r="JG15" s="70" t="s">
        <v>727</v>
      </c>
      <c r="JH15" s="71">
        <v>47</v>
      </c>
      <c r="JI15" s="393">
        <f t="shared" si="30"/>
        <v>41529.200000000004</v>
      </c>
      <c r="JJ15" s="69"/>
      <c r="JL15" s="106"/>
      <c r="JM15" s="15">
        <v>8</v>
      </c>
      <c r="JN15" s="92">
        <v>874.5</v>
      </c>
      <c r="JO15" s="244">
        <v>44912</v>
      </c>
      <c r="JP15" s="92">
        <v>874.5</v>
      </c>
      <c r="JQ15" s="70" t="s">
        <v>739</v>
      </c>
      <c r="JR15" s="71">
        <v>48</v>
      </c>
      <c r="JS15" s="393">
        <f t="shared" si="31"/>
        <v>41976</v>
      </c>
      <c r="JV15" s="106"/>
      <c r="JW15" s="15">
        <v>8</v>
      </c>
      <c r="JX15" s="69">
        <v>919.9</v>
      </c>
      <c r="JY15" s="252">
        <v>44912</v>
      </c>
      <c r="JZ15" s="69">
        <v>919.9</v>
      </c>
      <c r="KA15" s="70" t="s">
        <v>746</v>
      </c>
      <c r="KB15" s="71">
        <v>48</v>
      </c>
      <c r="KC15" s="393">
        <f t="shared" si="32"/>
        <v>44155.199999999997</v>
      </c>
      <c r="KF15" s="106"/>
      <c r="KG15" s="15">
        <v>8</v>
      </c>
      <c r="KH15" s="69">
        <v>880.4</v>
      </c>
      <c r="KI15" s="252">
        <v>44915</v>
      </c>
      <c r="KJ15" s="69">
        <v>880.4</v>
      </c>
      <c r="KK15" s="70" t="s">
        <v>756</v>
      </c>
      <c r="KL15" s="71">
        <v>49</v>
      </c>
      <c r="KM15" s="393">
        <f t="shared" si="33"/>
        <v>43139.6</v>
      </c>
      <c r="KP15" s="106"/>
      <c r="KQ15" s="15">
        <v>8</v>
      </c>
      <c r="KR15" s="69">
        <v>935.76</v>
      </c>
      <c r="KS15" s="252">
        <v>44915</v>
      </c>
      <c r="KT15" s="69">
        <v>935.76</v>
      </c>
      <c r="KU15" s="695" t="s">
        <v>757</v>
      </c>
      <c r="KV15" s="696">
        <v>49</v>
      </c>
      <c r="KW15" s="393">
        <f t="shared" si="34"/>
        <v>45852.24</v>
      </c>
      <c r="KZ15" s="106"/>
      <c r="LA15" s="15">
        <v>8</v>
      </c>
      <c r="LB15" s="92">
        <v>913.5</v>
      </c>
      <c r="LC15" s="244">
        <v>44916</v>
      </c>
      <c r="LD15" s="92">
        <v>913.5</v>
      </c>
      <c r="LE15" s="95" t="s">
        <v>771</v>
      </c>
      <c r="LF15" s="71">
        <v>51</v>
      </c>
      <c r="LG15" s="393">
        <f t="shared" si="35"/>
        <v>46588.5</v>
      </c>
      <c r="LJ15" s="106"/>
      <c r="LK15" s="15">
        <v>8</v>
      </c>
      <c r="LL15" s="92">
        <v>937.57</v>
      </c>
      <c r="LM15" s="244">
        <v>44916</v>
      </c>
      <c r="LN15" s="92">
        <v>937.57</v>
      </c>
      <c r="LO15" s="95" t="s">
        <v>776</v>
      </c>
      <c r="LP15" s="71">
        <v>51</v>
      </c>
      <c r="LQ15" s="393">
        <f t="shared" si="36"/>
        <v>47816.07</v>
      </c>
      <c r="LT15" s="106"/>
      <c r="LU15" s="15">
        <v>8</v>
      </c>
      <c r="LV15" s="92">
        <v>901.3</v>
      </c>
      <c r="LW15" s="244">
        <v>44917</v>
      </c>
      <c r="LX15" s="92">
        <v>901.3</v>
      </c>
      <c r="LY15" s="95" t="s">
        <v>786</v>
      </c>
      <c r="LZ15" s="71">
        <v>53</v>
      </c>
      <c r="MA15" s="393">
        <f t="shared" si="37"/>
        <v>47768.899999999994</v>
      </c>
      <c r="MB15" s="393"/>
      <c r="MD15" s="106"/>
      <c r="ME15" s="15">
        <v>8</v>
      </c>
      <c r="MF15" s="296">
        <v>892.7</v>
      </c>
      <c r="MG15" s="244">
        <v>44916</v>
      </c>
      <c r="MH15" s="296">
        <v>892.7</v>
      </c>
      <c r="MI15" s="95" t="s">
        <v>778</v>
      </c>
      <c r="MJ15" s="71">
        <v>51</v>
      </c>
      <c r="MK15" s="71">
        <f t="shared" si="38"/>
        <v>45527.700000000004</v>
      </c>
      <c r="MN15" s="106"/>
      <c r="MO15" s="15">
        <v>8</v>
      </c>
      <c r="MP15" s="92">
        <v>925.79</v>
      </c>
      <c r="MQ15" s="244">
        <v>44917</v>
      </c>
      <c r="MR15" s="92">
        <v>925.79</v>
      </c>
      <c r="MS15" s="95" t="s">
        <v>789</v>
      </c>
      <c r="MT15" s="71">
        <v>53</v>
      </c>
      <c r="MU15" s="71">
        <f t="shared" si="39"/>
        <v>49066.869999999995</v>
      </c>
      <c r="MX15" s="106"/>
      <c r="MY15" s="15">
        <v>8</v>
      </c>
      <c r="MZ15" s="92">
        <v>875.4</v>
      </c>
      <c r="NA15" s="244">
        <v>44918</v>
      </c>
      <c r="NB15" s="92">
        <v>875.4</v>
      </c>
      <c r="NC15" s="95" t="s">
        <v>801</v>
      </c>
      <c r="ND15" s="71">
        <v>53</v>
      </c>
      <c r="NE15" s="71">
        <f t="shared" si="40"/>
        <v>46396.2</v>
      </c>
      <c r="NH15" s="106"/>
      <c r="NI15" s="15">
        <v>8</v>
      </c>
      <c r="NJ15" s="92">
        <v>906.3</v>
      </c>
      <c r="NK15" s="244">
        <v>44918</v>
      </c>
      <c r="NL15" s="92">
        <v>906.3</v>
      </c>
      <c r="NM15" s="95" t="s">
        <v>809</v>
      </c>
      <c r="NN15" s="71">
        <v>53</v>
      </c>
      <c r="NO15" s="71">
        <f t="shared" si="41"/>
        <v>48033.899999999994</v>
      </c>
      <c r="NR15" s="106"/>
      <c r="NS15" s="15">
        <v>8</v>
      </c>
      <c r="NT15" s="92">
        <v>914.4</v>
      </c>
      <c r="NU15" s="244">
        <v>44918</v>
      </c>
      <c r="NV15" s="92">
        <v>914.4</v>
      </c>
      <c r="NW15" s="95" t="s">
        <v>819</v>
      </c>
      <c r="NX15" s="71">
        <v>53</v>
      </c>
      <c r="NY15" s="71">
        <f t="shared" si="42"/>
        <v>48463.199999999997</v>
      </c>
      <c r="OB15" s="106"/>
      <c r="OC15" s="15">
        <v>8</v>
      </c>
      <c r="OD15" s="92">
        <v>880.9</v>
      </c>
      <c r="OE15" s="244">
        <v>44919</v>
      </c>
      <c r="OF15" s="92">
        <v>880.9</v>
      </c>
      <c r="OG15" s="95" t="s">
        <v>825</v>
      </c>
      <c r="OH15" s="71">
        <v>53</v>
      </c>
      <c r="OI15" s="71">
        <f t="shared" si="43"/>
        <v>46687.7</v>
      </c>
      <c r="OL15" s="106"/>
      <c r="OM15" s="15">
        <v>8</v>
      </c>
      <c r="ON15" s="92">
        <v>926.2</v>
      </c>
      <c r="OO15" s="244">
        <v>44919</v>
      </c>
      <c r="OP15" s="92">
        <v>926.2</v>
      </c>
      <c r="OQ15" s="95" t="s">
        <v>823</v>
      </c>
      <c r="OR15" s="71">
        <v>53</v>
      </c>
      <c r="OS15" s="71">
        <f t="shared" si="44"/>
        <v>49088.600000000006</v>
      </c>
      <c r="OV15" s="106"/>
      <c r="OW15" s="15">
        <v>8</v>
      </c>
      <c r="OX15" s="92">
        <v>933.5</v>
      </c>
      <c r="OY15" s="244">
        <v>44921</v>
      </c>
      <c r="OZ15" s="92">
        <v>933.5</v>
      </c>
      <c r="PA15" s="95" t="s">
        <v>830</v>
      </c>
      <c r="PB15" s="71">
        <v>53</v>
      </c>
      <c r="PC15" s="71">
        <f t="shared" si="45"/>
        <v>49475.5</v>
      </c>
      <c r="PF15" s="94"/>
      <c r="PG15" s="15">
        <v>8</v>
      </c>
      <c r="PH15" s="92">
        <v>936.7</v>
      </c>
      <c r="PI15" s="244">
        <v>44924</v>
      </c>
      <c r="PJ15" s="92">
        <v>936.7</v>
      </c>
      <c r="PK15" s="95" t="s">
        <v>806</v>
      </c>
      <c r="PL15" s="71">
        <v>53</v>
      </c>
      <c r="PM15" s="71">
        <f t="shared" si="46"/>
        <v>49645.100000000006</v>
      </c>
      <c r="PN15" s="71"/>
      <c r="PQ15" s="106"/>
      <c r="PR15" s="15">
        <v>8</v>
      </c>
      <c r="PS15" s="92">
        <v>920.8</v>
      </c>
      <c r="PT15" s="244">
        <v>44924</v>
      </c>
      <c r="PU15" s="92">
        <v>920.8</v>
      </c>
      <c r="PV15" s="95" t="s">
        <v>847</v>
      </c>
      <c r="PW15" s="71">
        <v>53</v>
      </c>
      <c r="PX15" s="71">
        <f t="shared" si="47"/>
        <v>48802.399999999994</v>
      </c>
      <c r="QA15" s="106"/>
      <c r="QB15" s="15">
        <v>8</v>
      </c>
      <c r="QC15" s="92">
        <v>923.51</v>
      </c>
      <c r="QD15" s="135">
        <v>44924</v>
      </c>
      <c r="QE15" s="92">
        <v>923.51</v>
      </c>
      <c r="QF15" s="95" t="s">
        <v>844</v>
      </c>
      <c r="QG15" s="71">
        <v>53</v>
      </c>
      <c r="QH15" s="71">
        <f t="shared" si="48"/>
        <v>48946.03</v>
      </c>
      <c r="QK15" s="106"/>
      <c r="QL15" s="15">
        <v>8</v>
      </c>
      <c r="QM15" s="92">
        <v>909.9</v>
      </c>
      <c r="QN15" s="244">
        <v>44926</v>
      </c>
      <c r="QO15" s="92">
        <v>909.9</v>
      </c>
      <c r="QP15" s="95" t="s">
        <v>859</v>
      </c>
      <c r="QQ15" s="71">
        <v>53</v>
      </c>
      <c r="QR15" s="71">
        <f t="shared" si="49"/>
        <v>48224.7</v>
      </c>
      <c r="QU15" s="106"/>
      <c r="QV15" s="15">
        <v>8</v>
      </c>
      <c r="QW15" s="92">
        <v>916.7</v>
      </c>
      <c r="QX15" s="244">
        <v>44926</v>
      </c>
      <c r="QY15" s="92">
        <v>916.7</v>
      </c>
      <c r="QZ15" s="95" t="s">
        <v>860</v>
      </c>
      <c r="RA15" s="71">
        <v>53</v>
      </c>
      <c r="RB15" s="71">
        <f t="shared" si="50"/>
        <v>48585.100000000006</v>
      </c>
      <c r="RE15" s="106"/>
      <c r="RF15" s="15">
        <v>8</v>
      </c>
      <c r="RG15" s="92">
        <v>939.8</v>
      </c>
      <c r="RH15" s="244">
        <v>44930</v>
      </c>
      <c r="RI15" s="92">
        <v>939.8</v>
      </c>
      <c r="RJ15" s="95" t="s">
        <v>889</v>
      </c>
      <c r="RK15" s="71">
        <v>47</v>
      </c>
      <c r="RL15" s="71">
        <f t="shared" si="51"/>
        <v>44170.6</v>
      </c>
      <c r="RO15" s="106"/>
      <c r="RP15" s="15">
        <v>8</v>
      </c>
      <c r="RQ15" s="92">
        <v>890.9</v>
      </c>
      <c r="RR15" s="244">
        <v>44930</v>
      </c>
      <c r="RS15" s="92">
        <v>890.9</v>
      </c>
      <c r="RT15" s="95" t="s">
        <v>885</v>
      </c>
      <c r="RU15" s="71">
        <v>49</v>
      </c>
      <c r="RV15" s="71">
        <f t="shared" si="52"/>
        <v>43654.1</v>
      </c>
      <c r="RY15" s="106"/>
      <c r="RZ15" s="15">
        <v>8</v>
      </c>
      <c r="SA15" s="92">
        <v>955.26</v>
      </c>
      <c r="SB15" s="135">
        <v>44931</v>
      </c>
      <c r="SC15" s="92">
        <v>955.26</v>
      </c>
      <c r="SD15" s="95" t="s">
        <v>892</v>
      </c>
      <c r="SE15" s="71">
        <v>47</v>
      </c>
      <c r="SF15" s="71">
        <f t="shared" si="53"/>
        <v>44897.22</v>
      </c>
      <c r="SI15" s="106"/>
      <c r="SJ15" s="15">
        <v>8</v>
      </c>
      <c r="SK15" s="92">
        <v>914.44</v>
      </c>
      <c r="SL15" s="244">
        <v>44932</v>
      </c>
      <c r="SM15" s="92">
        <v>914.44</v>
      </c>
      <c r="SN15" s="95" t="s">
        <v>904</v>
      </c>
      <c r="SO15" s="71">
        <v>47</v>
      </c>
      <c r="SP15" s="71">
        <f t="shared" si="54"/>
        <v>42978.68</v>
      </c>
      <c r="SS15" s="106"/>
      <c r="ST15" s="15">
        <v>8</v>
      </c>
      <c r="SU15" s="92">
        <v>939.8</v>
      </c>
      <c r="SV15" s="244">
        <v>44933</v>
      </c>
      <c r="SW15" s="92">
        <v>939.8</v>
      </c>
      <c r="SX15" s="95" t="s">
        <v>909</v>
      </c>
      <c r="SY15" s="71">
        <v>45</v>
      </c>
      <c r="SZ15" s="71">
        <f t="shared" si="55"/>
        <v>42291</v>
      </c>
      <c r="TC15" s="106"/>
      <c r="TD15" s="15">
        <v>8</v>
      </c>
      <c r="TE15" s="92">
        <v>933.5</v>
      </c>
      <c r="TF15" s="244">
        <v>44933</v>
      </c>
      <c r="TG15" s="92">
        <v>933.5</v>
      </c>
      <c r="TH15" s="95" t="s">
        <v>913</v>
      </c>
      <c r="TI15" s="71">
        <v>45</v>
      </c>
      <c r="TJ15" s="71">
        <f t="shared" si="56"/>
        <v>42007.5</v>
      </c>
      <c r="TM15" s="106"/>
      <c r="TN15" s="15">
        <v>8</v>
      </c>
      <c r="TO15" s="92"/>
      <c r="TP15" s="295"/>
      <c r="TQ15" s="168"/>
      <c r="TR15" s="291"/>
      <c r="TS15" s="290"/>
      <c r="TT15" s="290"/>
      <c r="TW15" s="106"/>
      <c r="TX15" s="15">
        <v>8</v>
      </c>
      <c r="TY15" s="92"/>
      <c r="TZ15" s="79"/>
      <c r="UA15" s="92"/>
      <c r="UB15" s="95"/>
      <c r="UC15" s="71"/>
      <c r="UF15" s="106"/>
      <c r="UG15" s="15">
        <v>8</v>
      </c>
      <c r="UH15" s="92"/>
      <c r="UI15" s="79"/>
      <c r="UJ15" s="92"/>
      <c r="UK15" s="95"/>
      <c r="UL15" s="71"/>
      <c r="UO15" s="106"/>
      <c r="UP15" s="15">
        <v>8</v>
      </c>
      <c r="UQ15" s="92"/>
      <c r="UR15" s="79"/>
      <c r="US15" s="92"/>
      <c r="UT15" s="95"/>
      <c r="UU15" s="71"/>
      <c r="UX15" s="106"/>
      <c r="UY15" s="15">
        <v>8</v>
      </c>
      <c r="UZ15" s="92"/>
      <c r="VA15" s="79"/>
      <c r="VB15" s="92"/>
      <c r="VC15" s="95"/>
      <c r="VD15" s="71"/>
      <c r="VG15" s="106"/>
      <c r="VH15" s="15">
        <v>8</v>
      </c>
      <c r="VI15" s="92"/>
      <c r="VJ15" s="79"/>
      <c r="VK15" s="92"/>
      <c r="VL15" s="95"/>
      <c r="VM15" s="71"/>
      <c r="VP15" s="106"/>
      <c r="VQ15" s="15">
        <v>8</v>
      </c>
      <c r="VR15" s="92"/>
      <c r="VS15" s="79"/>
      <c r="VT15" s="92"/>
      <c r="VU15" s="95"/>
      <c r="VV15" s="71"/>
      <c r="VY15" s="106"/>
      <c r="VZ15" s="15">
        <v>8</v>
      </c>
      <c r="WA15" s="92"/>
      <c r="WB15" s="79"/>
      <c r="WC15" s="92"/>
      <c r="WD15" s="95"/>
      <c r="WE15" s="71"/>
      <c r="WH15" s="106"/>
      <c r="WI15" s="15">
        <v>8</v>
      </c>
      <c r="WJ15" s="92"/>
      <c r="WK15" s="79"/>
      <c r="WL15" s="92"/>
      <c r="WM15" s="95"/>
      <c r="WN15" s="71"/>
      <c r="WQ15" s="106"/>
      <c r="WR15" s="15">
        <v>8</v>
      </c>
      <c r="WS15" s="92"/>
      <c r="WT15" s="79"/>
      <c r="WU15" s="92"/>
      <c r="WV15" s="95"/>
      <c r="WW15" s="71"/>
      <c r="WZ15" s="106"/>
      <c r="XA15" s="15">
        <v>8</v>
      </c>
      <c r="XB15" s="92"/>
      <c r="XC15" s="79"/>
      <c r="XD15" s="92"/>
      <c r="XE15" s="95"/>
      <c r="XF15" s="71"/>
      <c r="XI15" s="106"/>
      <c r="XJ15" s="15">
        <v>8</v>
      </c>
      <c r="XK15" s="92"/>
      <c r="XL15" s="79"/>
      <c r="XM15" s="92"/>
      <c r="XN15" s="95"/>
      <c r="XO15" s="71"/>
      <c r="XR15" s="106"/>
      <c r="XS15" s="15">
        <v>8</v>
      </c>
      <c r="XT15" s="92"/>
      <c r="XU15" s="79"/>
      <c r="XV15" s="92"/>
      <c r="XW15" s="95"/>
      <c r="XX15" s="71"/>
      <c r="YA15" s="106"/>
      <c r="YB15" s="15">
        <v>8</v>
      </c>
      <c r="YC15" s="92"/>
      <c r="YD15" s="79"/>
      <c r="YE15" s="92"/>
      <c r="YF15" s="95"/>
      <c r="YG15" s="71"/>
      <c r="YJ15" s="106"/>
      <c r="YK15" s="15">
        <v>8</v>
      </c>
      <c r="YL15" s="92"/>
      <c r="YM15" s="79"/>
      <c r="YN15" s="92"/>
      <c r="YO15" s="95"/>
      <c r="YP15" s="71"/>
      <c r="YS15" s="106"/>
      <c r="YT15" s="15">
        <v>8</v>
      </c>
      <c r="YU15" s="92"/>
      <c r="YV15" s="79"/>
      <c r="YW15" s="92"/>
      <c r="YX15" s="95"/>
      <c r="YY15" s="71"/>
      <c r="ZB15" s="106"/>
      <c r="ZC15" s="15">
        <v>8</v>
      </c>
      <c r="ZD15" s="92"/>
      <c r="ZE15" s="79"/>
      <c r="ZF15" s="92"/>
      <c r="ZG15" s="95"/>
      <c r="ZH15" s="71"/>
      <c r="ZK15" s="106"/>
      <c r="ZL15" s="15">
        <v>8</v>
      </c>
      <c r="ZM15" s="92"/>
      <c r="ZN15" s="79"/>
      <c r="ZO15" s="92"/>
      <c r="ZP15" s="95"/>
      <c r="ZQ15" s="71"/>
      <c r="ZT15" s="106"/>
      <c r="ZU15" s="15">
        <v>8</v>
      </c>
      <c r="ZV15" s="92"/>
      <c r="ZW15" s="79"/>
      <c r="ZX15" s="92"/>
      <c r="ZY15" s="95"/>
      <c r="ZZ15" s="71"/>
      <c r="AAC15" s="106"/>
      <c r="AAD15" s="15">
        <v>8</v>
      </c>
      <c r="AAE15" s="92"/>
      <c r="AAF15" s="79"/>
      <c r="AAG15" s="92"/>
      <c r="AAH15" s="95"/>
      <c r="AAI15" s="71"/>
      <c r="AAL15" s="106"/>
      <c r="AAM15" s="15">
        <v>8</v>
      </c>
      <c r="AAN15" s="92"/>
      <c r="AAO15" s="79"/>
      <c r="AAP15" s="92"/>
      <c r="AAQ15" s="95"/>
      <c r="AAR15" s="71"/>
      <c r="AAU15" s="106"/>
      <c r="AAV15" s="15">
        <v>8</v>
      </c>
      <c r="AAW15" s="92"/>
      <c r="AAX15" s="79"/>
      <c r="AAY15" s="92"/>
      <c r="AAZ15" s="95"/>
      <c r="ABA15" s="71"/>
      <c r="ABD15" s="106"/>
      <c r="ABE15" s="15">
        <v>8</v>
      </c>
      <c r="ABF15" s="92"/>
      <c r="ABG15" s="79"/>
      <c r="ABH15" s="92"/>
      <c r="ABI15" s="95"/>
      <c r="ABJ15" s="71"/>
      <c r="ABM15" s="106"/>
      <c r="ABN15" s="15">
        <v>8</v>
      </c>
      <c r="ABO15" s="92"/>
      <c r="ABP15" s="79"/>
      <c r="ABQ15" s="92"/>
      <c r="ABR15" s="95"/>
      <c r="ABS15" s="71"/>
      <c r="ABV15" s="106"/>
      <c r="ABW15" s="15">
        <v>8</v>
      </c>
      <c r="ABX15" s="92"/>
      <c r="ABY15" s="79"/>
      <c r="ABZ15" s="92"/>
      <c r="ACA15" s="95"/>
      <c r="ACB15" s="71"/>
      <c r="ACE15" s="106"/>
      <c r="ACF15" s="15">
        <v>8</v>
      </c>
      <c r="ACG15" s="92"/>
      <c r="ACH15" s="79"/>
      <c r="ACI15" s="92"/>
      <c r="ACJ15" s="95"/>
      <c r="ACK15" s="71"/>
      <c r="ACN15" s="106"/>
      <c r="ACO15" s="15">
        <v>8</v>
      </c>
      <c r="ACP15" s="92"/>
      <c r="ACQ15" s="79"/>
      <c r="ACR15" s="92"/>
      <c r="ACS15" s="95"/>
      <c r="ACT15" s="71"/>
      <c r="ACW15" s="106"/>
      <c r="ACX15" s="15">
        <v>8</v>
      </c>
      <c r="ACY15" s="92"/>
      <c r="ACZ15" s="79"/>
      <c r="ADA15" s="92"/>
      <c r="ADB15" s="95"/>
      <c r="ADC15" s="71"/>
      <c r="ADF15" s="106"/>
      <c r="ADG15" s="15">
        <v>8</v>
      </c>
      <c r="ADH15" s="92"/>
      <c r="ADI15" s="79"/>
      <c r="ADJ15" s="92"/>
      <c r="ADK15" s="95"/>
      <c r="ADL15" s="71"/>
      <c r="ADO15" s="106"/>
      <c r="ADP15" s="15">
        <v>8</v>
      </c>
      <c r="ADQ15" s="92"/>
      <c r="ADR15" s="79"/>
      <c r="ADS15" s="92"/>
      <c r="ADT15" s="95"/>
      <c r="ADU15" s="71"/>
      <c r="ADX15" s="106"/>
      <c r="ADY15" s="15">
        <v>8</v>
      </c>
      <c r="ADZ15" s="92"/>
      <c r="AEA15" s="79"/>
      <c r="AEB15" s="92"/>
      <c r="AEC15" s="95"/>
      <c r="AED15" s="71"/>
      <c r="AEG15" s="106"/>
      <c r="AEH15" s="15">
        <v>8</v>
      </c>
      <c r="AEI15" s="92"/>
      <c r="AEJ15" s="79"/>
      <c r="AEK15" s="92"/>
      <c r="AEL15" s="95"/>
      <c r="AEM15" s="71"/>
      <c r="AEP15" s="106"/>
      <c r="AEQ15" s="15">
        <v>8</v>
      </c>
      <c r="AER15" s="92"/>
      <c r="AES15" s="79"/>
      <c r="AET15" s="92"/>
      <c r="AEU15" s="95"/>
      <c r="AEV15" s="71"/>
      <c r="AEY15" s="106"/>
      <c r="AEZ15" s="15">
        <v>8</v>
      </c>
      <c r="AFA15" s="92"/>
      <c r="AFB15" s="79"/>
      <c r="AFC15" s="92"/>
      <c r="AFD15" s="95"/>
      <c r="AFE15" s="71"/>
    </row>
    <row r="16" spans="1:837" x14ac:dyDescent="0.25">
      <c r="A16" s="137">
        <v>13</v>
      </c>
      <c r="B16" s="75" t="str">
        <f t="shared" ref="B16:I16" si="64">EA5</f>
        <v>SEABOARD FOODS</v>
      </c>
      <c r="C16" s="75" t="str">
        <f t="shared" si="64"/>
        <v>Seaboard</v>
      </c>
      <c r="D16" s="102" t="str">
        <f t="shared" si="64"/>
        <v>PED. 90825607</v>
      </c>
      <c r="E16" s="135">
        <f t="shared" si="64"/>
        <v>44904</v>
      </c>
      <c r="F16" s="86">
        <f t="shared" si="64"/>
        <v>18847.11</v>
      </c>
      <c r="G16" s="73">
        <f t="shared" si="64"/>
        <v>21</v>
      </c>
      <c r="H16" s="48">
        <f t="shared" si="64"/>
        <v>18871.3</v>
      </c>
      <c r="I16" s="105">
        <f t="shared" si="64"/>
        <v>-24.18999999999869</v>
      </c>
      <c r="L16" s="106"/>
      <c r="M16" s="15">
        <v>9</v>
      </c>
      <c r="N16" s="69">
        <v>892.7</v>
      </c>
      <c r="O16" s="252">
        <v>44895</v>
      </c>
      <c r="P16" s="69">
        <v>892.7</v>
      </c>
      <c r="Q16" s="70" t="s">
        <v>582</v>
      </c>
      <c r="R16" s="71">
        <v>51</v>
      </c>
      <c r="S16" s="393">
        <f t="shared" si="8"/>
        <v>45527.700000000004</v>
      </c>
      <c r="V16" s="106"/>
      <c r="W16" s="15">
        <v>9</v>
      </c>
      <c r="X16" s="69">
        <v>916.3</v>
      </c>
      <c r="Y16" s="252">
        <v>44895</v>
      </c>
      <c r="Z16" s="69">
        <v>916.3</v>
      </c>
      <c r="AA16" s="695" t="s">
        <v>580</v>
      </c>
      <c r="AB16" s="696">
        <v>51</v>
      </c>
      <c r="AC16" s="393">
        <f t="shared" si="9"/>
        <v>46731.299999999996</v>
      </c>
      <c r="AF16" s="106"/>
      <c r="AG16" s="15">
        <v>9</v>
      </c>
      <c r="AH16" s="92">
        <v>936.21</v>
      </c>
      <c r="AI16" s="244">
        <v>44896</v>
      </c>
      <c r="AJ16" s="92">
        <v>936.21</v>
      </c>
      <c r="AK16" s="95" t="s">
        <v>587</v>
      </c>
      <c r="AL16" s="71">
        <v>51</v>
      </c>
      <c r="AM16" s="393">
        <f t="shared" si="10"/>
        <v>47746.71</v>
      </c>
      <c r="AP16" s="106"/>
      <c r="AQ16" s="15">
        <v>9</v>
      </c>
      <c r="AR16" s="92">
        <v>924.4</v>
      </c>
      <c r="AS16" s="244">
        <v>44897</v>
      </c>
      <c r="AT16" s="92">
        <v>924.4</v>
      </c>
      <c r="AU16" s="95" t="s">
        <v>600</v>
      </c>
      <c r="AV16" s="71">
        <v>51</v>
      </c>
      <c r="AW16" s="393">
        <f t="shared" si="11"/>
        <v>47144.4</v>
      </c>
      <c r="AZ16" s="106"/>
      <c r="BA16" s="15">
        <v>9</v>
      </c>
      <c r="BB16" s="92">
        <v>936.2</v>
      </c>
      <c r="BC16" s="244">
        <v>44897</v>
      </c>
      <c r="BD16" s="92">
        <v>936.2</v>
      </c>
      <c r="BE16" s="95" t="s">
        <v>598</v>
      </c>
      <c r="BF16" s="71">
        <v>51</v>
      </c>
      <c r="BG16" s="393">
        <f t="shared" si="12"/>
        <v>47746.200000000004</v>
      </c>
      <c r="BJ16" s="667"/>
      <c r="BK16" s="15">
        <v>9</v>
      </c>
      <c r="BL16" s="92">
        <v>940.29</v>
      </c>
      <c r="BM16" s="135">
        <v>44898</v>
      </c>
      <c r="BN16" s="92">
        <v>940.29</v>
      </c>
      <c r="BO16" s="95" t="s">
        <v>602</v>
      </c>
      <c r="BP16" s="288">
        <v>51</v>
      </c>
      <c r="BQ16" s="481">
        <f t="shared" si="13"/>
        <v>47954.79</v>
      </c>
      <c r="BR16" s="393"/>
      <c r="BT16" s="106"/>
      <c r="BU16" s="15"/>
      <c r="BV16" s="92"/>
      <c r="BW16" s="289"/>
      <c r="BX16" s="92"/>
      <c r="BY16" s="577"/>
      <c r="BZ16" s="290"/>
      <c r="CA16" s="393">
        <f t="shared" si="5"/>
        <v>0</v>
      </c>
      <c r="CD16" s="213"/>
      <c r="CE16" s="15">
        <v>9</v>
      </c>
      <c r="CF16" s="92">
        <v>910.8</v>
      </c>
      <c r="CG16" s="289">
        <v>44901</v>
      </c>
      <c r="CH16" s="92">
        <v>910.8</v>
      </c>
      <c r="CI16" s="291" t="s">
        <v>619</v>
      </c>
      <c r="CJ16" s="290">
        <v>51</v>
      </c>
      <c r="CK16" s="393">
        <f t="shared" si="14"/>
        <v>46450.799999999996</v>
      </c>
      <c r="CN16" s="94"/>
      <c r="CO16" s="15">
        <v>9</v>
      </c>
      <c r="CP16" s="92">
        <v>932.6</v>
      </c>
      <c r="CQ16" s="289">
        <v>44901</v>
      </c>
      <c r="CR16" s="92">
        <v>932.6</v>
      </c>
      <c r="CS16" s="291" t="s">
        <v>626</v>
      </c>
      <c r="CT16" s="290">
        <v>51</v>
      </c>
      <c r="CU16" s="398">
        <f t="shared" si="58"/>
        <v>47562.6</v>
      </c>
      <c r="CX16" s="106"/>
      <c r="CY16" s="15">
        <v>9</v>
      </c>
      <c r="CZ16" s="92">
        <v>940.75</v>
      </c>
      <c r="DA16" s="244">
        <v>44902</v>
      </c>
      <c r="DB16" s="92">
        <v>940.75</v>
      </c>
      <c r="DC16" s="95" t="s">
        <v>633</v>
      </c>
      <c r="DD16" s="71">
        <v>51</v>
      </c>
      <c r="DE16" s="393">
        <f t="shared" si="15"/>
        <v>47978.25</v>
      </c>
      <c r="DH16" s="106"/>
      <c r="DI16" s="15">
        <v>9</v>
      </c>
      <c r="DJ16" s="694">
        <v>916.3</v>
      </c>
      <c r="DK16" s="720">
        <v>44903</v>
      </c>
      <c r="DL16" s="694">
        <v>916.3</v>
      </c>
      <c r="DM16" s="721" t="s">
        <v>648</v>
      </c>
      <c r="DN16" s="722">
        <v>51</v>
      </c>
      <c r="DO16" s="398">
        <f t="shared" si="16"/>
        <v>46731.299999999996</v>
      </c>
      <c r="DR16" s="106"/>
      <c r="DS16" s="15">
        <v>9</v>
      </c>
      <c r="DT16" s="92">
        <v>944.83</v>
      </c>
      <c r="DU16" s="289">
        <v>44903</v>
      </c>
      <c r="DV16" s="92">
        <v>944.83</v>
      </c>
      <c r="DW16" s="291" t="s">
        <v>644</v>
      </c>
      <c r="DX16" s="290">
        <v>51</v>
      </c>
      <c r="DY16" s="393">
        <f t="shared" si="17"/>
        <v>48186.33</v>
      </c>
      <c r="EB16" s="106"/>
      <c r="EC16" s="15">
        <v>9</v>
      </c>
      <c r="ED16" s="69">
        <v>893.6</v>
      </c>
      <c r="EE16" s="252">
        <v>44904</v>
      </c>
      <c r="EF16" s="69">
        <v>893.6</v>
      </c>
      <c r="EG16" s="70" t="s">
        <v>661</v>
      </c>
      <c r="EH16" s="71">
        <v>51</v>
      </c>
      <c r="EI16" s="393">
        <f t="shared" si="18"/>
        <v>45573.599999999999</v>
      </c>
      <c r="EL16" s="106"/>
      <c r="EM16" s="15">
        <v>9</v>
      </c>
      <c r="EN16" s="69">
        <v>932.1</v>
      </c>
      <c r="EO16" s="252">
        <v>44904</v>
      </c>
      <c r="EP16" s="69">
        <v>932.1</v>
      </c>
      <c r="EQ16" s="70" t="s">
        <v>659</v>
      </c>
      <c r="ER16" s="71">
        <v>51</v>
      </c>
      <c r="ES16" s="393">
        <f t="shared" si="19"/>
        <v>47537.1</v>
      </c>
      <c r="EV16" s="331"/>
      <c r="EW16" s="15">
        <v>9</v>
      </c>
      <c r="EX16" s="92">
        <v>896.3</v>
      </c>
      <c r="EY16" s="244">
        <v>44907</v>
      </c>
      <c r="EZ16" s="92">
        <v>896.3</v>
      </c>
      <c r="FA16" s="70" t="s">
        <v>682</v>
      </c>
      <c r="FB16" s="71">
        <v>51</v>
      </c>
      <c r="FC16" s="393">
        <f t="shared" si="20"/>
        <v>45711.299999999996</v>
      </c>
      <c r="FF16" s="331"/>
      <c r="FG16" s="15">
        <v>9</v>
      </c>
      <c r="FH16" s="92">
        <v>887.2</v>
      </c>
      <c r="FI16" s="244">
        <v>44905</v>
      </c>
      <c r="FJ16" s="92">
        <v>887.2</v>
      </c>
      <c r="FK16" s="70" t="s">
        <v>678</v>
      </c>
      <c r="FL16" s="71">
        <v>51</v>
      </c>
      <c r="FM16" s="243">
        <f t="shared" si="21"/>
        <v>45247.200000000004</v>
      </c>
      <c r="FP16" s="106"/>
      <c r="FQ16" s="15">
        <v>9</v>
      </c>
      <c r="FR16" s="92">
        <v>937.12</v>
      </c>
      <c r="FS16" s="244">
        <v>44905</v>
      </c>
      <c r="FT16" s="92">
        <v>937.12</v>
      </c>
      <c r="FU16" s="70" t="s">
        <v>674</v>
      </c>
      <c r="FV16" s="71">
        <v>51</v>
      </c>
      <c r="FW16" s="393">
        <f t="shared" si="22"/>
        <v>47793.120000000003</v>
      </c>
      <c r="FZ16" s="106"/>
      <c r="GA16" s="15">
        <v>9</v>
      </c>
      <c r="GB16" s="69">
        <v>900.8</v>
      </c>
      <c r="GC16" s="252">
        <v>44908</v>
      </c>
      <c r="GD16" s="69">
        <v>900.8</v>
      </c>
      <c r="GE16" s="70" t="s">
        <v>689</v>
      </c>
      <c r="GF16" s="71">
        <v>49</v>
      </c>
      <c r="GG16" s="243">
        <f t="shared" si="23"/>
        <v>44139.199999999997</v>
      </c>
      <c r="GJ16" s="106"/>
      <c r="GK16" s="15">
        <v>9</v>
      </c>
      <c r="GL16" s="352">
        <v>878.2</v>
      </c>
      <c r="GM16" s="244">
        <v>44908</v>
      </c>
      <c r="GN16" s="352">
        <v>878.2</v>
      </c>
      <c r="GO16" s="95" t="s">
        <v>696</v>
      </c>
      <c r="GP16" s="71">
        <v>49</v>
      </c>
      <c r="GQ16" s="393">
        <f t="shared" si="24"/>
        <v>43031.8</v>
      </c>
      <c r="GT16" s="106"/>
      <c r="GU16" s="15">
        <v>9</v>
      </c>
      <c r="GV16" s="92">
        <v>900.8</v>
      </c>
      <c r="GW16" s="244">
        <v>44908</v>
      </c>
      <c r="GX16" s="92">
        <v>900.8</v>
      </c>
      <c r="GY16" s="95" t="s">
        <v>694</v>
      </c>
      <c r="GZ16" s="71">
        <v>49</v>
      </c>
      <c r="HA16" s="393">
        <f t="shared" si="25"/>
        <v>44139.199999999997</v>
      </c>
      <c r="HD16" s="106"/>
      <c r="HE16" s="15">
        <v>9</v>
      </c>
      <c r="HF16" s="92">
        <v>955.71</v>
      </c>
      <c r="HG16" s="244">
        <v>44909</v>
      </c>
      <c r="HH16" s="92">
        <v>955.71</v>
      </c>
      <c r="HI16" s="95" t="s">
        <v>705</v>
      </c>
      <c r="HJ16" s="71">
        <v>49</v>
      </c>
      <c r="HK16" s="393">
        <f t="shared" si="26"/>
        <v>46829.79</v>
      </c>
      <c r="HN16" s="106"/>
      <c r="HO16" s="15">
        <v>9</v>
      </c>
      <c r="HP16" s="92">
        <v>912.62</v>
      </c>
      <c r="HQ16" s="244">
        <v>44909</v>
      </c>
      <c r="HR16" s="92">
        <v>912.62</v>
      </c>
      <c r="HS16" s="292" t="s">
        <v>699</v>
      </c>
      <c r="HT16" s="71">
        <v>49</v>
      </c>
      <c r="HU16" s="243">
        <f t="shared" si="27"/>
        <v>44718.38</v>
      </c>
      <c r="HX16" s="94"/>
      <c r="HY16" s="15">
        <v>9</v>
      </c>
      <c r="HZ16" s="69">
        <v>969.78</v>
      </c>
      <c r="IA16" s="252">
        <v>44910</v>
      </c>
      <c r="IB16" s="69">
        <v>969.78</v>
      </c>
      <c r="IC16" s="70" t="s">
        <v>718</v>
      </c>
      <c r="ID16" s="71">
        <v>49</v>
      </c>
      <c r="IE16" s="393">
        <f t="shared" si="6"/>
        <v>47519.22</v>
      </c>
      <c r="IH16" s="94"/>
      <c r="II16" s="15">
        <v>9</v>
      </c>
      <c r="IJ16" s="69">
        <v>918.1</v>
      </c>
      <c r="IK16" s="252">
        <v>44910</v>
      </c>
      <c r="IL16" s="69">
        <v>918.1</v>
      </c>
      <c r="IM16" s="70" t="s">
        <v>721</v>
      </c>
      <c r="IN16" s="71">
        <v>49</v>
      </c>
      <c r="IO16" s="393">
        <f t="shared" si="28"/>
        <v>44986.9</v>
      </c>
      <c r="IR16" s="106"/>
      <c r="IS16" s="15">
        <v>9</v>
      </c>
      <c r="IT16" s="92">
        <v>919.9</v>
      </c>
      <c r="IU16" s="135">
        <v>44911</v>
      </c>
      <c r="IV16" s="92">
        <v>919.9</v>
      </c>
      <c r="IW16" s="363" t="s">
        <v>730</v>
      </c>
      <c r="IX16" s="71">
        <v>47</v>
      </c>
      <c r="IY16" s="243">
        <f t="shared" si="29"/>
        <v>43235.299999999996</v>
      </c>
      <c r="IZ16" s="92"/>
      <c r="JA16" s="69"/>
      <c r="JB16" s="106"/>
      <c r="JC16" s="15">
        <v>9</v>
      </c>
      <c r="JD16" s="92">
        <v>917.2</v>
      </c>
      <c r="JE16" s="252">
        <v>44911</v>
      </c>
      <c r="JF16" s="92">
        <v>917.2</v>
      </c>
      <c r="JG16" s="70" t="s">
        <v>727</v>
      </c>
      <c r="JH16" s="71">
        <v>47</v>
      </c>
      <c r="JI16" s="393">
        <f t="shared" si="30"/>
        <v>43108.4</v>
      </c>
      <c r="JJ16" s="69"/>
      <c r="JL16" s="106"/>
      <c r="JM16" s="15">
        <v>9</v>
      </c>
      <c r="JN16" s="92">
        <v>875.4</v>
      </c>
      <c r="JO16" s="244">
        <v>44912</v>
      </c>
      <c r="JP16" s="92">
        <v>875.4</v>
      </c>
      <c r="JQ16" s="70" t="s">
        <v>739</v>
      </c>
      <c r="JR16" s="71">
        <v>48</v>
      </c>
      <c r="JS16" s="393">
        <f t="shared" si="31"/>
        <v>42019.199999999997</v>
      </c>
      <c r="JV16" s="106"/>
      <c r="JW16" s="15">
        <v>9</v>
      </c>
      <c r="JX16" s="69">
        <v>917.2</v>
      </c>
      <c r="JY16" s="252">
        <v>44912</v>
      </c>
      <c r="JZ16" s="69">
        <v>917.2</v>
      </c>
      <c r="KA16" s="70" t="s">
        <v>746</v>
      </c>
      <c r="KB16" s="71">
        <v>48</v>
      </c>
      <c r="KC16" s="393">
        <f t="shared" si="32"/>
        <v>44025.600000000006</v>
      </c>
      <c r="KF16" s="106"/>
      <c r="KG16" s="15">
        <v>9</v>
      </c>
      <c r="KH16" s="69">
        <v>934.4</v>
      </c>
      <c r="KI16" s="252">
        <v>44915</v>
      </c>
      <c r="KJ16" s="69">
        <v>934.4</v>
      </c>
      <c r="KK16" s="70" t="s">
        <v>756</v>
      </c>
      <c r="KL16" s="71">
        <v>49</v>
      </c>
      <c r="KM16" s="393">
        <f t="shared" si="33"/>
        <v>45785.599999999999</v>
      </c>
      <c r="KP16" s="106"/>
      <c r="KQ16" s="15">
        <v>9</v>
      </c>
      <c r="KR16" s="69">
        <v>938.93</v>
      </c>
      <c r="KS16" s="252">
        <v>44915</v>
      </c>
      <c r="KT16" s="69">
        <v>938.93</v>
      </c>
      <c r="KU16" s="695" t="s">
        <v>757</v>
      </c>
      <c r="KV16" s="696">
        <v>49</v>
      </c>
      <c r="KW16" s="393">
        <f t="shared" si="34"/>
        <v>46007.57</v>
      </c>
      <c r="KZ16" s="106"/>
      <c r="LA16" s="15">
        <v>9</v>
      </c>
      <c r="LB16" s="92">
        <v>894.5</v>
      </c>
      <c r="LC16" s="244">
        <v>44916</v>
      </c>
      <c r="LD16" s="92">
        <v>894.5</v>
      </c>
      <c r="LE16" s="95" t="s">
        <v>771</v>
      </c>
      <c r="LF16" s="71">
        <v>51</v>
      </c>
      <c r="LG16" s="393">
        <f t="shared" si="35"/>
        <v>45619.5</v>
      </c>
      <c r="LJ16" s="106"/>
      <c r="LK16" s="15">
        <v>9</v>
      </c>
      <c r="LL16" s="92">
        <v>908.09</v>
      </c>
      <c r="LM16" s="244">
        <v>44916</v>
      </c>
      <c r="LN16" s="92">
        <v>908.09</v>
      </c>
      <c r="LO16" s="95" t="s">
        <v>776</v>
      </c>
      <c r="LP16" s="71">
        <v>51</v>
      </c>
      <c r="LQ16" s="393">
        <f t="shared" si="36"/>
        <v>46312.590000000004</v>
      </c>
      <c r="LT16" s="106"/>
      <c r="LU16" s="15">
        <v>9</v>
      </c>
      <c r="LV16" s="92">
        <v>889</v>
      </c>
      <c r="LW16" s="244">
        <v>44917</v>
      </c>
      <c r="LX16" s="92">
        <v>889</v>
      </c>
      <c r="LY16" s="95" t="s">
        <v>786</v>
      </c>
      <c r="LZ16" s="71">
        <v>53</v>
      </c>
      <c r="MA16" s="393">
        <f t="shared" si="37"/>
        <v>47117</v>
      </c>
      <c r="MB16" s="393"/>
      <c r="MD16" s="106"/>
      <c r="ME16" s="15">
        <v>9</v>
      </c>
      <c r="MF16" s="296">
        <v>919</v>
      </c>
      <c r="MG16" s="244">
        <v>44916</v>
      </c>
      <c r="MH16" s="296">
        <v>919</v>
      </c>
      <c r="MI16" s="95" t="s">
        <v>780</v>
      </c>
      <c r="MJ16" s="71">
        <v>51</v>
      </c>
      <c r="MK16" s="71">
        <f t="shared" si="38"/>
        <v>46869</v>
      </c>
      <c r="MN16" s="106"/>
      <c r="MO16" s="15">
        <v>9</v>
      </c>
      <c r="MP16" s="92">
        <v>905.37</v>
      </c>
      <c r="MQ16" s="244">
        <v>44917</v>
      </c>
      <c r="MR16" s="92">
        <v>905.37</v>
      </c>
      <c r="MS16" s="95" t="s">
        <v>789</v>
      </c>
      <c r="MT16" s="71">
        <v>53</v>
      </c>
      <c r="MU16" s="71">
        <f t="shared" si="39"/>
        <v>47984.61</v>
      </c>
      <c r="MX16" s="106"/>
      <c r="MY16" s="15">
        <v>9</v>
      </c>
      <c r="MZ16" s="92">
        <v>931.7</v>
      </c>
      <c r="NA16" s="244">
        <v>44918</v>
      </c>
      <c r="NB16" s="92">
        <v>931.7</v>
      </c>
      <c r="NC16" s="95" t="s">
        <v>801</v>
      </c>
      <c r="ND16" s="71">
        <v>53</v>
      </c>
      <c r="NE16" s="71">
        <f t="shared" si="40"/>
        <v>49380.100000000006</v>
      </c>
      <c r="NH16" s="106"/>
      <c r="NI16" s="15">
        <v>9</v>
      </c>
      <c r="NJ16" s="92">
        <v>940.7</v>
      </c>
      <c r="NK16" s="244">
        <v>44918</v>
      </c>
      <c r="NL16" s="92">
        <v>940.7</v>
      </c>
      <c r="NM16" s="95" t="s">
        <v>809</v>
      </c>
      <c r="NN16" s="71">
        <v>53</v>
      </c>
      <c r="NO16" s="71">
        <f t="shared" si="41"/>
        <v>49857.100000000006</v>
      </c>
      <c r="NR16" s="106"/>
      <c r="NS16" s="15">
        <v>9</v>
      </c>
      <c r="NT16" s="92">
        <v>895.4</v>
      </c>
      <c r="NU16" s="244">
        <v>44918</v>
      </c>
      <c r="NV16" s="92">
        <v>895.4</v>
      </c>
      <c r="NW16" s="95" t="s">
        <v>819</v>
      </c>
      <c r="NX16" s="71">
        <v>53</v>
      </c>
      <c r="NY16" s="71">
        <f t="shared" si="42"/>
        <v>47456.2</v>
      </c>
      <c r="OB16" s="106"/>
      <c r="OC16" s="15">
        <v>9</v>
      </c>
      <c r="OD16" s="92">
        <v>932.6</v>
      </c>
      <c r="OE16" s="244">
        <v>44919</v>
      </c>
      <c r="OF16" s="92">
        <v>932.6</v>
      </c>
      <c r="OG16" s="95" t="s">
        <v>825</v>
      </c>
      <c r="OH16" s="71">
        <v>53</v>
      </c>
      <c r="OI16" s="71">
        <f t="shared" si="43"/>
        <v>49427.8</v>
      </c>
      <c r="OL16" s="106"/>
      <c r="OM16" s="15">
        <v>9</v>
      </c>
      <c r="ON16" s="92">
        <v>918.1</v>
      </c>
      <c r="OO16" s="244">
        <v>44919</v>
      </c>
      <c r="OP16" s="92">
        <v>918.1</v>
      </c>
      <c r="OQ16" s="95" t="s">
        <v>823</v>
      </c>
      <c r="OR16" s="71">
        <v>53</v>
      </c>
      <c r="OS16" s="71">
        <f t="shared" si="44"/>
        <v>48659.3</v>
      </c>
      <c r="OV16" s="106"/>
      <c r="OW16" s="15">
        <v>9</v>
      </c>
      <c r="OX16" s="92">
        <v>935.3</v>
      </c>
      <c r="OY16" s="244">
        <v>44921</v>
      </c>
      <c r="OZ16" s="92">
        <v>935.3</v>
      </c>
      <c r="PA16" s="95" t="s">
        <v>830</v>
      </c>
      <c r="PB16" s="71">
        <v>53</v>
      </c>
      <c r="PC16" s="71">
        <f t="shared" si="45"/>
        <v>49570.899999999994</v>
      </c>
      <c r="PF16" s="94"/>
      <c r="PG16" s="15">
        <v>9</v>
      </c>
      <c r="PH16" s="92">
        <v>937.1</v>
      </c>
      <c r="PI16" s="244">
        <v>44924</v>
      </c>
      <c r="PJ16" s="92">
        <v>937.1</v>
      </c>
      <c r="PK16" s="95" t="s">
        <v>806</v>
      </c>
      <c r="PL16" s="71">
        <v>53</v>
      </c>
      <c r="PM16" s="71">
        <f t="shared" si="46"/>
        <v>49666.3</v>
      </c>
      <c r="PN16" s="71"/>
      <c r="PP16" s="75" t="s">
        <v>41</v>
      </c>
      <c r="PQ16" s="106"/>
      <c r="PR16" s="15">
        <v>9</v>
      </c>
      <c r="PS16" s="92">
        <v>941.2</v>
      </c>
      <c r="PT16" s="244">
        <v>44924</v>
      </c>
      <c r="PU16" s="92">
        <v>941.2</v>
      </c>
      <c r="PV16" s="95" t="s">
        <v>847</v>
      </c>
      <c r="PW16" s="71">
        <v>53</v>
      </c>
      <c r="PX16" s="71">
        <f t="shared" si="47"/>
        <v>49883.600000000006</v>
      </c>
      <c r="QA16" s="106"/>
      <c r="QB16" s="15">
        <v>9</v>
      </c>
      <c r="QC16" s="92">
        <v>933.03</v>
      </c>
      <c r="QD16" s="135">
        <v>44924</v>
      </c>
      <c r="QE16" s="92">
        <v>933.03</v>
      </c>
      <c r="QF16" s="95" t="s">
        <v>844</v>
      </c>
      <c r="QG16" s="71">
        <v>53</v>
      </c>
      <c r="QH16" s="71">
        <f t="shared" si="48"/>
        <v>49450.59</v>
      </c>
      <c r="QK16" s="106"/>
      <c r="QL16" s="15">
        <v>9</v>
      </c>
      <c r="QM16" s="92">
        <v>888.1</v>
      </c>
      <c r="QN16" s="244">
        <v>44928</v>
      </c>
      <c r="QO16" s="92">
        <v>888.1</v>
      </c>
      <c r="QP16" s="95" t="s">
        <v>870</v>
      </c>
      <c r="QQ16" s="71">
        <v>53</v>
      </c>
      <c r="QR16" s="71">
        <f t="shared" si="49"/>
        <v>47069.3</v>
      </c>
      <c r="QU16" s="106"/>
      <c r="QV16" s="15">
        <v>9</v>
      </c>
      <c r="QW16" s="92">
        <v>917.6</v>
      </c>
      <c r="QX16" s="244">
        <v>44926</v>
      </c>
      <c r="QY16" s="92">
        <v>917.6</v>
      </c>
      <c r="QZ16" s="95" t="s">
        <v>860</v>
      </c>
      <c r="RA16" s="71">
        <v>53</v>
      </c>
      <c r="RB16" s="71">
        <f t="shared" si="50"/>
        <v>48632.800000000003</v>
      </c>
      <c r="RE16" s="106"/>
      <c r="RF16" s="15">
        <v>9</v>
      </c>
      <c r="RG16" s="92">
        <v>878.2</v>
      </c>
      <c r="RH16" s="244">
        <v>44930</v>
      </c>
      <c r="RI16" s="92">
        <v>878.2</v>
      </c>
      <c r="RJ16" s="95" t="s">
        <v>889</v>
      </c>
      <c r="RK16" s="71">
        <v>47</v>
      </c>
      <c r="RL16" s="71">
        <f t="shared" si="51"/>
        <v>41275.4</v>
      </c>
      <c r="RO16" s="106"/>
      <c r="RP16" s="15">
        <v>9</v>
      </c>
      <c r="RQ16" s="92">
        <v>889</v>
      </c>
      <c r="RR16" s="244">
        <v>44930</v>
      </c>
      <c r="RS16" s="92">
        <v>889</v>
      </c>
      <c r="RT16" s="95" t="s">
        <v>885</v>
      </c>
      <c r="RU16" s="71">
        <v>49</v>
      </c>
      <c r="RV16" s="71">
        <f t="shared" si="52"/>
        <v>43561</v>
      </c>
      <c r="RY16" s="106"/>
      <c r="RZ16" s="15">
        <v>9</v>
      </c>
      <c r="SA16" s="92">
        <v>918.97</v>
      </c>
      <c r="SB16" s="135">
        <v>44931</v>
      </c>
      <c r="SC16" s="92">
        <v>918.97</v>
      </c>
      <c r="SD16" s="95" t="s">
        <v>892</v>
      </c>
      <c r="SE16" s="71">
        <v>47</v>
      </c>
      <c r="SF16" s="71">
        <f t="shared" si="53"/>
        <v>43191.590000000004</v>
      </c>
      <c r="SI16" s="106"/>
      <c r="SJ16" s="15">
        <v>9</v>
      </c>
      <c r="SK16" s="92">
        <v>951.63</v>
      </c>
      <c r="SL16" s="244">
        <v>44932</v>
      </c>
      <c r="SM16" s="92">
        <v>951.63</v>
      </c>
      <c r="SN16" s="95" t="s">
        <v>901</v>
      </c>
      <c r="SO16" s="71">
        <v>47</v>
      </c>
      <c r="SP16" s="71">
        <f t="shared" si="54"/>
        <v>44726.61</v>
      </c>
      <c r="SS16" s="106"/>
      <c r="ST16" s="15">
        <v>9</v>
      </c>
      <c r="SU16" s="92">
        <v>894.5</v>
      </c>
      <c r="SV16" s="244">
        <v>44933</v>
      </c>
      <c r="SW16" s="92">
        <v>894.5</v>
      </c>
      <c r="SX16" s="95" t="s">
        <v>909</v>
      </c>
      <c r="SY16" s="71">
        <v>45</v>
      </c>
      <c r="SZ16" s="71">
        <f t="shared" si="55"/>
        <v>40252.5</v>
      </c>
      <c r="TC16" s="106"/>
      <c r="TD16" s="15">
        <v>9</v>
      </c>
      <c r="TE16" s="92">
        <v>929.9</v>
      </c>
      <c r="TF16" s="244">
        <v>44933</v>
      </c>
      <c r="TG16" s="92">
        <v>929.9</v>
      </c>
      <c r="TH16" s="95" t="s">
        <v>913</v>
      </c>
      <c r="TI16" s="71">
        <v>45</v>
      </c>
      <c r="TJ16" s="71">
        <f t="shared" si="56"/>
        <v>41845.5</v>
      </c>
      <c r="TM16" s="106"/>
      <c r="TN16" s="15">
        <v>9</v>
      </c>
      <c r="TO16" s="92"/>
      <c r="TP16" s="295"/>
      <c r="TQ16" s="168"/>
      <c r="TR16" s="291"/>
      <c r="TS16" s="290"/>
      <c r="TT16" s="290"/>
      <c r="TW16" s="106"/>
      <c r="TX16" s="15">
        <v>9</v>
      </c>
      <c r="TY16" s="92"/>
      <c r="TZ16" s="79"/>
      <c r="UA16" s="92"/>
      <c r="UB16" s="95"/>
      <c r="UC16" s="71"/>
      <c r="UF16" s="106"/>
      <c r="UG16" s="15">
        <v>9</v>
      </c>
      <c r="UH16" s="92"/>
      <c r="UI16" s="79"/>
      <c r="UJ16" s="92"/>
      <c r="UK16" s="95"/>
      <c r="UL16" s="71"/>
      <c r="UO16" s="106"/>
      <c r="UP16" s="15">
        <v>9</v>
      </c>
      <c r="UQ16" s="92"/>
      <c r="UR16" s="79"/>
      <c r="US16" s="92"/>
      <c r="UT16" s="95"/>
      <c r="UU16" s="71"/>
      <c r="UX16" s="106"/>
      <c r="UY16" s="15">
        <v>9</v>
      </c>
      <c r="UZ16" s="92"/>
      <c r="VA16" s="79"/>
      <c r="VB16" s="92"/>
      <c r="VC16" s="95"/>
      <c r="VD16" s="71"/>
      <c r="VG16" s="106"/>
      <c r="VH16" s="15">
        <v>9</v>
      </c>
      <c r="VI16" s="92"/>
      <c r="VJ16" s="79"/>
      <c r="VK16" s="92"/>
      <c r="VL16" s="95"/>
      <c r="VM16" s="71"/>
      <c r="VP16" s="106"/>
      <c r="VQ16" s="15">
        <v>9</v>
      </c>
      <c r="VR16" s="92"/>
      <c r="VS16" s="79"/>
      <c r="VT16" s="92"/>
      <c r="VU16" s="95"/>
      <c r="VV16" s="71"/>
      <c r="VY16" s="106"/>
      <c r="VZ16" s="15">
        <v>9</v>
      </c>
      <c r="WA16" s="92"/>
      <c r="WB16" s="79"/>
      <c r="WC16" s="92"/>
      <c r="WD16" s="95"/>
      <c r="WE16" s="71"/>
      <c r="WH16" s="106"/>
      <c r="WI16" s="15">
        <v>9</v>
      </c>
      <c r="WJ16" s="92"/>
      <c r="WK16" s="79"/>
      <c r="WL16" s="92"/>
      <c r="WM16" s="95"/>
      <c r="WN16" s="71"/>
      <c r="WQ16" s="106"/>
      <c r="WR16" s="15">
        <v>9</v>
      </c>
      <c r="WS16" s="92"/>
      <c r="WT16" s="79"/>
      <c r="WU16" s="92"/>
      <c r="WV16" s="95"/>
      <c r="WW16" s="71"/>
      <c r="WZ16" s="106"/>
      <c r="XA16" s="15">
        <v>9</v>
      </c>
      <c r="XB16" s="92"/>
      <c r="XC16" s="79"/>
      <c r="XD16" s="92"/>
      <c r="XE16" s="95"/>
      <c r="XF16" s="71"/>
      <c r="XI16" s="106"/>
      <c r="XJ16" s="15">
        <v>9</v>
      </c>
      <c r="XK16" s="92"/>
      <c r="XL16" s="79"/>
      <c r="XM16" s="92"/>
      <c r="XN16" s="95"/>
      <c r="XO16" s="71"/>
      <c r="XR16" s="106"/>
      <c r="XS16" s="15">
        <v>9</v>
      </c>
      <c r="XT16" s="92"/>
      <c r="XU16" s="79"/>
      <c r="XV16" s="92"/>
      <c r="XW16" s="95"/>
      <c r="XX16" s="71"/>
      <c r="YA16" s="106"/>
      <c r="YB16" s="15">
        <v>9</v>
      </c>
      <c r="YC16" s="92"/>
      <c r="YD16" s="79"/>
      <c r="YE16" s="92"/>
      <c r="YF16" s="95"/>
      <c r="YG16" s="71"/>
      <c r="YJ16" s="106"/>
      <c r="YK16" s="15">
        <v>9</v>
      </c>
      <c r="YL16" s="92"/>
      <c r="YM16" s="79"/>
      <c r="YN16" s="92"/>
      <c r="YO16" s="95"/>
      <c r="YP16" s="71"/>
      <c r="YS16" s="106"/>
      <c r="YT16" s="15">
        <v>9</v>
      </c>
      <c r="YU16" s="92"/>
      <c r="YV16" s="79"/>
      <c r="YW16" s="92"/>
      <c r="YX16" s="95"/>
      <c r="YY16" s="71"/>
      <c r="ZB16" s="106"/>
      <c r="ZC16" s="15">
        <v>9</v>
      </c>
      <c r="ZD16" s="92"/>
      <c r="ZE16" s="79"/>
      <c r="ZF16" s="92"/>
      <c r="ZG16" s="95"/>
      <c r="ZH16" s="71"/>
      <c r="ZK16" s="106"/>
      <c r="ZL16" s="15">
        <v>9</v>
      </c>
      <c r="ZM16" s="92"/>
      <c r="ZN16" s="79"/>
      <c r="ZO16" s="92"/>
      <c r="ZP16" s="95"/>
      <c r="ZQ16" s="71"/>
      <c r="ZT16" s="106"/>
      <c r="ZU16" s="15">
        <v>9</v>
      </c>
      <c r="ZV16" s="92"/>
      <c r="ZW16" s="79"/>
      <c r="ZX16" s="92"/>
      <c r="ZY16" s="95"/>
      <c r="ZZ16" s="71"/>
      <c r="AAC16" s="106"/>
      <c r="AAD16" s="15">
        <v>9</v>
      </c>
      <c r="AAE16" s="92"/>
      <c r="AAF16" s="79"/>
      <c r="AAG16" s="92"/>
      <c r="AAH16" s="95"/>
      <c r="AAI16" s="71"/>
      <c r="AAL16" s="106"/>
      <c r="AAM16" s="15">
        <v>9</v>
      </c>
      <c r="AAN16" s="92"/>
      <c r="AAO16" s="79"/>
      <c r="AAP16" s="92"/>
      <c r="AAQ16" s="95"/>
      <c r="AAR16" s="71"/>
      <c r="AAU16" s="106"/>
      <c r="AAV16" s="15">
        <v>9</v>
      </c>
      <c r="AAW16" s="92"/>
      <c r="AAX16" s="79"/>
      <c r="AAY16" s="92"/>
      <c r="AAZ16" s="95"/>
      <c r="ABA16" s="71"/>
      <c r="ABD16" s="106"/>
      <c r="ABE16" s="15">
        <v>9</v>
      </c>
      <c r="ABF16" s="92"/>
      <c r="ABG16" s="79"/>
      <c r="ABH16" s="92"/>
      <c r="ABI16" s="95"/>
      <c r="ABJ16" s="71"/>
      <c r="ABM16" s="106"/>
      <c r="ABN16" s="15">
        <v>9</v>
      </c>
      <c r="ABO16" s="92"/>
      <c r="ABP16" s="79"/>
      <c r="ABQ16" s="92"/>
      <c r="ABR16" s="95"/>
      <c r="ABS16" s="71"/>
      <c r="ABV16" s="106"/>
      <c r="ABW16" s="15">
        <v>9</v>
      </c>
      <c r="ABX16" s="92"/>
      <c r="ABY16" s="79"/>
      <c r="ABZ16" s="92"/>
      <c r="ACA16" s="95"/>
      <c r="ACB16" s="71"/>
      <c r="ACE16" s="106"/>
      <c r="ACF16" s="15">
        <v>9</v>
      </c>
      <c r="ACG16" s="92"/>
      <c r="ACH16" s="79"/>
      <c r="ACI16" s="92"/>
      <c r="ACJ16" s="95"/>
      <c r="ACK16" s="71"/>
      <c r="ACN16" s="106"/>
      <c r="ACO16" s="15">
        <v>9</v>
      </c>
      <c r="ACP16" s="92"/>
      <c r="ACQ16" s="79"/>
      <c r="ACR16" s="92"/>
      <c r="ACS16" s="95"/>
      <c r="ACT16" s="71"/>
      <c r="ACW16" s="106"/>
      <c r="ACX16" s="15">
        <v>9</v>
      </c>
      <c r="ACY16" s="92"/>
      <c r="ACZ16" s="79"/>
      <c r="ADA16" s="92"/>
      <c r="ADB16" s="95"/>
      <c r="ADC16" s="71"/>
      <c r="ADF16" s="106"/>
      <c r="ADG16" s="15">
        <v>9</v>
      </c>
      <c r="ADH16" s="92"/>
      <c r="ADI16" s="79"/>
      <c r="ADJ16" s="92"/>
      <c r="ADK16" s="95"/>
      <c r="ADL16" s="71"/>
      <c r="ADO16" s="106"/>
      <c r="ADP16" s="15">
        <v>9</v>
      </c>
      <c r="ADQ16" s="92"/>
      <c r="ADR16" s="79"/>
      <c r="ADS16" s="92"/>
      <c r="ADT16" s="95"/>
      <c r="ADU16" s="71"/>
      <c r="ADX16" s="106"/>
      <c r="ADY16" s="15">
        <v>9</v>
      </c>
      <c r="ADZ16" s="92"/>
      <c r="AEA16" s="79"/>
      <c r="AEB16" s="92"/>
      <c r="AEC16" s="95"/>
      <c r="AED16" s="71"/>
      <c r="AEG16" s="106"/>
      <c r="AEH16" s="15">
        <v>9</v>
      </c>
      <c r="AEI16" s="92"/>
      <c r="AEJ16" s="79"/>
      <c r="AEK16" s="92"/>
      <c r="AEL16" s="95"/>
      <c r="AEM16" s="71"/>
      <c r="AEP16" s="106"/>
      <c r="AEQ16" s="15">
        <v>9</v>
      </c>
      <c r="AER16" s="92"/>
      <c r="AES16" s="79"/>
      <c r="AET16" s="92"/>
      <c r="AEU16" s="95"/>
      <c r="AEV16" s="71"/>
      <c r="AEY16" s="106"/>
      <c r="AEZ16" s="15">
        <v>9</v>
      </c>
      <c r="AFA16" s="92"/>
      <c r="AFB16" s="79"/>
      <c r="AFC16" s="92"/>
      <c r="AFD16" s="95"/>
      <c r="AFE16" s="71"/>
    </row>
    <row r="17" spans="1:840" x14ac:dyDescent="0.25">
      <c r="A17" s="137">
        <v>14</v>
      </c>
      <c r="B17" s="75" t="str">
        <f>EK5</f>
        <v>SEABOARD FOODS</v>
      </c>
      <c r="C17" s="75" t="str">
        <f t="shared" ref="C17:I17" si="65">EL5</f>
        <v>Seaboard</v>
      </c>
      <c r="D17" s="102" t="str">
        <f t="shared" si="65"/>
        <v>PED. 90825386</v>
      </c>
      <c r="E17" s="135">
        <f t="shared" si="65"/>
        <v>44904</v>
      </c>
      <c r="F17" s="86">
        <f t="shared" si="65"/>
        <v>19130.18</v>
      </c>
      <c r="G17" s="73">
        <f t="shared" si="65"/>
        <v>21</v>
      </c>
      <c r="H17" s="48">
        <f t="shared" si="65"/>
        <v>19185.5</v>
      </c>
      <c r="I17" s="105">
        <f t="shared" si="65"/>
        <v>-55.319999999999709</v>
      </c>
      <c r="L17" s="106"/>
      <c r="M17" s="15">
        <v>10</v>
      </c>
      <c r="N17" s="69">
        <v>910.8</v>
      </c>
      <c r="O17" s="252">
        <v>44895</v>
      </c>
      <c r="P17" s="69">
        <v>910.8</v>
      </c>
      <c r="Q17" s="70" t="s">
        <v>582</v>
      </c>
      <c r="R17" s="71">
        <v>51</v>
      </c>
      <c r="S17" s="393">
        <f t="shared" si="8"/>
        <v>46450.799999999996</v>
      </c>
      <c r="V17" s="106"/>
      <c r="W17" s="15">
        <v>10</v>
      </c>
      <c r="X17" s="69">
        <v>887.2</v>
      </c>
      <c r="Y17" s="252">
        <v>44895</v>
      </c>
      <c r="Z17" s="69">
        <v>887.2</v>
      </c>
      <c r="AA17" s="695" t="s">
        <v>580</v>
      </c>
      <c r="AB17" s="696">
        <v>51</v>
      </c>
      <c r="AC17" s="393">
        <f t="shared" si="9"/>
        <v>45247.200000000004</v>
      </c>
      <c r="AF17" s="106"/>
      <c r="AG17" s="15">
        <v>10</v>
      </c>
      <c r="AH17" s="92">
        <v>953.9</v>
      </c>
      <c r="AI17" s="244">
        <v>44896</v>
      </c>
      <c r="AJ17" s="92">
        <v>953.9</v>
      </c>
      <c r="AK17" s="95" t="s">
        <v>587</v>
      </c>
      <c r="AL17" s="71">
        <v>51</v>
      </c>
      <c r="AM17" s="393">
        <f t="shared" si="10"/>
        <v>48648.9</v>
      </c>
      <c r="AP17" s="106"/>
      <c r="AQ17" s="15">
        <v>10</v>
      </c>
      <c r="AR17" s="92">
        <v>906.3</v>
      </c>
      <c r="AS17" s="244">
        <v>44897</v>
      </c>
      <c r="AT17" s="92">
        <v>906.3</v>
      </c>
      <c r="AU17" s="95" t="s">
        <v>600</v>
      </c>
      <c r="AV17" s="71">
        <v>51</v>
      </c>
      <c r="AW17" s="393">
        <f t="shared" si="11"/>
        <v>46221.299999999996</v>
      </c>
      <c r="AZ17" s="106"/>
      <c r="BA17" s="15">
        <v>10</v>
      </c>
      <c r="BB17" s="92">
        <v>926.2</v>
      </c>
      <c r="BC17" s="244">
        <v>44897</v>
      </c>
      <c r="BD17" s="92">
        <v>926.2</v>
      </c>
      <c r="BE17" s="95" t="s">
        <v>598</v>
      </c>
      <c r="BF17" s="71">
        <v>51</v>
      </c>
      <c r="BG17" s="393">
        <f t="shared" si="12"/>
        <v>47236.200000000004</v>
      </c>
      <c r="BJ17" s="667"/>
      <c r="BK17" s="15">
        <v>10</v>
      </c>
      <c r="BL17" s="92">
        <v>875.88</v>
      </c>
      <c r="BM17" s="135">
        <v>44898</v>
      </c>
      <c r="BN17" s="92">
        <v>875.88</v>
      </c>
      <c r="BO17" s="95" t="s">
        <v>602</v>
      </c>
      <c r="BP17" s="288">
        <v>51</v>
      </c>
      <c r="BQ17" s="481">
        <f t="shared" si="13"/>
        <v>44669.88</v>
      </c>
      <c r="BR17" s="393"/>
      <c r="BT17" s="106"/>
      <c r="BU17" s="15"/>
      <c r="BV17" s="69"/>
      <c r="BW17" s="289"/>
      <c r="BX17" s="69"/>
      <c r="BY17" s="577"/>
      <c r="BZ17" s="290"/>
      <c r="CA17" s="393">
        <f t="shared" si="5"/>
        <v>0</v>
      </c>
      <c r="CD17" s="213"/>
      <c r="CE17" s="15">
        <v>10</v>
      </c>
      <c r="CF17" s="92">
        <v>905.4</v>
      </c>
      <c r="CG17" s="289">
        <v>44901</v>
      </c>
      <c r="CH17" s="92">
        <v>905.4</v>
      </c>
      <c r="CI17" s="291" t="s">
        <v>619</v>
      </c>
      <c r="CJ17" s="290">
        <v>51</v>
      </c>
      <c r="CK17" s="393">
        <f t="shared" si="14"/>
        <v>46175.4</v>
      </c>
      <c r="CN17" s="94"/>
      <c r="CO17" s="15">
        <v>10</v>
      </c>
      <c r="CP17" s="92">
        <v>895.4</v>
      </c>
      <c r="CQ17" s="289">
        <v>44901</v>
      </c>
      <c r="CR17" s="92">
        <v>895.4</v>
      </c>
      <c r="CS17" s="291" t="s">
        <v>626</v>
      </c>
      <c r="CT17" s="290">
        <v>51</v>
      </c>
      <c r="CU17" s="398">
        <f t="shared" si="58"/>
        <v>45665.4</v>
      </c>
      <c r="CX17" s="106"/>
      <c r="CY17" s="15">
        <v>10</v>
      </c>
      <c r="CZ17" s="92">
        <v>914.44</v>
      </c>
      <c r="DA17" s="244">
        <v>44902</v>
      </c>
      <c r="DB17" s="92">
        <v>914.44</v>
      </c>
      <c r="DC17" s="95" t="s">
        <v>633</v>
      </c>
      <c r="DD17" s="71">
        <v>51</v>
      </c>
      <c r="DE17" s="393">
        <f t="shared" si="15"/>
        <v>46636.44</v>
      </c>
      <c r="DH17" s="106"/>
      <c r="DI17" s="15">
        <v>10</v>
      </c>
      <c r="DJ17" s="697">
        <v>861.8</v>
      </c>
      <c r="DK17" s="720">
        <v>44903</v>
      </c>
      <c r="DL17" s="697">
        <v>861.8</v>
      </c>
      <c r="DM17" s="721" t="s">
        <v>648</v>
      </c>
      <c r="DN17" s="722">
        <v>51</v>
      </c>
      <c r="DO17" s="398">
        <f t="shared" si="16"/>
        <v>43951.799999999996</v>
      </c>
      <c r="DR17" s="106"/>
      <c r="DS17" s="15">
        <v>10</v>
      </c>
      <c r="DT17" s="69">
        <v>877.24</v>
      </c>
      <c r="DU17" s="289">
        <v>44903</v>
      </c>
      <c r="DV17" s="69">
        <v>877.24</v>
      </c>
      <c r="DW17" s="291" t="s">
        <v>644</v>
      </c>
      <c r="DX17" s="290">
        <v>51</v>
      </c>
      <c r="DY17" s="393">
        <f t="shared" si="17"/>
        <v>44739.24</v>
      </c>
      <c r="EB17" s="106"/>
      <c r="EC17" s="15">
        <v>10</v>
      </c>
      <c r="ED17" s="69">
        <v>892.7</v>
      </c>
      <c r="EE17" s="252">
        <v>44904</v>
      </c>
      <c r="EF17" s="69">
        <v>892.7</v>
      </c>
      <c r="EG17" s="70" t="s">
        <v>661</v>
      </c>
      <c r="EH17" s="71">
        <v>51</v>
      </c>
      <c r="EI17" s="393">
        <f t="shared" si="18"/>
        <v>45527.700000000004</v>
      </c>
      <c r="EL17" s="106"/>
      <c r="EM17" s="15">
        <v>10</v>
      </c>
      <c r="EN17" s="69">
        <v>940.3</v>
      </c>
      <c r="EO17" s="252">
        <v>44904</v>
      </c>
      <c r="EP17" s="69">
        <v>940.3</v>
      </c>
      <c r="EQ17" s="70" t="s">
        <v>659</v>
      </c>
      <c r="ER17" s="71">
        <v>51</v>
      </c>
      <c r="ES17" s="393">
        <f t="shared" si="19"/>
        <v>47955.299999999996</v>
      </c>
      <c r="EV17" s="106"/>
      <c r="EW17" s="15">
        <v>10</v>
      </c>
      <c r="EX17" s="92">
        <v>920.8</v>
      </c>
      <c r="EY17" s="244">
        <v>44907</v>
      </c>
      <c r="EZ17" s="92">
        <v>920.8</v>
      </c>
      <c r="FA17" s="70" t="s">
        <v>682</v>
      </c>
      <c r="FB17" s="71">
        <v>51</v>
      </c>
      <c r="FC17" s="393">
        <f t="shared" si="20"/>
        <v>46960.799999999996</v>
      </c>
      <c r="FF17" s="106"/>
      <c r="FG17" s="15">
        <v>10</v>
      </c>
      <c r="FH17" s="92">
        <v>911.7</v>
      </c>
      <c r="FI17" s="244">
        <v>44905</v>
      </c>
      <c r="FJ17" s="92">
        <v>911.7</v>
      </c>
      <c r="FK17" s="70" t="s">
        <v>678</v>
      </c>
      <c r="FL17" s="71">
        <v>51</v>
      </c>
      <c r="FM17" s="243">
        <f t="shared" si="21"/>
        <v>46496.700000000004</v>
      </c>
      <c r="FP17" s="106"/>
      <c r="FQ17" s="15">
        <v>10</v>
      </c>
      <c r="FR17" s="92">
        <v>969.78</v>
      </c>
      <c r="FS17" s="244">
        <v>44905</v>
      </c>
      <c r="FT17" s="92">
        <v>969.78</v>
      </c>
      <c r="FU17" s="70" t="s">
        <v>674</v>
      </c>
      <c r="FV17" s="71">
        <v>51</v>
      </c>
      <c r="FW17" s="393">
        <f t="shared" si="22"/>
        <v>49458.78</v>
      </c>
      <c r="FZ17" s="106"/>
      <c r="GA17" s="15">
        <v>10</v>
      </c>
      <c r="GB17" s="69">
        <v>918.1</v>
      </c>
      <c r="GC17" s="252">
        <v>44908</v>
      </c>
      <c r="GD17" s="69">
        <v>918.1</v>
      </c>
      <c r="GE17" s="70" t="s">
        <v>689</v>
      </c>
      <c r="GF17" s="71">
        <v>49</v>
      </c>
      <c r="GG17" s="243">
        <f t="shared" si="23"/>
        <v>44986.9</v>
      </c>
      <c r="GJ17" s="106"/>
      <c r="GK17" s="15">
        <v>10</v>
      </c>
      <c r="GL17" s="352">
        <v>911.7</v>
      </c>
      <c r="GM17" s="244">
        <v>44908</v>
      </c>
      <c r="GN17" s="352">
        <v>911.7</v>
      </c>
      <c r="GO17" s="95" t="s">
        <v>696</v>
      </c>
      <c r="GP17" s="71">
        <v>49</v>
      </c>
      <c r="GQ17" s="393">
        <f t="shared" si="24"/>
        <v>44673.3</v>
      </c>
      <c r="GT17" s="106"/>
      <c r="GU17" s="15">
        <v>10</v>
      </c>
      <c r="GV17" s="92">
        <v>886.3</v>
      </c>
      <c r="GW17" s="244">
        <v>44908</v>
      </c>
      <c r="GX17" s="92">
        <v>886.3</v>
      </c>
      <c r="GY17" s="95" t="s">
        <v>694</v>
      </c>
      <c r="GZ17" s="71">
        <v>49</v>
      </c>
      <c r="HA17" s="393">
        <f t="shared" si="25"/>
        <v>43428.7</v>
      </c>
      <c r="HD17" s="106"/>
      <c r="HE17" s="15">
        <v>10</v>
      </c>
      <c r="HF17" s="92">
        <v>949.82</v>
      </c>
      <c r="HG17" s="244">
        <v>44909</v>
      </c>
      <c r="HH17" s="92">
        <v>949.82</v>
      </c>
      <c r="HI17" s="95" t="s">
        <v>705</v>
      </c>
      <c r="HJ17" s="71">
        <v>49</v>
      </c>
      <c r="HK17" s="393">
        <f t="shared" si="26"/>
        <v>46541.18</v>
      </c>
      <c r="HN17" s="106"/>
      <c r="HO17" s="15">
        <v>10</v>
      </c>
      <c r="HP17" s="92">
        <v>925.32</v>
      </c>
      <c r="HQ17" s="244">
        <v>44909</v>
      </c>
      <c r="HR17" s="92">
        <v>925.32</v>
      </c>
      <c r="HS17" s="292" t="s">
        <v>699</v>
      </c>
      <c r="HT17" s="71">
        <v>49</v>
      </c>
      <c r="HU17" s="243">
        <f t="shared" si="27"/>
        <v>45340.68</v>
      </c>
      <c r="HX17" s="94"/>
      <c r="HY17" s="15">
        <v>10</v>
      </c>
      <c r="HZ17" s="69">
        <v>924.42</v>
      </c>
      <c r="IA17" s="252">
        <v>44910</v>
      </c>
      <c r="IB17" s="69">
        <v>924.42</v>
      </c>
      <c r="IC17" s="70" t="s">
        <v>718</v>
      </c>
      <c r="ID17" s="71">
        <v>49</v>
      </c>
      <c r="IE17" s="393">
        <f t="shared" si="6"/>
        <v>45296.579999999994</v>
      </c>
      <c r="IH17" s="94"/>
      <c r="II17" s="15">
        <v>10</v>
      </c>
      <c r="IJ17" s="69">
        <v>923.5</v>
      </c>
      <c r="IK17" s="252">
        <v>44910</v>
      </c>
      <c r="IL17" s="69">
        <v>923.5</v>
      </c>
      <c r="IM17" s="70" t="s">
        <v>716</v>
      </c>
      <c r="IN17" s="71">
        <v>49</v>
      </c>
      <c r="IO17" s="393">
        <f t="shared" si="28"/>
        <v>45251.5</v>
      </c>
      <c r="IR17" s="106"/>
      <c r="IS17" s="15">
        <v>10</v>
      </c>
      <c r="IT17" s="92">
        <v>898.1</v>
      </c>
      <c r="IU17" s="135">
        <v>44911</v>
      </c>
      <c r="IV17" s="92">
        <v>898.1</v>
      </c>
      <c r="IW17" s="363" t="s">
        <v>730</v>
      </c>
      <c r="IX17" s="71">
        <v>47</v>
      </c>
      <c r="IY17" s="243">
        <f t="shared" si="29"/>
        <v>42210.700000000004</v>
      </c>
      <c r="IZ17" s="92"/>
      <c r="JA17" s="69"/>
      <c r="JB17" s="106"/>
      <c r="JC17" s="15">
        <v>10</v>
      </c>
      <c r="JD17" s="92">
        <v>861.8</v>
      </c>
      <c r="JE17" s="252">
        <v>44911</v>
      </c>
      <c r="JF17" s="92">
        <v>861.8</v>
      </c>
      <c r="JG17" s="70" t="s">
        <v>727</v>
      </c>
      <c r="JH17" s="71">
        <v>47</v>
      </c>
      <c r="JI17" s="393">
        <f t="shared" si="30"/>
        <v>40504.6</v>
      </c>
      <c r="JJ17" s="69"/>
      <c r="JL17" s="106"/>
      <c r="JM17" s="15">
        <v>10</v>
      </c>
      <c r="JN17" s="92">
        <v>908.1</v>
      </c>
      <c r="JO17" s="244">
        <v>44912</v>
      </c>
      <c r="JP17" s="92">
        <v>908.1</v>
      </c>
      <c r="JQ17" s="70" t="s">
        <v>739</v>
      </c>
      <c r="JR17" s="71">
        <v>48</v>
      </c>
      <c r="JS17" s="393">
        <f t="shared" si="31"/>
        <v>43588.800000000003</v>
      </c>
      <c r="JV17" s="106"/>
      <c r="JW17" s="15">
        <v>10</v>
      </c>
      <c r="JX17" s="69">
        <v>898.1</v>
      </c>
      <c r="JY17" s="252">
        <v>44912</v>
      </c>
      <c r="JZ17" s="69">
        <v>898.1</v>
      </c>
      <c r="KA17" s="70" t="s">
        <v>746</v>
      </c>
      <c r="KB17" s="71">
        <v>48</v>
      </c>
      <c r="KC17" s="393">
        <f t="shared" si="32"/>
        <v>43108.800000000003</v>
      </c>
      <c r="KF17" s="106"/>
      <c r="KG17" s="15">
        <v>10</v>
      </c>
      <c r="KH17" s="69">
        <v>906.7</v>
      </c>
      <c r="KI17" s="252">
        <v>44915</v>
      </c>
      <c r="KJ17" s="69">
        <v>906.7</v>
      </c>
      <c r="KK17" s="70" t="s">
        <v>756</v>
      </c>
      <c r="KL17" s="71">
        <v>49</v>
      </c>
      <c r="KM17" s="393">
        <f t="shared" si="33"/>
        <v>44428.3</v>
      </c>
      <c r="KP17" s="106"/>
      <c r="KQ17" s="15">
        <v>10</v>
      </c>
      <c r="KR17" s="69">
        <v>933.49</v>
      </c>
      <c r="KS17" s="252">
        <v>44915</v>
      </c>
      <c r="KT17" s="69">
        <v>933.49</v>
      </c>
      <c r="KU17" s="695" t="s">
        <v>757</v>
      </c>
      <c r="KV17" s="696">
        <v>49</v>
      </c>
      <c r="KW17" s="393">
        <f t="shared" si="34"/>
        <v>45741.01</v>
      </c>
      <c r="KZ17" s="106"/>
      <c r="LA17" s="15">
        <v>10</v>
      </c>
      <c r="LB17" s="92">
        <v>889</v>
      </c>
      <c r="LC17" s="244">
        <v>44916</v>
      </c>
      <c r="LD17" s="92">
        <v>889</v>
      </c>
      <c r="LE17" s="95" t="s">
        <v>771</v>
      </c>
      <c r="LF17" s="71">
        <v>51</v>
      </c>
      <c r="LG17" s="393">
        <f t="shared" si="35"/>
        <v>45339</v>
      </c>
      <c r="LJ17" s="106"/>
      <c r="LK17" s="15">
        <v>10</v>
      </c>
      <c r="LL17" s="92">
        <v>945.74</v>
      </c>
      <c r="LM17" s="244">
        <v>44916</v>
      </c>
      <c r="LN17" s="92">
        <v>945.74</v>
      </c>
      <c r="LO17" s="95" t="s">
        <v>777</v>
      </c>
      <c r="LP17" s="71">
        <v>51</v>
      </c>
      <c r="LQ17" s="393">
        <f t="shared" si="36"/>
        <v>48232.74</v>
      </c>
      <c r="LT17" s="106"/>
      <c r="LU17" s="15">
        <v>10</v>
      </c>
      <c r="LV17" s="69">
        <v>885.9</v>
      </c>
      <c r="LW17" s="244">
        <v>44917</v>
      </c>
      <c r="LX17" s="69">
        <v>885.9</v>
      </c>
      <c r="LY17" s="95" t="s">
        <v>786</v>
      </c>
      <c r="LZ17" s="71">
        <v>53</v>
      </c>
      <c r="MA17" s="393">
        <f t="shared" si="37"/>
        <v>46952.7</v>
      </c>
      <c r="MB17" s="393"/>
      <c r="MD17" s="106"/>
      <c r="ME17" s="15">
        <v>10</v>
      </c>
      <c r="MF17" s="296">
        <v>865.4</v>
      </c>
      <c r="MG17" s="244">
        <v>44916</v>
      </c>
      <c r="MH17" s="296">
        <v>865.4</v>
      </c>
      <c r="MI17" s="95" t="s">
        <v>775</v>
      </c>
      <c r="MJ17" s="71">
        <v>51</v>
      </c>
      <c r="MK17" s="71">
        <f t="shared" si="38"/>
        <v>44135.4</v>
      </c>
      <c r="MN17" s="106"/>
      <c r="MO17" s="15">
        <v>10</v>
      </c>
      <c r="MP17" s="69">
        <v>930.31</v>
      </c>
      <c r="MQ17" s="244">
        <v>44917</v>
      </c>
      <c r="MR17" s="69">
        <v>930.31</v>
      </c>
      <c r="MS17" s="95" t="s">
        <v>789</v>
      </c>
      <c r="MT17" s="71">
        <v>53</v>
      </c>
      <c r="MU17" s="71">
        <f t="shared" si="39"/>
        <v>49306.43</v>
      </c>
      <c r="MX17" s="106"/>
      <c r="MY17" s="15">
        <v>10</v>
      </c>
      <c r="MZ17" s="69">
        <v>877.2</v>
      </c>
      <c r="NA17" s="244">
        <v>44918</v>
      </c>
      <c r="NB17" s="69">
        <v>877.2</v>
      </c>
      <c r="NC17" s="95" t="s">
        <v>801</v>
      </c>
      <c r="ND17" s="71">
        <v>53</v>
      </c>
      <c r="NE17" s="71">
        <f t="shared" si="40"/>
        <v>46491.600000000006</v>
      </c>
      <c r="NH17" s="106"/>
      <c r="NI17" s="15">
        <v>10</v>
      </c>
      <c r="NJ17" s="92">
        <v>907.2</v>
      </c>
      <c r="NK17" s="244">
        <v>44918</v>
      </c>
      <c r="NL17" s="92">
        <v>907.2</v>
      </c>
      <c r="NM17" s="95" t="s">
        <v>809</v>
      </c>
      <c r="NN17" s="71">
        <v>53</v>
      </c>
      <c r="NO17" s="71">
        <f t="shared" si="41"/>
        <v>48081.600000000006</v>
      </c>
      <c r="NR17" s="106"/>
      <c r="NS17" s="15">
        <v>10</v>
      </c>
      <c r="NT17" s="69">
        <v>939.8</v>
      </c>
      <c r="NU17" s="244">
        <v>44918</v>
      </c>
      <c r="NV17" s="69">
        <v>939.8</v>
      </c>
      <c r="NW17" s="95" t="s">
        <v>819</v>
      </c>
      <c r="NX17" s="71">
        <v>53</v>
      </c>
      <c r="NY17" s="71">
        <f t="shared" si="42"/>
        <v>49809.399999999994</v>
      </c>
      <c r="OB17" s="106"/>
      <c r="OC17" s="15">
        <v>10</v>
      </c>
      <c r="OD17" s="92">
        <v>921.7</v>
      </c>
      <c r="OE17" s="244">
        <v>44919</v>
      </c>
      <c r="OF17" s="92">
        <v>921.7</v>
      </c>
      <c r="OG17" s="95" t="s">
        <v>825</v>
      </c>
      <c r="OH17" s="71">
        <v>53</v>
      </c>
      <c r="OI17" s="71">
        <f t="shared" si="43"/>
        <v>48850.100000000006</v>
      </c>
      <c r="OL17" s="106"/>
      <c r="OM17" s="15">
        <v>10</v>
      </c>
      <c r="ON17" s="69">
        <v>935.3</v>
      </c>
      <c r="OO17" s="244">
        <v>44919</v>
      </c>
      <c r="OP17" s="69">
        <v>935.3</v>
      </c>
      <c r="OQ17" s="95" t="s">
        <v>823</v>
      </c>
      <c r="OR17" s="71">
        <v>53</v>
      </c>
      <c r="OS17" s="71">
        <f t="shared" si="44"/>
        <v>49570.899999999994</v>
      </c>
      <c r="OV17" s="106"/>
      <c r="OW17" s="15">
        <v>10</v>
      </c>
      <c r="OX17" s="69">
        <v>904.5</v>
      </c>
      <c r="OY17" s="244">
        <v>44921</v>
      </c>
      <c r="OZ17" s="69">
        <v>904.5</v>
      </c>
      <c r="PA17" s="95" t="s">
        <v>830</v>
      </c>
      <c r="PB17" s="71">
        <v>53</v>
      </c>
      <c r="PC17" s="71">
        <f t="shared" si="45"/>
        <v>47938.5</v>
      </c>
      <c r="PF17" s="94"/>
      <c r="PG17" s="15">
        <v>10</v>
      </c>
      <c r="PH17" s="92">
        <v>870.4</v>
      </c>
      <c r="PI17" s="244">
        <v>44924</v>
      </c>
      <c r="PJ17" s="92">
        <v>870.4</v>
      </c>
      <c r="PK17" s="95" t="s">
        <v>806</v>
      </c>
      <c r="PL17" s="71">
        <v>53</v>
      </c>
      <c r="PM17" s="71">
        <f t="shared" si="46"/>
        <v>46131.199999999997</v>
      </c>
      <c r="PN17" s="71"/>
      <c r="PQ17" s="106"/>
      <c r="PR17" s="15">
        <v>10</v>
      </c>
      <c r="PS17" s="69">
        <v>880.9</v>
      </c>
      <c r="PT17" s="244">
        <v>44924</v>
      </c>
      <c r="PU17" s="69">
        <v>880.9</v>
      </c>
      <c r="PV17" s="95" t="s">
        <v>848</v>
      </c>
      <c r="PW17" s="71">
        <v>53</v>
      </c>
      <c r="PX17" s="71">
        <f t="shared" si="47"/>
        <v>46687.7</v>
      </c>
      <c r="QA17" s="106"/>
      <c r="QB17" s="15">
        <v>10</v>
      </c>
      <c r="QC17" s="69">
        <v>935.76</v>
      </c>
      <c r="QD17" s="135">
        <v>44924</v>
      </c>
      <c r="QE17" s="69">
        <v>935.76</v>
      </c>
      <c r="QF17" s="95" t="s">
        <v>844</v>
      </c>
      <c r="QG17" s="71">
        <v>53</v>
      </c>
      <c r="QH17" s="71">
        <f t="shared" si="48"/>
        <v>49595.28</v>
      </c>
      <c r="QK17" s="106"/>
      <c r="QL17" s="15">
        <v>10</v>
      </c>
      <c r="QM17" s="69">
        <v>884</v>
      </c>
      <c r="QN17" s="244">
        <v>44928</v>
      </c>
      <c r="QO17" s="69">
        <v>884</v>
      </c>
      <c r="QP17" s="95" t="s">
        <v>870</v>
      </c>
      <c r="QQ17" s="71">
        <v>53</v>
      </c>
      <c r="QR17" s="71">
        <f t="shared" si="49"/>
        <v>46852</v>
      </c>
      <c r="QU17" s="106"/>
      <c r="QV17" s="15">
        <v>10</v>
      </c>
      <c r="QW17" s="69">
        <v>871.3</v>
      </c>
      <c r="QX17" s="244">
        <v>44926</v>
      </c>
      <c r="QY17" s="69">
        <v>871.3</v>
      </c>
      <c r="QZ17" s="95" t="s">
        <v>860</v>
      </c>
      <c r="RA17" s="71">
        <v>53</v>
      </c>
      <c r="RB17" s="71">
        <f t="shared" si="50"/>
        <v>46178.899999999994</v>
      </c>
      <c r="RE17" s="106"/>
      <c r="RF17" s="15">
        <v>10</v>
      </c>
      <c r="RG17" s="69">
        <v>881.8</v>
      </c>
      <c r="RH17" s="244">
        <v>44930</v>
      </c>
      <c r="RI17" s="69">
        <v>881.8</v>
      </c>
      <c r="RJ17" s="95" t="s">
        <v>889</v>
      </c>
      <c r="RK17" s="71">
        <v>47</v>
      </c>
      <c r="RL17" s="71">
        <f t="shared" si="51"/>
        <v>41444.6</v>
      </c>
      <c r="RO17" s="106"/>
      <c r="RP17" s="15">
        <v>10</v>
      </c>
      <c r="RQ17" s="69">
        <v>930.8</v>
      </c>
      <c r="RR17" s="244">
        <v>44930</v>
      </c>
      <c r="RS17" s="69">
        <v>930.8</v>
      </c>
      <c r="RT17" s="95" t="s">
        <v>885</v>
      </c>
      <c r="RU17" s="71">
        <v>49</v>
      </c>
      <c r="RV17" s="71">
        <f t="shared" si="52"/>
        <v>45609.2</v>
      </c>
      <c r="RY17" s="106"/>
      <c r="RZ17" s="15">
        <v>10</v>
      </c>
      <c r="SA17" s="69">
        <v>908.09</v>
      </c>
      <c r="SB17" s="135">
        <v>44931</v>
      </c>
      <c r="SC17" s="69">
        <v>908.09</v>
      </c>
      <c r="SD17" s="95" t="s">
        <v>892</v>
      </c>
      <c r="SE17" s="71">
        <v>47</v>
      </c>
      <c r="SF17" s="71">
        <f t="shared" si="53"/>
        <v>42680.23</v>
      </c>
      <c r="SI17" s="106"/>
      <c r="SJ17" s="15">
        <v>10</v>
      </c>
      <c r="SK17" s="697">
        <v>930.77</v>
      </c>
      <c r="SL17" s="836">
        <v>44932</v>
      </c>
      <c r="SM17" s="694">
        <v>930.77</v>
      </c>
      <c r="SN17" s="944" t="s">
        <v>904</v>
      </c>
      <c r="SO17" s="696">
        <v>47</v>
      </c>
      <c r="SP17" s="696">
        <f t="shared" si="54"/>
        <v>43746.19</v>
      </c>
      <c r="SS17" s="106"/>
      <c r="ST17" s="15">
        <v>10</v>
      </c>
      <c r="SU17" s="69">
        <v>880</v>
      </c>
      <c r="SV17" s="244">
        <v>44933</v>
      </c>
      <c r="SW17" s="69">
        <v>880</v>
      </c>
      <c r="SX17" s="95" t="s">
        <v>909</v>
      </c>
      <c r="SY17" s="71">
        <v>45</v>
      </c>
      <c r="SZ17" s="71">
        <f t="shared" si="55"/>
        <v>39600</v>
      </c>
      <c r="TC17" s="106"/>
      <c r="TD17" s="15">
        <v>10</v>
      </c>
      <c r="TE17" s="69">
        <v>935.3</v>
      </c>
      <c r="TF17" s="244">
        <v>44933</v>
      </c>
      <c r="TG17" s="69">
        <v>935.3</v>
      </c>
      <c r="TH17" s="95" t="s">
        <v>913</v>
      </c>
      <c r="TI17" s="71">
        <v>45</v>
      </c>
      <c r="TJ17" s="71">
        <f t="shared" si="56"/>
        <v>42088.5</v>
      </c>
      <c r="TM17" s="106"/>
      <c r="TN17" s="15">
        <v>10</v>
      </c>
      <c r="TO17" s="69"/>
      <c r="TP17" s="295"/>
      <c r="TQ17" s="168"/>
      <c r="TR17" s="291"/>
      <c r="TS17" s="290"/>
      <c r="TT17" s="290"/>
      <c r="TW17" s="106"/>
      <c r="TX17" s="15">
        <v>10</v>
      </c>
      <c r="TY17" s="69"/>
      <c r="TZ17" s="79"/>
      <c r="UA17" s="92"/>
      <c r="UB17" s="95"/>
      <c r="UC17" s="71"/>
      <c r="UF17" s="106"/>
      <c r="UG17" s="15">
        <v>10</v>
      </c>
      <c r="UH17" s="69"/>
      <c r="UI17" s="79"/>
      <c r="UJ17" s="69"/>
      <c r="UK17" s="95"/>
      <c r="UL17" s="71"/>
      <c r="UO17" s="106"/>
      <c r="UP17" s="15">
        <v>10</v>
      </c>
      <c r="UQ17" s="69"/>
      <c r="UR17" s="79"/>
      <c r="US17" s="92"/>
      <c r="UT17" s="95"/>
      <c r="UU17" s="71"/>
      <c r="UX17" s="106"/>
      <c r="UY17" s="15">
        <v>10</v>
      </c>
      <c r="UZ17" s="69"/>
      <c r="VA17" s="79"/>
      <c r="VB17" s="69"/>
      <c r="VC17" s="95"/>
      <c r="VD17" s="71"/>
      <c r="VG17" s="106"/>
      <c r="VH17" s="15">
        <v>10</v>
      </c>
      <c r="VI17" s="69"/>
      <c r="VJ17" s="79"/>
      <c r="VK17" s="69"/>
      <c r="VL17" s="95"/>
      <c r="VM17" s="71"/>
      <c r="VP17" s="106"/>
      <c r="VQ17" s="15">
        <v>10</v>
      </c>
      <c r="VR17" s="69"/>
      <c r="VS17" s="79"/>
      <c r="VT17" s="69"/>
      <c r="VU17" s="95"/>
      <c r="VV17" s="71"/>
      <c r="VY17" s="106"/>
      <c r="VZ17" s="15">
        <v>10</v>
      </c>
      <c r="WA17" s="69"/>
      <c r="WB17" s="79"/>
      <c r="WC17" s="92"/>
      <c r="WD17" s="95"/>
      <c r="WE17" s="71"/>
      <c r="WH17" s="106"/>
      <c r="WI17" s="15">
        <v>10</v>
      </c>
      <c r="WJ17" s="69"/>
      <c r="WK17" s="79"/>
      <c r="WL17" s="69"/>
      <c r="WM17" s="95"/>
      <c r="WN17" s="71"/>
      <c r="WQ17" s="106"/>
      <c r="WR17" s="15">
        <v>10</v>
      </c>
      <c r="WS17" s="69"/>
      <c r="WT17" s="79"/>
      <c r="WU17" s="92"/>
      <c r="WV17" s="95"/>
      <c r="WW17" s="71"/>
      <c r="WZ17" s="106"/>
      <c r="XA17" s="15">
        <v>10</v>
      </c>
      <c r="XB17" s="69"/>
      <c r="XC17" s="79"/>
      <c r="XD17" s="92"/>
      <c r="XE17" s="95"/>
      <c r="XF17" s="71"/>
      <c r="XI17" s="106"/>
      <c r="XJ17" s="15">
        <v>10</v>
      </c>
      <c r="XK17" s="69"/>
      <c r="XL17" s="79"/>
      <c r="XM17" s="69"/>
      <c r="XN17" s="95"/>
      <c r="XO17" s="71"/>
      <c r="XR17" s="106"/>
      <c r="XS17" s="15">
        <v>10</v>
      </c>
      <c r="XT17" s="69"/>
      <c r="XU17" s="79"/>
      <c r="XV17" s="92"/>
      <c r="XW17" s="95"/>
      <c r="XX17" s="71"/>
      <c r="YA17" s="106"/>
      <c r="YB17" s="15">
        <v>10</v>
      </c>
      <c r="YC17" s="69"/>
      <c r="YD17" s="79"/>
      <c r="YE17" s="92"/>
      <c r="YF17" s="95"/>
      <c r="YG17" s="71"/>
      <c r="YJ17" s="106"/>
      <c r="YK17" s="15">
        <v>10</v>
      </c>
      <c r="YL17" s="69"/>
      <c r="YM17" s="79"/>
      <c r="YN17" s="92"/>
      <c r="YO17" s="95"/>
      <c r="YP17" s="71"/>
      <c r="YS17" s="106"/>
      <c r="YT17" s="15">
        <v>10</v>
      </c>
      <c r="YU17" s="69"/>
      <c r="YV17" s="79"/>
      <c r="YW17" s="92"/>
      <c r="YX17" s="95"/>
      <c r="YY17" s="71"/>
      <c r="ZB17" s="106"/>
      <c r="ZC17" s="15">
        <v>10</v>
      </c>
      <c r="ZD17" s="69"/>
      <c r="ZE17" s="79"/>
      <c r="ZF17" s="92"/>
      <c r="ZG17" s="95"/>
      <c r="ZH17" s="71"/>
      <c r="ZK17" s="106"/>
      <c r="ZL17" s="15">
        <v>10</v>
      </c>
      <c r="ZM17" s="69"/>
      <c r="ZN17" s="79"/>
      <c r="ZO17" s="92"/>
      <c r="ZP17" s="95"/>
      <c r="ZQ17" s="71"/>
      <c r="ZT17" s="106"/>
      <c r="ZU17" s="15">
        <v>10</v>
      </c>
      <c r="ZV17" s="69"/>
      <c r="ZW17" s="79"/>
      <c r="ZX17" s="92"/>
      <c r="ZY17" s="95"/>
      <c r="ZZ17" s="71"/>
      <c r="AAC17" s="106"/>
      <c r="AAD17" s="15">
        <v>10</v>
      </c>
      <c r="AAE17" s="69"/>
      <c r="AAF17" s="79"/>
      <c r="AAG17" s="69"/>
      <c r="AAH17" s="95"/>
      <c r="AAI17" s="71"/>
      <c r="AAL17" s="106"/>
      <c r="AAM17" s="15">
        <v>10</v>
      </c>
      <c r="AAN17" s="69"/>
      <c r="AAO17" s="79"/>
      <c r="AAP17" s="92"/>
      <c r="AAQ17" s="95"/>
      <c r="AAR17" s="71"/>
      <c r="AAU17" s="106"/>
      <c r="AAV17" s="15">
        <v>10</v>
      </c>
      <c r="AAW17" s="69"/>
      <c r="AAX17" s="79"/>
      <c r="AAY17" s="92"/>
      <c r="AAZ17" s="95"/>
      <c r="ABA17" s="71"/>
      <c r="ABD17" s="106"/>
      <c r="ABE17" s="15">
        <v>10</v>
      </c>
      <c r="ABF17" s="69"/>
      <c r="ABG17" s="79"/>
      <c r="ABH17" s="92"/>
      <c r="ABI17" s="95"/>
      <c r="ABJ17" s="71"/>
      <c r="ABM17" s="106"/>
      <c r="ABN17" s="15">
        <v>10</v>
      </c>
      <c r="ABO17" s="69"/>
      <c r="ABP17" s="79"/>
      <c r="ABQ17" s="92"/>
      <c r="ABR17" s="95"/>
      <c r="ABS17" s="71"/>
      <c r="ABV17" s="106"/>
      <c r="ABW17" s="15">
        <v>10</v>
      </c>
      <c r="ABX17" s="69"/>
      <c r="ABY17" s="79"/>
      <c r="ABZ17" s="92"/>
      <c r="ACA17" s="95"/>
      <c r="ACB17" s="71"/>
      <c r="ACE17" s="106"/>
      <c r="ACF17" s="15">
        <v>10</v>
      </c>
      <c r="ACG17" s="69"/>
      <c r="ACH17" s="79"/>
      <c r="ACI17" s="92"/>
      <c r="ACJ17" s="95"/>
      <c r="ACK17" s="71"/>
      <c r="ACN17" s="106"/>
      <c r="ACO17" s="15">
        <v>10</v>
      </c>
      <c r="ACP17" s="69"/>
      <c r="ACQ17" s="79"/>
      <c r="ACR17" s="92"/>
      <c r="ACS17" s="95"/>
      <c r="ACT17" s="71"/>
      <c r="ACW17" s="106"/>
      <c r="ACX17" s="15">
        <v>10</v>
      </c>
      <c r="ACY17" s="69"/>
      <c r="ACZ17" s="79"/>
      <c r="ADA17" s="92"/>
      <c r="ADB17" s="95"/>
      <c r="ADC17" s="71"/>
      <c r="ADF17" s="106"/>
      <c r="ADG17" s="15">
        <v>10</v>
      </c>
      <c r="ADH17" s="69"/>
      <c r="ADI17" s="79"/>
      <c r="ADJ17" s="92"/>
      <c r="ADK17" s="95"/>
      <c r="ADL17" s="71"/>
      <c r="ADO17" s="106"/>
      <c r="ADP17" s="15">
        <v>10</v>
      </c>
      <c r="ADQ17" s="69"/>
      <c r="ADR17" s="79"/>
      <c r="ADS17" s="92"/>
      <c r="ADT17" s="95"/>
      <c r="ADU17" s="71"/>
      <c r="ADX17" s="106"/>
      <c r="ADY17" s="15">
        <v>10</v>
      </c>
      <c r="ADZ17" s="69"/>
      <c r="AEA17" s="79"/>
      <c r="AEB17" s="92"/>
      <c r="AEC17" s="95"/>
      <c r="AED17" s="71"/>
      <c r="AEG17" s="106"/>
      <c r="AEH17" s="15">
        <v>10</v>
      </c>
      <c r="AEI17" s="69"/>
      <c r="AEJ17" s="79"/>
      <c r="AEK17" s="92"/>
      <c r="AEL17" s="95"/>
      <c r="AEM17" s="71"/>
      <c r="AEP17" s="106"/>
      <c r="AEQ17" s="15">
        <v>10</v>
      </c>
      <c r="AER17" s="69"/>
      <c r="AES17" s="79"/>
      <c r="AET17" s="92"/>
      <c r="AEU17" s="95"/>
      <c r="AEV17" s="71"/>
      <c r="AEY17" s="106"/>
      <c r="AEZ17" s="15">
        <v>10</v>
      </c>
      <c r="AFA17" s="69"/>
      <c r="AFB17" s="79"/>
      <c r="AFC17" s="92"/>
      <c r="AFD17" s="95"/>
      <c r="AFE17" s="71"/>
    </row>
    <row r="18" spans="1:840" x14ac:dyDescent="0.25">
      <c r="A18" s="137">
        <v>15</v>
      </c>
      <c r="B18" s="75" t="str">
        <f t="shared" ref="B18:I18" si="66">EU5</f>
        <v>SEABOARD FOODS</v>
      </c>
      <c r="C18" s="75" t="str">
        <f t="shared" si="66"/>
        <v>Seaboard</v>
      </c>
      <c r="D18" s="102" t="str">
        <f t="shared" si="66"/>
        <v>PED. 90825608</v>
      </c>
      <c r="E18" s="135">
        <f t="shared" si="66"/>
        <v>44904</v>
      </c>
      <c r="F18" s="86">
        <f t="shared" si="66"/>
        <v>18790.439999999999</v>
      </c>
      <c r="G18" s="73">
        <f t="shared" si="66"/>
        <v>21</v>
      </c>
      <c r="H18" s="48">
        <f t="shared" si="66"/>
        <v>18821</v>
      </c>
      <c r="I18" s="105">
        <f t="shared" si="66"/>
        <v>-30.56000000000131</v>
      </c>
      <c r="L18" s="106"/>
      <c r="M18" s="15">
        <v>11</v>
      </c>
      <c r="N18" s="69">
        <v>862.7</v>
      </c>
      <c r="O18" s="252">
        <v>44895</v>
      </c>
      <c r="P18" s="69">
        <v>862.7</v>
      </c>
      <c r="Q18" s="70" t="s">
        <v>584</v>
      </c>
      <c r="R18" s="71">
        <v>51</v>
      </c>
      <c r="S18" s="393">
        <f t="shared" si="8"/>
        <v>43997.700000000004</v>
      </c>
      <c r="V18" s="106"/>
      <c r="W18" s="15">
        <v>11</v>
      </c>
      <c r="X18" s="69">
        <v>891.8</v>
      </c>
      <c r="Y18" s="252">
        <v>44895</v>
      </c>
      <c r="Z18" s="69">
        <v>891.8</v>
      </c>
      <c r="AA18" s="695" t="s">
        <v>583</v>
      </c>
      <c r="AB18" s="696">
        <v>51</v>
      </c>
      <c r="AC18" s="393">
        <f t="shared" si="9"/>
        <v>45481.799999999996</v>
      </c>
      <c r="AF18" s="106"/>
      <c r="AG18" s="15">
        <v>11</v>
      </c>
      <c r="AH18" s="92">
        <v>975.22</v>
      </c>
      <c r="AI18" s="244">
        <v>44896</v>
      </c>
      <c r="AJ18" s="92">
        <v>975.22</v>
      </c>
      <c r="AK18" s="95" t="s">
        <v>588</v>
      </c>
      <c r="AL18" s="71">
        <v>51</v>
      </c>
      <c r="AM18" s="393">
        <f t="shared" si="10"/>
        <v>49736.22</v>
      </c>
      <c r="AP18" s="106"/>
      <c r="AQ18" s="15">
        <v>11</v>
      </c>
      <c r="AR18" s="92">
        <v>930.8</v>
      </c>
      <c r="AS18" s="244">
        <v>44897</v>
      </c>
      <c r="AT18" s="92">
        <v>930.8</v>
      </c>
      <c r="AU18" s="95" t="s">
        <v>595</v>
      </c>
      <c r="AV18" s="71">
        <v>51</v>
      </c>
      <c r="AW18" s="393">
        <f t="shared" si="11"/>
        <v>47470.799999999996</v>
      </c>
      <c r="AZ18" s="106"/>
      <c r="BA18" s="15">
        <v>11</v>
      </c>
      <c r="BB18" s="92">
        <v>915.3</v>
      </c>
      <c r="BC18" s="244">
        <v>44897</v>
      </c>
      <c r="BD18" s="92">
        <v>915.3</v>
      </c>
      <c r="BE18" s="95" t="s">
        <v>599</v>
      </c>
      <c r="BF18" s="71">
        <v>51</v>
      </c>
      <c r="BG18" s="393">
        <f t="shared" si="12"/>
        <v>46680.299999999996</v>
      </c>
      <c r="BJ18" s="667"/>
      <c r="BK18" s="15">
        <v>11</v>
      </c>
      <c r="BL18" s="92">
        <v>888.13</v>
      </c>
      <c r="BM18" s="135">
        <v>44898</v>
      </c>
      <c r="BN18" s="92">
        <v>888.13</v>
      </c>
      <c r="BO18" s="95" t="s">
        <v>609</v>
      </c>
      <c r="BP18" s="288">
        <v>51</v>
      </c>
      <c r="BQ18" s="481">
        <f t="shared" si="13"/>
        <v>45294.63</v>
      </c>
      <c r="BR18" s="393"/>
      <c r="BT18" s="106"/>
      <c r="BU18" s="15"/>
      <c r="BV18" s="92"/>
      <c r="BW18" s="289"/>
      <c r="BX18" s="92"/>
      <c r="BY18" s="577"/>
      <c r="BZ18" s="290"/>
      <c r="CA18" s="393">
        <f t="shared" si="5"/>
        <v>0</v>
      </c>
      <c r="CD18" s="213"/>
      <c r="CE18" s="15">
        <v>11</v>
      </c>
      <c r="CF18" s="69">
        <v>906.3</v>
      </c>
      <c r="CG18" s="289">
        <v>44901</v>
      </c>
      <c r="CH18" s="69">
        <v>906.3</v>
      </c>
      <c r="CI18" s="291" t="s">
        <v>620</v>
      </c>
      <c r="CJ18" s="290">
        <v>51</v>
      </c>
      <c r="CK18" s="393">
        <f t="shared" si="14"/>
        <v>46221.299999999996</v>
      </c>
      <c r="CN18" s="94"/>
      <c r="CO18" s="15">
        <v>11</v>
      </c>
      <c r="CP18" s="69">
        <v>873.6</v>
      </c>
      <c r="CQ18" s="289">
        <v>44901</v>
      </c>
      <c r="CR18" s="69">
        <v>873.6</v>
      </c>
      <c r="CS18" s="291" t="s">
        <v>627</v>
      </c>
      <c r="CT18" s="290">
        <v>51</v>
      </c>
      <c r="CU18" s="398">
        <f t="shared" si="58"/>
        <v>44553.599999999999</v>
      </c>
      <c r="CX18" s="106"/>
      <c r="CY18" s="15">
        <v>11</v>
      </c>
      <c r="CZ18" s="92">
        <v>928.5</v>
      </c>
      <c r="DA18" s="244">
        <v>44902</v>
      </c>
      <c r="DB18" s="92">
        <v>928.5</v>
      </c>
      <c r="DC18" s="95" t="s">
        <v>632</v>
      </c>
      <c r="DD18" s="71">
        <v>51</v>
      </c>
      <c r="DE18" s="393">
        <f t="shared" si="15"/>
        <v>47353.5</v>
      </c>
      <c r="DH18" s="106"/>
      <c r="DI18" s="15">
        <v>11</v>
      </c>
      <c r="DJ18" s="694">
        <v>877.2</v>
      </c>
      <c r="DK18" s="720">
        <v>44903</v>
      </c>
      <c r="DL18" s="694">
        <v>877.2</v>
      </c>
      <c r="DM18" s="721" t="s">
        <v>649</v>
      </c>
      <c r="DN18" s="722">
        <v>51</v>
      </c>
      <c r="DO18" s="398">
        <f t="shared" si="16"/>
        <v>44737.200000000004</v>
      </c>
      <c r="DR18" s="106"/>
      <c r="DS18" s="15">
        <v>11</v>
      </c>
      <c r="DT18" s="92">
        <v>912.17</v>
      </c>
      <c r="DU18" s="289">
        <v>44903</v>
      </c>
      <c r="DV18" s="92">
        <v>912.17</v>
      </c>
      <c r="DW18" s="291" t="s">
        <v>645</v>
      </c>
      <c r="DX18" s="290">
        <v>51</v>
      </c>
      <c r="DY18" s="393">
        <f t="shared" si="17"/>
        <v>46520.67</v>
      </c>
      <c r="EB18" s="106"/>
      <c r="EC18" s="15">
        <v>11</v>
      </c>
      <c r="ED18" s="69">
        <v>889.9</v>
      </c>
      <c r="EE18" s="252">
        <v>44904</v>
      </c>
      <c r="EF18" s="69">
        <v>889.9</v>
      </c>
      <c r="EG18" s="70" t="s">
        <v>662</v>
      </c>
      <c r="EH18" s="71">
        <v>51</v>
      </c>
      <c r="EI18" s="393">
        <f t="shared" si="18"/>
        <v>45384.9</v>
      </c>
      <c r="EL18" s="106"/>
      <c r="EM18" s="15">
        <v>11</v>
      </c>
      <c r="EN18" s="69">
        <v>877.7</v>
      </c>
      <c r="EO18" s="252">
        <v>44904</v>
      </c>
      <c r="EP18" s="69">
        <v>877.7</v>
      </c>
      <c r="EQ18" s="70" t="s">
        <v>660</v>
      </c>
      <c r="ER18" s="71">
        <v>51</v>
      </c>
      <c r="ES18" s="393">
        <f t="shared" si="19"/>
        <v>44762.700000000004</v>
      </c>
      <c r="EV18" s="106"/>
      <c r="EW18" s="15">
        <v>11</v>
      </c>
      <c r="EX18" s="92">
        <v>900.8</v>
      </c>
      <c r="EY18" s="244">
        <v>44904</v>
      </c>
      <c r="EZ18" s="92">
        <v>900.8</v>
      </c>
      <c r="FA18" s="70" t="s">
        <v>664</v>
      </c>
      <c r="FB18" s="71">
        <v>51</v>
      </c>
      <c r="FC18" s="393">
        <f t="shared" si="20"/>
        <v>45940.799999999996</v>
      </c>
      <c r="FF18" s="106"/>
      <c r="FG18" s="15">
        <v>11</v>
      </c>
      <c r="FH18" s="92">
        <v>878.2</v>
      </c>
      <c r="FI18" s="244">
        <v>44905</v>
      </c>
      <c r="FJ18" s="92">
        <v>878.2</v>
      </c>
      <c r="FK18" s="70" t="s">
        <v>679</v>
      </c>
      <c r="FL18" s="71">
        <v>51</v>
      </c>
      <c r="FM18" s="243">
        <f t="shared" si="21"/>
        <v>44788.200000000004</v>
      </c>
      <c r="FP18" s="106"/>
      <c r="FQ18" s="15">
        <v>11</v>
      </c>
      <c r="FR18" s="92">
        <v>948.91</v>
      </c>
      <c r="FS18" s="244">
        <v>44905</v>
      </c>
      <c r="FT18" s="92">
        <v>948.91</v>
      </c>
      <c r="FU18" s="70" t="s">
        <v>675</v>
      </c>
      <c r="FV18" s="71">
        <v>51</v>
      </c>
      <c r="FW18" s="393">
        <f t="shared" si="22"/>
        <v>48394.409999999996</v>
      </c>
      <c r="FX18" s="71"/>
      <c r="FZ18" s="106"/>
      <c r="GA18" s="15">
        <v>11</v>
      </c>
      <c r="GB18" s="69">
        <v>924.4</v>
      </c>
      <c r="GC18" s="252">
        <v>44908</v>
      </c>
      <c r="GD18" s="69">
        <v>924.4</v>
      </c>
      <c r="GE18" s="70" t="s">
        <v>688</v>
      </c>
      <c r="GF18" s="71">
        <v>49</v>
      </c>
      <c r="GG18" s="243">
        <f t="shared" si="23"/>
        <v>45295.6</v>
      </c>
      <c r="GH18" s="71"/>
      <c r="GJ18" s="106"/>
      <c r="GK18" s="15">
        <v>11</v>
      </c>
      <c r="GL18" s="352">
        <v>882.7</v>
      </c>
      <c r="GM18" s="244">
        <v>44908</v>
      </c>
      <c r="GN18" s="352">
        <v>882.7</v>
      </c>
      <c r="GO18" s="95" t="s">
        <v>697</v>
      </c>
      <c r="GP18" s="71">
        <v>49</v>
      </c>
      <c r="GQ18" s="393">
        <f t="shared" si="24"/>
        <v>43252.3</v>
      </c>
      <c r="GT18" s="106"/>
      <c r="GU18" s="15">
        <v>11</v>
      </c>
      <c r="GV18" s="92">
        <v>930.8</v>
      </c>
      <c r="GW18" s="244">
        <v>44908</v>
      </c>
      <c r="GX18" s="92">
        <v>930.8</v>
      </c>
      <c r="GY18" s="95" t="s">
        <v>695</v>
      </c>
      <c r="GZ18" s="71">
        <v>49</v>
      </c>
      <c r="HA18" s="393">
        <f t="shared" si="25"/>
        <v>45609.2</v>
      </c>
      <c r="HD18" s="106"/>
      <c r="HE18" s="15">
        <v>11</v>
      </c>
      <c r="HF18" s="92">
        <v>951.63</v>
      </c>
      <c r="HG18" s="244">
        <v>44909</v>
      </c>
      <c r="HH18" s="92">
        <v>951.63</v>
      </c>
      <c r="HI18" s="95" t="s">
        <v>705</v>
      </c>
      <c r="HJ18" s="71">
        <v>49</v>
      </c>
      <c r="HK18" s="393">
        <f t="shared" si="26"/>
        <v>46629.87</v>
      </c>
      <c r="HN18" s="106"/>
      <c r="HO18" s="15">
        <v>11</v>
      </c>
      <c r="HP18" s="92">
        <v>966.15</v>
      </c>
      <c r="HQ18" s="244">
        <v>44910</v>
      </c>
      <c r="HR18" s="92">
        <v>966.15</v>
      </c>
      <c r="HS18" s="292" t="s">
        <v>710</v>
      </c>
      <c r="HT18" s="71">
        <v>49</v>
      </c>
      <c r="HU18" s="243">
        <f t="shared" si="27"/>
        <v>47341.35</v>
      </c>
      <c r="HX18" s="94"/>
      <c r="HY18" s="15">
        <v>11</v>
      </c>
      <c r="HZ18" s="69">
        <v>924.42</v>
      </c>
      <c r="IA18" s="252">
        <v>44910</v>
      </c>
      <c r="IB18" s="69">
        <v>924.42</v>
      </c>
      <c r="IC18" s="70" t="s">
        <v>707</v>
      </c>
      <c r="ID18" s="71">
        <v>49</v>
      </c>
      <c r="IE18" s="393">
        <f t="shared" si="6"/>
        <v>45296.579999999994</v>
      </c>
      <c r="IH18" s="94"/>
      <c r="II18" s="15">
        <v>11</v>
      </c>
      <c r="IJ18" s="69">
        <v>907.2</v>
      </c>
      <c r="IK18" s="252">
        <v>44910</v>
      </c>
      <c r="IL18" s="69">
        <v>907.2</v>
      </c>
      <c r="IM18" s="70" t="s">
        <v>717</v>
      </c>
      <c r="IN18" s="71">
        <v>49</v>
      </c>
      <c r="IO18" s="393">
        <f t="shared" si="28"/>
        <v>44452.800000000003</v>
      </c>
      <c r="IR18" s="106"/>
      <c r="IS18" s="15">
        <v>11</v>
      </c>
      <c r="IT18" s="92">
        <v>929.9</v>
      </c>
      <c r="IU18" s="135">
        <v>44911</v>
      </c>
      <c r="IV18" s="92">
        <v>929.9</v>
      </c>
      <c r="IW18" s="363" t="s">
        <v>731</v>
      </c>
      <c r="IX18" s="71">
        <v>47</v>
      </c>
      <c r="IY18" s="243">
        <f t="shared" si="29"/>
        <v>43705.299999999996</v>
      </c>
      <c r="IZ18" s="92"/>
      <c r="JA18" s="69"/>
      <c r="JB18" s="106"/>
      <c r="JC18" s="15">
        <v>11</v>
      </c>
      <c r="JD18" s="92">
        <v>894.5</v>
      </c>
      <c r="JE18" s="252">
        <v>44911</v>
      </c>
      <c r="JF18" s="92">
        <v>894.5</v>
      </c>
      <c r="JG18" s="70" t="s">
        <v>727</v>
      </c>
      <c r="JH18" s="71">
        <v>47</v>
      </c>
      <c r="JI18" s="393">
        <f t="shared" si="30"/>
        <v>42041.5</v>
      </c>
      <c r="JJ18" s="105"/>
      <c r="JL18" s="106"/>
      <c r="JM18" s="15">
        <v>11</v>
      </c>
      <c r="JN18" s="92">
        <v>938</v>
      </c>
      <c r="JO18" s="244">
        <v>44912</v>
      </c>
      <c r="JP18" s="92">
        <v>938</v>
      </c>
      <c r="JQ18" s="70" t="s">
        <v>738</v>
      </c>
      <c r="JR18" s="71">
        <v>48</v>
      </c>
      <c r="JS18" s="393">
        <f t="shared" si="31"/>
        <v>45024</v>
      </c>
      <c r="JV18" s="106"/>
      <c r="JW18" s="15">
        <v>11</v>
      </c>
      <c r="JX18" s="69">
        <v>924.4</v>
      </c>
      <c r="JY18" s="252">
        <v>44912</v>
      </c>
      <c r="JZ18" s="69">
        <v>924.4</v>
      </c>
      <c r="KA18" s="70" t="s">
        <v>709</v>
      </c>
      <c r="KB18" s="71">
        <v>48</v>
      </c>
      <c r="KC18" s="393">
        <f t="shared" si="32"/>
        <v>44371.199999999997</v>
      </c>
      <c r="KF18" s="106"/>
      <c r="KG18" s="15">
        <v>11</v>
      </c>
      <c r="KH18" s="69">
        <v>903.1</v>
      </c>
      <c r="KI18" s="252">
        <v>44915</v>
      </c>
      <c r="KJ18" s="69">
        <v>903.1</v>
      </c>
      <c r="KK18" s="70" t="s">
        <v>756</v>
      </c>
      <c r="KL18" s="71">
        <v>49</v>
      </c>
      <c r="KM18" s="393">
        <f t="shared" si="33"/>
        <v>44251.9</v>
      </c>
      <c r="KP18" s="106"/>
      <c r="KQ18" s="15">
        <v>11</v>
      </c>
      <c r="KR18" s="69">
        <v>949.36</v>
      </c>
      <c r="KS18" s="252">
        <v>44915</v>
      </c>
      <c r="KT18" s="69">
        <v>949.36</v>
      </c>
      <c r="KU18" s="695" t="s">
        <v>758</v>
      </c>
      <c r="KV18" s="696">
        <v>49</v>
      </c>
      <c r="KW18" s="393">
        <f t="shared" si="34"/>
        <v>46518.64</v>
      </c>
      <c r="KZ18" s="106"/>
      <c r="LA18" s="15">
        <v>11</v>
      </c>
      <c r="LB18" s="92">
        <v>912.6</v>
      </c>
      <c r="LC18" s="244">
        <v>44916</v>
      </c>
      <c r="LD18" s="92">
        <v>912.6</v>
      </c>
      <c r="LE18" s="95" t="s">
        <v>769</v>
      </c>
      <c r="LF18" s="71">
        <v>51</v>
      </c>
      <c r="LG18" s="393">
        <f t="shared" si="35"/>
        <v>46542.6</v>
      </c>
      <c r="LJ18" s="106"/>
      <c r="LK18" s="15">
        <v>11</v>
      </c>
      <c r="LL18" s="92">
        <v>925.78</v>
      </c>
      <c r="LM18" s="244">
        <v>44916</v>
      </c>
      <c r="LN18" s="92">
        <v>925.78</v>
      </c>
      <c r="LO18" s="95" t="s">
        <v>777</v>
      </c>
      <c r="LP18" s="71">
        <v>51</v>
      </c>
      <c r="LQ18" s="393">
        <f t="shared" si="36"/>
        <v>47214.78</v>
      </c>
      <c r="LT18" s="106"/>
      <c r="LU18" s="15">
        <v>11</v>
      </c>
      <c r="LV18" s="92">
        <v>870.9</v>
      </c>
      <c r="LW18" s="244">
        <v>44917</v>
      </c>
      <c r="LX18" s="92">
        <v>870.9</v>
      </c>
      <c r="LY18" s="95" t="s">
        <v>787</v>
      </c>
      <c r="LZ18" s="71">
        <v>53</v>
      </c>
      <c r="MA18" s="393">
        <f t="shared" si="37"/>
        <v>46157.7</v>
      </c>
      <c r="MB18" s="393"/>
      <c r="MD18" s="106"/>
      <c r="ME18" s="15">
        <v>11</v>
      </c>
      <c r="MF18" s="296">
        <v>901.7</v>
      </c>
      <c r="MG18" s="244">
        <v>44916</v>
      </c>
      <c r="MH18" s="296">
        <v>901.7</v>
      </c>
      <c r="MI18" s="95" t="s">
        <v>778</v>
      </c>
      <c r="MJ18" s="71">
        <v>51</v>
      </c>
      <c r="MK18" s="71">
        <f t="shared" si="38"/>
        <v>45986.700000000004</v>
      </c>
      <c r="MN18" s="106"/>
      <c r="MO18" s="15">
        <v>11</v>
      </c>
      <c r="MP18" s="92">
        <v>899.47</v>
      </c>
      <c r="MQ18" s="244">
        <v>44917</v>
      </c>
      <c r="MR18" s="92">
        <v>899.47</v>
      </c>
      <c r="MS18" s="95" t="s">
        <v>790</v>
      </c>
      <c r="MT18" s="71">
        <v>53</v>
      </c>
      <c r="MU18" s="71">
        <f t="shared" si="39"/>
        <v>47671.91</v>
      </c>
      <c r="MX18" s="106"/>
      <c r="MY18" s="15">
        <v>11</v>
      </c>
      <c r="MZ18" s="92">
        <v>894.5</v>
      </c>
      <c r="NA18" s="244">
        <v>44918</v>
      </c>
      <c r="NB18" s="92">
        <v>894.5</v>
      </c>
      <c r="NC18" s="95" t="s">
        <v>807</v>
      </c>
      <c r="ND18" s="71">
        <v>53</v>
      </c>
      <c r="NE18" s="71">
        <f t="shared" si="40"/>
        <v>47408.5</v>
      </c>
      <c r="NH18" s="106"/>
      <c r="NI18" s="15">
        <v>11</v>
      </c>
      <c r="NJ18" s="92">
        <v>917.2</v>
      </c>
      <c r="NK18" s="244">
        <v>44918</v>
      </c>
      <c r="NL18" s="92">
        <v>917.2</v>
      </c>
      <c r="NM18" s="95" t="s">
        <v>809</v>
      </c>
      <c r="NN18" s="71">
        <v>53</v>
      </c>
      <c r="NO18" s="71">
        <f t="shared" si="41"/>
        <v>48611.600000000006</v>
      </c>
      <c r="NR18" s="106"/>
      <c r="NS18" s="15">
        <v>11</v>
      </c>
      <c r="NT18" s="92">
        <v>906.3</v>
      </c>
      <c r="NU18" s="244">
        <v>44918</v>
      </c>
      <c r="NV18" s="92">
        <v>906.3</v>
      </c>
      <c r="NW18" s="95" t="s">
        <v>818</v>
      </c>
      <c r="NX18" s="71">
        <v>53</v>
      </c>
      <c r="NY18" s="71">
        <f t="shared" si="42"/>
        <v>48033.899999999994</v>
      </c>
      <c r="OB18" s="106"/>
      <c r="OC18" s="15">
        <v>11</v>
      </c>
      <c r="OD18" s="92">
        <v>870</v>
      </c>
      <c r="OE18" s="244">
        <v>44919</v>
      </c>
      <c r="OF18" s="92">
        <v>870</v>
      </c>
      <c r="OG18" s="95" t="s">
        <v>803</v>
      </c>
      <c r="OH18" s="71">
        <v>53</v>
      </c>
      <c r="OI18" s="71">
        <f t="shared" si="43"/>
        <v>46110</v>
      </c>
      <c r="OL18" s="106"/>
      <c r="OM18" s="15">
        <v>11</v>
      </c>
      <c r="ON18" s="92">
        <v>904.5</v>
      </c>
      <c r="OO18" s="244">
        <v>44919</v>
      </c>
      <c r="OP18" s="92">
        <v>904.5</v>
      </c>
      <c r="OQ18" s="95" t="s">
        <v>824</v>
      </c>
      <c r="OR18" s="71">
        <v>53</v>
      </c>
      <c r="OS18" s="71">
        <f t="shared" si="44"/>
        <v>47938.5</v>
      </c>
      <c r="OV18" s="106"/>
      <c r="OW18" s="15">
        <v>11</v>
      </c>
      <c r="OX18" s="92">
        <v>930.8</v>
      </c>
      <c r="OY18" s="244">
        <v>44921</v>
      </c>
      <c r="OZ18" s="92">
        <v>930.8</v>
      </c>
      <c r="PA18" s="95" t="s">
        <v>831</v>
      </c>
      <c r="PB18" s="71">
        <v>53</v>
      </c>
      <c r="PC18" s="71">
        <f t="shared" si="45"/>
        <v>49332.399999999994</v>
      </c>
      <c r="PF18" s="94"/>
      <c r="PG18" s="15">
        <v>11</v>
      </c>
      <c r="PH18" s="92">
        <v>928</v>
      </c>
      <c r="PI18" s="244">
        <v>44924</v>
      </c>
      <c r="PJ18" s="92">
        <v>928</v>
      </c>
      <c r="PK18" s="95" t="s">
        <v>850</v>
      </c>
      <c r="PL18" s="71">
        <v>53</v>
      </c>
      <c r="PM18" s="71">
        <f t="shared" si="46"/>
        <v>49184</v>
      </c>
      <c r="PN18" s="71"/>
      <c r="PQ18" s="106"/>
      <c r="PR18" s="15">
        <v>11</v>
      </c>
      <c r="PS18" s="92">
        <v>931.2</v>
      </c>
      <c r="PT18" s="244">
        <v>44924</v>
      </c>
      <c r="PU18" s="92">
        <v>931.2</v>
      </c>
      <c r="PV18" s="95" t="s">
        <v>848</v>
      </c>
      <c r="PW18" s="71">
        <v>53</v>
      </c>
      <c r="PX18" s="71">
        <f t="shared" si="47"/>
        <v>49353.600000000006</v>
      </c>
      <c r="QA18" s="106"/>
      <c r="QB18" s="15">
        <v>11</v>
      </c>
      <c r="QC18" s="92">
        <v>938.02</v>
      </c>
      <c r="QD18" s="135">
        <v>44924</v>
      </c>
      <c r="QE18" s="92">
        <v>938.02</v>
      </c>
      <c r="QF18" s="95" t="s">
        <v>845</v>
      </c>
      <c r="QG18" s="71">
        <v>53</v>
      </c>
      <c r="QH18" s="71">
        <f t="shared" si="48"/>
        <v>49715.06</v>
      </c>
      <c r="QK18" s="106"/>
      <c r="QL18" s="15">
        <v>11</v>
      </c>
      <c r="QM18" s="92">
        <v>881.3</v>
      </c>
      <c r="QN18" s="244">
        <v>44928</v>
      </c>
      <c r="QO18" s="92">
        <v>881.3</v>
      </c>
      <c r="QP18" s="95" t="s">
        <v>870</v>
      </c>
      <c r="QQ18" s="71">
        <v>53</v>
      </c>
      <c r="QR18" s="71">
        <f t="shared" si="49"/>
        <v>46708.899999999994</v>
      </c>
      <c r="QU18" s="106"/>
      <c r="QV18" s="15">
        <v>11</v>
      </c>
      <c r="QW18" s="92">
        <v>893.1</v>
      </c>
      <c r="QX18" s="244">
        <v>44926</v>
      </c>
      <c r="QY18" s="92">
        <v>893.1</v>
      </c>
      <c r="QZ18" s="95" t="s">
        <v>861</v>
      </c>
      <c r="RA18" s="71">
        <v>53</v>
      </c>
      <c r="RB18" s="71">
        <f t="shared" si="50"/>
        <v>47334.3</v>
      </c>
      <c r="RE18" s="106"/>
      <c r="RF18" s="15">
        <v>11</v>
      </c>
      <c r="RG18" s="92">
        <v>918.1</v>
      </c>
      <c r="RH18" s="244">
        <v>44930</v>
      </c>
      <c r="RI18" s="92">
        <v>918.1</v>
      </c>
      <c r="RJ18" s="95" t="s">
        <v>888</v>
      </c>
      <c r="RK18" s="71">
        <v>47</v>
      </c>
      <c r="RL18" s="71">
        <f t="shared" si="51"/>
        <v>43150.700000000004</v>
      </c>
      <c r="RO18" s="106"/>
      <c r="RP18" s="15">
        <v>11</v>
      </c>
      <c r="RQ18" s="92">
        <v>880.9</v>
      </c>
      <c r="RR18" s="244">
        <v>44930</v>
      </c>
      <c r="RS18" s="92">
        <v>880.9</v>
      </c>
      <c r="RT18" s="95" t="s">
        <v>887</v>
      </c>
      <c r="RU18" s="288">
        <v>47</v>
      </c>
      <c r="RV18" s="71">
        <f t="shared" si="52"/>
        <v>41402.299999999996</v>
      </c>
      <c r="RY18" s="106"/>
      <c r="RZ18" s="15">
        <v>11</v>
      </c>
      <c r="SA18" s="92">
        <v>936.21</v>
      </c>
      <c r="SB18" s="135">
        <v>44931</v>
      </c>
      <c r="SC18" s="92">
        <v>936.21</v>
      </c>
      <c r="SD18" s="95" t="s">
        <v>898</v>
      </c>
      <c r="SE18" s="71">
        <v>47</v>
      </c>
      <c r="SF18" s="71">
        <f t="shared" si="53"/>
        <v>44001.87</v>
      </c>
      <c r="SI18" s="106"/>
      <c r="SJ18" s="15">
        <v>11</v>
      </c>
      <c r="SK18" s="694">
        <v>947.1</v>
      </c>
      <c r="SL18" s="836">
        <v>44932</v>
      </c>
      <c r="SM18" s="694">
        <v>947.1</v>
      </c>
      <c r="SN18" s="944" t="s">
        <v>904</v>
      </c>
      <c r="SO18" s="696">
        <v>47</v>
      </c>
      <c r="SP18" s="696">
        <f t="shared" si="54"/>
        <v>44513.700000000004</v>
      </c>
      <c r="SS18" s="106"/>
      <c r="ST18" s="15">
        <v>11</v>
      </c>
      <c r="SU18" s="92">
        <v>919</v>
      </c>
      <c r="SV18" s="244"/>
      <c r="SW18" s="92"/>
      <c r="SX18" s="95"/>
      <c r="SY18" s="71"/>
      <c r="SZ18" s="71">
        <f t="shared" si="55"/>
        <v>0</v>
      </c>
      <c r="TC18" s="106"/>
      <c r="TD18" s="15">
        <v>11</v>
      </c>
      <c r="TE18" s="92">
        <v>921.7</v>
      </c>
      <c r="TF18" s="244">
        <v>44933</v>
      </c>
      <c r="TG18" s="92">
        <v>921.7</v>
      </c>
      <c r="TH18" s="95" t="s">
        <v>914</v>
      </c>
      <c r="TI18" s="71">
        <v>45</v>
      </c>
      <c r="TJ18" s="71">
        <f t="shared" si="56"/>
        <v>41476.5</v>
      </c>
      <c r="TM18" s="106"/>
      <c r="TN18" s="15">
        <v>11</v>
      </c>
      <c r="TO18" s="92"/>
      <c r="TP18" s="295"/>
      <c r="TQ18" s="168"/>
      <c r="TR18" s="291"/>
      <c r="TS18" s="290"/>
      <c r="TT18" s="290"/>
      <c r="TW18" s="106"/>
      <c r="TX18" s="15">
        <v>11</v>
      </c>
      <c r="TY18" s="92"/>
      <c r="TZ18" s="79"/>
      <c r="UA18" s="92"/>
      <c r="UB18" s="95"/>
      <c r="UC18" s="71"/>
      <c r="UF18" s="106"/>
      <c r="UG18" s="15">
        <v>11</v>
      </c>
      <c r="UH18" s="92"/>
      <c r="UI18" s="79"/>
      <c r="UJ18" s="92"/>
      <c r="UK18" s="95"/>
      <c r="UL18" s="71"/>
      <c r="UO18" s="106"/>
      <c r="UP18" s="15">
        <v>11</v>
      </c>
      <c r="UQ18" s="92"/>
      <c r="UR18" s="79"/>
      <c r="US18" s="92"/>
      <c r="UT18" s="95"/>
      <c r="UU18" s="71"/>
      <c r="UX18" s="106"/>
      <c r="UY18" s="15">
        <v>11</v>
      </c>
      <c r="UZ18" s="92"/>
      <c r="VA18" s="79"/>
      <c r="VB18" s="92"/>
      <c r="VC18" s="95"/>
      <c r="VD18" s="71"/>
      <c r="VG18" s="106"/>
      <c r="VH18" s="15">
        <v>11</v>
      </c>
      <c r="VI18" s="92"/>
      <c r="VJ18" s="79"/>
      <c r="VK18" s="92"/>
      <c r="VL18" s="95"/>
      <c r="VM18" s="71"/>
      <c r="VP18" s="106"/>
      <c r="VQ18" s="15">
        <v>11</v>
      </c>
      <c r="VR18" s="92"/>
      <c r="VS18" s="79"/>
      <c r="VT18" s="92"/>
      <c r="VU18" s="95"/>
      <c r="VV18" s="71"/>
      <c r="VY18" s="106"/>
      <c r="VZ18" s="15">
        <v>11</v>
      </c>
      <c r="WA18" s="92"/>
      <c r="WB18" s="79"/>
      <c r="WC18" s="92"/>
      <c r="WD18" s="95"/>
      <c r="WE18" s="71"/>
      <c r="WH18" s="106"/>
      <c r="WI18" s="15">
        <v>11</v>
      </c>
      <c r="WJ18" s="92"/>
      <c r="WK18" s="79"/>
      <c r="WL18" s="92"/>
      <c r="WM18" s="95"/>
      <c r="WN18" s="71"/>
      <c r="WQ18" s="106"/>
      <c r="WR18" s="15">
        <v>11</v>
      </c>
      <c r="WS18" s="92"/>
      <c r="WT18" s="79"/>
      <c r="WU18" s="92"/>
      <c r="WV18" s="95"/>
      <c r="WW18" s="71"/>
      <c r="WZ18" s="106"/>
      <c r="XA18" s="15">
        <v>11</v>
      </c>
      <c r="XB18" s="92"/>
      <c r="XC18" s="79"/>
      <c r="XD18" s="92"/>
      <c r="XE18" s="95"/>
      <c r="XF18" s="71"/>
      <c r="XI18" s="106"/>
      <c r="XJ18" s="15">
        <v>11</v>
      </c>
      <c r="XK18" s="92"/>
      <c r="XL18" s="79"/>
      <c r="XM18" s="92"/>
      <c r="XN18" s="95"/>
      <c r="XO18" s="71"/>
      <c r="XR18" s="106"/>
      <c r="XS18" s="15">
        <v>11</v>
      </c>
      <c r="XT18" s="92"/>
      <c r="XU18" s="79"/>
      <c r="XV18" s="92"/>
      <c r="XW18" s="95"/>
      <c r="XX18" s="71"/>
      <c r="YA18" s="106"/>
      <c r="YB18" s="15">
        <v>11</v>
      </c>
      <c r="YC18" s="92"/>
      <c r="YD18" s="79"/>
      <c r="YE18" s="92"/>
      <c r="YF18" s="95"/>
      <c r="YG18" s="71"/>
      <c r="YJ18" s="106"/>
      <c r="YK18" s="15">
        <v>11</v>
      </c>
      <c r="YL18" s="92"/>
      <c r="YM18" s="79"/>
      <c r="YN18" s="92"/>
      <c r="YO18" s="95"/>
      <c r="YP18" s="71"/>
      <c r="YS18" s="106"/>
      <c r="YT18" s="15">
        <v>11</v>
      </c>
      <c r="YU18" s="92"/>
      <c r="YV18" s="79"/>
      <c r="YW18" s="92"/>
      <c r="YX18" s="95"/>
      <c r="YY18" s="71"/>
      <c r="ZB18" s="106"/>
      <c r="ZC18" s="15">
        <v>11</v>
      </c>
      <c r="ZD18" s="92"/>
      <c r="ZE18" s="79"/>
      <c r="ZF18" s="92"/>
      <c r="ZG18" s="95"/>
      <c r="ZH18" s="71"/>
      <c r="ZK18" s="106"/>
      <c r="ZL18" s="15">
        <v>11</v>
      </c>
      <c r="ZM18" s="92"/>
      <c r="ZN18" s="79"/>
      <c r="ZO18" s="92"/>
      <c r="ZP18" s="95"/>
      <c r="ZQ18" s="71"/>
      <c r="ZT18" s="106"/>
      <c r="ZU18" s="15">
        <v>11</v>
      </c>
      <c r="ZV18" s="92"/>
      <c r="ZW18" s="79"/>
      <c r="ZX18" s="92"/>
      <c r="ZY18" s="95"/>
      <c r="ZZ18" s="71"/>
      <c r="AAC18" s="106"/>
      <c r="AAD18" s="15">
        <v>11</v>
      </c>
      <c r="AAE18" s="92"/>
      <c r="AAF18" s="79"/>
      <c r="AAG18" s="92"/>
      <c r="AAH18" s="95"/>
      <c r="AAI18" s="71"/>
      <c r="AAL18" s="106"/>
      <c r="AAM18" s="15">
        <v>11</v>
      </c>
      <c r="AAN18" s="92"/>
      <c r="AAO18" s="79"/>
      <c r="AAP18" s="92"/>
      <c r="AAQ18" s="95"/>
      <c r="AAR18" s="71"/>
      <c r="AAU18" s="106"/>
      <c r="AAV18" s="15">
        <v>11</v>
      </c>
      <c r="AAW18" s="92"/>
      <c r="AAX18" s="79"/>
      <c r="AAY18" s="92"/>
      <c r="AAZ18" s="95"/>
      <c r="ABA18" s="71"/>
      <c r="ABD18" s="106"/>
      <c r="ABE18" s="15">
        <v>11</v>
      </c>
      <c r="ABF18" s="92"/>
      <c r="ABG18" s="79"/>
      <c r="ABH18" s="92"/>
      <c r="ABI18" s="95"/>
      <c r="ABJ18" s="71"/>
      <c r="ABM18" s="106"/>
      <c r="ABN18" s="15">
        <v>11</v>
      </c>
      <c r="ABO18" s="92"/>
      <c r="ABP18" s="79"/>
      <c r="ABQ18" s="92"/>
      <c r="ABR18" s="95"/>
      <c r="ABS18" s="71"/>
      <c r="ABV18" s="106"/>
      <c r="ABW18" s="15">
        <v>11</v>
      </c>
      <c r="ABX18" s="92"/>
      <c r="ABY18" s="79"/>
      <c r="ABZ18" s="92"/>
      <c r="ACA18" s="95"/>
      <c r="ACB18" s="71"/>
      <c r="ACE18" s="106"/>
      <c r="ACF18" s="15">
        <v>11</v>
      </c>
      <c r="ACG18" s="92"/>
      <c r="ACH18" s="79"/>
      <c r="ACI18" s="92"/>
      <c r="ACJ18" s="95"/>
      <c r="ACK18" s="71"/>
      <c r="ACN18" s="106"/>
      <c r="ACO18" s="15">
        <v>11</v>
      </c>
      <c r="ACP18" s="92"/>
      <c r="ACQ18" s="79"/>
      <c r="ACR18" s="92"/>
      <c r="ACS18" s="95"/>
      <c r="ACT18" s="71"/>
      <c r="ACW18" s="106"/>
      <c r="ACX18" s="15">
        <v>11</v>
      </c>
      <c r="ACY18" s="92"/>
      <c r="ACZ18" s="79"/>
      <c r="ADA18" s="92"/>
      <c r="ADB18" s="95"/>
      <c r="ADC18" s="71"/>
      <c r="ADF18" s="106"/>
      <c r="ADG18" s="15">
        <v>11</v>
      </c>
      <c r="ADH18" s="92"/>
      <c r="ADI18" s="79"/>
      <c r="ADJ18" s="92"/>
      <c r="ADK18" s="95"/>
      <c r="ADL18" s="71"/>
      <c r="ADO18" s="106"/>
      <c r="ADP18" s="15">
        <v>11</v>
      </c>
      <c r="ADQ18" s="92"/>
      <c r="ADR18" s="79"/>
      <c r="ADS18" s="92"/>
      <c r="ADT18" s="95"/>
      <c r="ADU18" s="71"/>
      <c r="ADX18" s="106"/>
      <c r="ADY18" s="15">
        <v>11</v>
      </c>
      <c r="ADZ18" s="92"/>
      <c r="AEA18" s="79"/>
      <c r="AEB18" s="92"/>
      <c r="AEC18" s="95"/>
      <c r="AED18" s="71"/>
      <c r="AEG18" s="106"/>
      <c r="AEH18" s="15">
        <v>11</v>
      </c>
      <c r="AEI18" s="92"/>
      <c r="AEJ18" s="79"/>
      <c r="AEK18" s="92"/>
      <c r="AEL18" s="95"/>
      <c r="AEM18" s="71"/>
      <c r="AEP18" s="106"/>
      <c r="AEQ18" s="15">
        <v>11</v>
      </c>
      <c r="AER18" s="92"/>
      <c r="AES18" s="79"/>
      <c r="AET18" s="92"/>
      <c r="AEU18" s="95"/>
      <c r="AEV18" s="71"/>
      <c r="AEY18" s="106"/>
      <c r="AEZ18" s="15">
        <v>11</v>
      </c>
      <c r="AFA18" s="92"/>
      <c r="AFB18" s="79"/>
      <c r="AFC18" s="92"/>
      <c r="AFD18" s="95"/>
      <c r="AFE18" s="71"/>
    </row>
    <row r="19" spans="1:840" x14ac:dyDescent="0.25">
      <c r="A19" s="137">
        <v>16</v>
      </c>
      <c r="B19" s="75" t="str">
        <f t="shared" ref="B19:I19" si="67">FE5</f>
        <v>SEABOARD FOODS</v>
      </c>
      <c r="C19" s="75" t="str">
        <f t="shared" si="67"/>
        <v>Seaboard</v>
      </c>
      <c r="D19" s="102" t="str">
        <f t="shared" si="67"/>
        <v>PED. 90826159</v>
      </c>
      <c r="E19" s="135">
        <f t="shared" si="67"/>
        <v>44905</v>
      </c>
      <c r="F19" s="86">
        <f t="shared" si="67"/>
        <v>18848.189999999999</v>
      </c>
      <c r="G19" s="73">
        <f t="shared" si="67"/>
        <v>21</v>
      </c>
      <c r="H19" s="48">
        <f t="shared" si="67"/>
        <v>18826.7</v>
      </c>
      <c r="I19" s="105">
        <f t="shared" si="67"/>
        <v>21.489999999997963</v>
      </c>
      <c r="L19" s="94"/>
      <c r="M19" s="15">
        <v>12</v>
      </c>
      <c r="N19" s="69">
        <v>877.2</v>
      </c>
      <c r="O19" s="252">
        <v>44895</v>
      </c>
      <c r="P19" s="69">
        <v>877.2</v>
      </c>
      <c r="Q19" s="70" t="s">
        <v>584</v>
      </c>
      <c r="R19" s="71">
        <v>51</v>
      </c>
      <c r="S19" s="393">
        <f t="shared" si="8"/>
        <v>44737.200000000004</v>
      </c>
      <c r="V19" s="94"/>
      <c r="W19" s="15">
        <v>12</v>
      </c>
      <c r="X19" s="69">
        <v>870.9</v>
      </c>
      <c r="Y19" s="252">
        <v>44895</v>
      </c>
      <c r="Z19" s="69">
        <v>870.9</v>
      </c>
      <c r="AA19" s="695" t="s">
        <v>583</v>
      </c>
      <c r="AB19" s="696">
        <v>51</v>
      </c>
      <c r="AC19" s="393">
        <f t="shared" si="9"/>
        <v>44415.9</v>
      </c>
      <c r="AF19" s="106"/>
      <c r="AG19" s="15">
        <v>12</v>
      </c>
      <c r="AH19" s="69">
        <v>967.96</v>
      </c>
      <c r="AI19" s="244">
        <v>44896</v>
      </c>
      <c r="AJ19" s="69">
        <v>967.96</v>
      </c>
      <c r="AK19" s="95" t="s">
        <v>588</v>
      </c>
      <c r="AL19" s="71">
        <v>51</v>
      </c>
      <c r="AM19" s="393">
        <f t="shared" si="10"/>
        <v>49365.96</v>
      </c>
      <c r="AP19" s="106"/>
      <c r="AQ19" s="15">
        <v>12</v>
      </c>
      <c r="AR19" s="92">
        <v>916.3</v>
      </c>
      <c r="AS19" s="244">
        <v>44897</v>
      </c>
      <c r="AT19" s="92">
        <v>916.3</v>
      </c>
      <c r="AU19" s="95" t="s">
        <v>595</v>
      </c>
      <c r="AV19" s="71">
        <v>51</v>
      </c>
      <c r="AW19" s="393">
        <f t="shared" si="11"/>
        <v>46731.299999999996</v>
      </c>
      <c r="AZ19" s="106"/>
      <c r="BA19" s="15">
        <v>12</v>
      </c>
      <c r="BB19" s="92">
        <v>886.3</v>
      </c>
      <c r="BC19" s="244">
        <v>44897</v>
      </c>
      <c r="BD19" s="92">
        <v>886.3</v>
      </c>
      <c r="BE19" s="95" t="s">
        <v>599</v>
      </c>
      <c r="BF19" s="71">
        <v>51</v>
      </c>
      <c r="BG19" s="393">
        <f t="shared" si="12"/>
        <v>45201.299999999996</v>
      </c>
      <c r="BJ19" s="667"/>
      <c r="BK19" s="15">
        <v>12</v>
      </c>
      <c r="BL19" s="92">
        <v>945.28</v>
      </c>
      <c r="BM19" s="135">
        <v>44898</v>
      </c>
      <c r="BN19" s="92">
        <v>945.28</v>
      </c>
      <c r="BO19" s="95" t="s">
        <v>609</v>
      </c>
      <c r="BP19" s="288">
        <v>51</v>
      </c>
      <c r="BQ19" s="481">
        <f t="shared" si="13"/>
        <v>48209.279999999999</v>
      </c>
      <c r="BR19" s="393"/>
      <c r="BT19" s="106"/>
      <c r="BU19" s="15"/>
      <c r="BV19" s="92"/>
      <c r="BW19" s="289"/>
      <c r="BX19" s="92"/>
      <c r="BY19" s="577"/>
      <c r="BZ19" s="290"/>
      <c r="CA19" s="393">
        <f t="shared" si="5"/>
        <v>0</v>
      </c>
      <c r="CD19" s="213"/>
      <c r="CE19" s="15">
        <v>12</v>
      </c>
      <c r="CF19" s="92">
        <v>901.7</v>
      </c>
      <c r="CG19" s="289">
        <v>44901</v>
      </c>
      <c r="CH19" s="92">
        <v>901.7</v>
      </c>
      <c r="CI19" s="291" t="s">
        <v>620</v>
      </c>
      <c r="CJ19" s="290">
        <v>51</v>
      </c>
      <c r="CK19" s="243">
        <f t="shared" si="14"/>
        <v>45986.700000000004</v>
      </c>
      <c r="CN19" s="411"/>
      <c r="CO19" s="15">
        <v>12</v>
      </c>
      <c r="CP19" s="92">
        <v>899.9</v>
      </c>
      <c r="CQ19" s="289">
        <v>44901</v>
      </c>
      <c r="CR19" s="92">
        <v>899.9</v>
      </c>
      <c r="CS19" s="291" t="s">
        <v>627</v>
      </c>
      <c r="CT19" s="290">
        <v>51</v>
      </c>
      <c r="CU19" s="398">
        <f t="shared" si="58"/>
        <v>45894.9</v>
      </c>
      <c r="CX19" s="106"/>
      <c r="CY19" s="15">
        <v>12</v>
      </c>
      <c r="CZ19" s="92">
        <v>956.62</v>
      </c>
      <c r="DA19" s="244">
        <v>44902</v>
      </c>
      <c r="DB19" s="92">
        <v>956.62</v>
      </c>
      <c r="DC19" s="95" t="s">
        <v>632</v>
      </c>
      <c r="DD19" s="71">
        <v>51</v>
      </c>
      <c r="DE19" s="393">
        <f t="shared" si="15"/>
        <v>48787.62</v>
      </c>
      <c r="DH19" s="106"/>
      <c r="DI19" s="15">
        <v>12</v>
      </c>
      <c r="DJ19" s="694">
        <v>909</v>
      </c>
      <c r="DK19" s="720">
        <v>44903</v>
      </c>
      <c r="DL19" s="694">
        <v>909</v>
      </c>
      <c r="DM19" s="721" t="s">
        <v>649</v>
      </c>
      <c r="DN19" s="722">
        <v>51</v>
      </c>
      <c r="DO19" s="398">
        <f t="shared" si="16"/>
        <v>46359</v>
      </c>
      <c r="DR19" s="106"/>
      <c r="DS19" s="15">
        <v>12</v>
      </c>
      <c r="DT19" s="92">
        <v>933.03</v>
      </c>
      <c r="DU19" s="289">
        <v>44903</v>
      </c>
      <c r="DV19" s="92">
        <v>933.03</v>
      </c>
      <c r="DW19" s="291" t="s">
        <v>645</v>
      </c>
      <c r="DX19" s="290">
        <v>51</v>
      </c>
      <c r="DY19" s="393">
        <f t="shared" si="17"/>
        <v>47584.53</v>
      </c>
      <c r="EB19" s="106"/>
      <c r="EC19" s="15">
        <v>12</v>
      </c>
      <c r="ED19" s="69">
        <v>870</v>
      </c>
      <c r="EE19" s="252">
        <v>44904</v>
      </c>
      <c r="EF19" s="69">
        <v>870</v>
      </c>
      <c r="EG19" s="70" t="s">
        <v>662</v>
      </c>
      <c r="EH19" s="71">
        <v>51</v>
      </c>
      <c r="EI19" s="393">
        <f t="shared" si="18"/>
        <v>44370</v>
      </c>
      <c r="EL19" s="106"/>
      <c r="EM19" s="15">
        <v>12</v>
      </c>
      <c r="EN19" s="69">
        <v>915.3</v>
      </c>
      <c r="EO19" s="252">
        <v>44904</v>
      </c>
      <c r="EP19" s="69">
        <v>915.3</v>
      </c>
      <c r="EQ19" s="70" t="s">
        <v>660</v>
      </c>
      <c r="ER19" s="71">
        <v>51</v>
      </c>
      <c r="ES19" s="393">
        <f t="shared" si="19"/>
        <v>46680.299999999996</v>
      </c>
      <c r="EV19" s="106"/>
      <c r="EW19" s="15">
        <v>12</v>
      </c>
      <c r="EX19" s="92">
        <v>915.3</v>
      </c>
      <c r="EY19" s="244">
        <v>44904</v>
      </c>
      <c r="EZ19" s="92">
        <v>915.3</v>
      </c>
      <c r="FA19" s="70" t="s">
        <v>664</v>
      </c>
      <c r="FB19" s="71">
        <v>51</v>
      </c>
      <c r="FC19" s="393">
        <f t="shared" si="20"/>
        <v>46680.299999999996</v>
      </c>
      <c r="FF19" s="106"/>
      <c r="FG19" s="15">
        <v>12</v>
      </c>
      <c r="FH19" s="92">
        <v>886.3</v>
      </c>
      <c r="FI19" s="244">
        <v>44905</v>
      </c>
      <c r="FJ19" s="92">
        <v>886.3</v>
      </c>
      <c r="FK19" s="70" t="s">
        <v>679</v>
      </c>
      <c r="FL19" s="71">
        <v>51</v>
      </c>
      <c r="FM19" s="243">
        <f t="shared" si="21"/>
        <v>45201.299999999996</v>
      </c>
      <c r="FP19" s="106"/>
      <c r="FQ19" s="15">
        <v>12</v>
      </c>
      <c r="FR19" s="92">
        <v>970.68</v>
      </c>
      <c r="FS19" s="244">
        <v>44905</v>
      </c>
      <c r="FT19" s="92">
        <v>970.68</v>
      </c>
      <c r="FU19" s="70" t="s">
        <v>675</v>
      </c>
      <c r="FV19" s="71">
        <v>51</v>
      </c>
      <c r="FW19" s="393">
        <f t="shared" si="22"/>
        <v>49504.68</v>
      </c>
      <c r="FX19" s="71"/>
      <c r="FZ19" s="106"/>
      <c r="GA19" s="15">
        <v>12</v>
      </c>
      <c r="GB19" s="69">
        <v>871.8</v>
      </c>
      <c r="GC19" s="252">
        <v>44908</v>
      </c>
      <c r="GD19" s="69">
        <v>871.8</v>
      </c>
      <c r="GE19" s="70" t="s">
        <v>688</v>
      </c>
      <c r="GF19" s="71">
        <v>49</v>
      </c>
      <c r="GG19" s="243">
        <f t="shared" si="23"/>
        <v>42718.2</v>
      </c>
      <c r="GJ19" s="106"/>
      <c r="GK19" s="15">
        <v>12</v>
      </c>
      <c r="GL19" s="352">
        <v>897.2</v>
      </c>
      <c r="GM19" s="244">
        <v>44908</v>
      </c>
      <c r="GN19" s="352">
        <v>897.2</v>
      </c>
      <c r="GO19" s="95" t="s">
        <v>697</v>
      </c>
      <c r="GP19" s="71">
        <v>49</v>
      </c>
      <c r="GQ19" s="393">
        <f t="shared" si="24"/>
        <v>43962.8</v>
      </c>
      <c r="GT19" s="106"/>
      <c r="GU19" s="15">
        <v>12</v>
      </c>
      <c r="GV19" s="92">
        <v>914.4</v>
      </c>
      <c r="GW19" s="244">
        <v>44908</v>
      </c>
      <c r="GX19" s="92">
        <v>914.4</v>
      </c>
      <c r="GY19" s="95" t="s">
        <v>695</v>
      </c>
      <c r="GZ19" s="71">
        <v>49</v>
      </c>
      <c r="HA19" s="393">
        <f t="shared" si="25"/>
        <v>44805.599999999999</v>
      </c>
      <c r="HD19" s="106"/>
      <c r="HE19" s="15">
        <v>12</v>
      </c>
      <c r="HF19" s="92">
        <v>931.67</v>
      </c>
      <c r="HG19" s="244">
        <v>44909</v>
      </c>
      <c r="HH19" s="92">
        <v>931.67</v>
      </c>
      <c r="HI19" s="944" t="s">
        <v>706</v>
      </c>
      <c r="HJ19" s="71">
        <v>49</v>
      </c>
      <c r="HK19" s="393">
        <f t="shared" si="26"/>
        <v>45651.829999999994</v>
      </c>
      <c r="HN19" s="106"/>
      <c r="HO19" s="15">
        <v>12</v>
      </c>
      <c r="HP19" s="92">
        <v>962.97</v>
      </c>
      <c r="HQ19" s="244">
        <v>44910</v>
      </c>
      <c r="HR19" s="92">
        <v>962.97</v>
      </c>
      <c r="HS19" s="292" t="s">
        <v>710</v>
      </c>
      <c r="HT19" s="71">
        <v>49</v>
      </c>
      <c r="HU19" s="243">
        <f t="shared" si="27"/>
        <v>47185.53</v>
      </c>
      <c r="HX19" s="94"/>
      <c r="HY19" s="15">
        <v>12</v>
      </c>
      <c r="HZ19" s="69">
        <v>928.95</v>
      </c>
      <c r="IA19" s="252">
        <v>44910</v>
      </c>
      <c r="IB19" s="69">
        <v>928.95</v>
      </c>
      <c r="IC19" s="70" t="s">
        <v>707</v>
      </c>
      <c r="ID19" s="71">
        <v>49</v>
      </c>
      <c r="IE19" s="393">
        <f t="shared" si="6"/>
        <v>45518.55</v>
      </c>
      <c r="IH19" s="94"/>
      <c r="II19" s="15">
        <v>12</v>
      </c>
      <c r="IJ19" s="69">
        <v>922.6</v>
      </c>
      <c r="IK19" s="252">
        <v>44910</v>
      </c>
      <c r="IL19" s="69">
        <v>922.6</v>
      </c>
      <c r="IM19" s="70" t="s">
        <v>717</v>
      </c>
      <c r="IN19" s="71">
        <v>49</v>
      </c>
      <c r="IO19" s="393">
        <f t="shared" si="28"/>
        <v>45207.4</v>
      </c>
      <c r="IR19" s="106"/>
      <c r="IS19" s="15">
        <v>12</v>
      </c>
      <c r="IT19" s="92">
        <v>911.7</v>
      </c>
      <c r="IU19" s="135">
        <v>44911</v>
      </c>
      <c r="IV19" s="92">
        <v>911.7</v>
      </c>
      <c r="IW19" s="363" t="s">
        <v>731</v>
      </c>
      <c r="IX19" s="71">
        <v>47</v>
      </c>
      <c r="IY19" s="243">
        <f t="shared" si="29"/>
        <v>42849.9</v>
      </c>
      <c r="IZ19" s="92"/>
      <c r="JA19" s="105"/>
      <c r="JB19" s="106"/>
      <c r="JC19" s="15">
        <v>12</v>
      </c>
      <c r="JD19" s="92">
        <v>898.1</v>
      </c>
      <c r="JE19" s="252">
        <v>44911</v>
      </c>
      <c r="JF19" s="92">
        <v>898.1</v>
      </c>
      <c r="JG19" s="70" t="s">
        <v>728</v>
      </c>
      <c r="JH19" s="71">
        <v>47</v>
      </c>
      <c r="JI19" s="393">
        <f t="shared" si="30"/>
        <v>42210.700000000004</v>
      </c>
      <c r="JL19" s="106"/>
      <c r="JM19" s="15">
        <v>12</v>
      </c>
      <c r="JN19" s="92">
        <v>918.1</v>
      </c>
      <c r="JO19" s="244">
        <v>44912</v>
      </c>
      <c r="JP19" s="92">
        <v>918.1</v>
      </c>
      <c r="JQ19" s="70" t="s">
        <v>738</v>
      </c>
      <c r="JR19" s="71">
        <v>48</v>
      </c>
      <c r="JS19" s="393">
        <f t="shared" si="31"/>
        <v>44068.800000000003</v>
      </c>
      <c r="JV19" s="94"/>
      <c r="JW19" s="15">
        <v>12</v>
      </c>
      <c r="JX19" s="69">
        <v>898.1</v>
      </c>
      <c r="JY19" s="252">
        <v>44912</v>
      </c>
      <c r="JZ19" s="69">
        <v>898.1</v>
      </c>
      <c r="KA19" s="70" t="s">
        <v>709</v>
      </c>
      <c r="KB19" s="71">
        <v>48</v>
      </c>
      <c r="KC19" s="393">
        <f t="shared" si="32"/>
        <v>43108.800000000003</v>
      </c>
      <c r="KF19" s="94"/>
      <c r="KG19" s="15">
        <v>12</v>
      </c>
      <c r="KH19" s="69">
        <v>895.8</v>
      </c>
      <c r="KI19" s="252">
        <v>44915</v>
      </c>
      <c r="KJ19" s="69">
        <v>895.8</v>
      </c>
      <c r="KK19" s="70" t="s">
        <v>759</v>
      </c>
      <c r="KL19" s="71">
        <v>49</v>
      </c>
      <c r="KM19" s="393">
        <f t="shared" si="33"/>
        <v>43894.2</v>
      </c>
      <c r="KP19" s="94"/>
      <c r="KQ19" s="15">
        <v>12</v>
      </c>
      <c r="KR19" s="69">
        <v>939.38</v>
      </c>
      <c r="KS19" s="252">
        <v>44915</v>
      </c>
      <c r="KT19" s="69">
        <v>939.38</v>
      </c>
      <c r="KU19" s="695" t="s">
        <v>758</v>
      </c>
      <c r="KV19" s="696">
        <v>49</v>
      </c>
      <c r="KW19" s="393">
        <f t="shared" si="34"/>
        <v>46029.62</v>
      </c>
      <c r="KZ19" s="106"/>
      <c r="LA19" s="15">
        <v>12</v>
      </c>
      <c r="LB19" s="92">
        <v>904.5</v>
      </c>
      <c r="LC19" s="244">
        <v>44916</v>
      </c>
      <c r="LD19" s="92">
        <v>904.5</v>
      </c>
      <c r="LE19" s="95" t="s">
        <v>769</v>
      </c>
      <c r="LF19" s="71">
        <v>51</v>
      </c>
      <c r="LG19" s="393">
        <f t="shared" si="35"/>
        <v>46129.5</v>
      </c>
      <c r="LJ19" s="106"/>
      <c r="LK19" s="15">
        <v>12</v>
      </c>
      <c r="LL19" s="92">
        <v>932.13</v>
      </c>
      <c r="LM19" s="244">
        <v>44916</v>
      </c>
      <c r="LN19" s="92">
        <v>932.13</v>
      </c>
      <c r="LO19" s="95" t="s">
        <v>777</v>
      </c>
      <c r="LP19" s="71">
        <v>51</v>
      </c>
      <c r="LQ19" s="393">
        <f t="shared" si="36"/>
        <v>47538.63</v>
      </c>
      <c r="LT19" s="106"/>
      <c r="LU19" s="15">
        <v>12</v>
      </c>
      <c r="LV19" s="92">
        <v>879.5</v>
      </c>
      <c r="LW19" s="244">
        <v>44917</v>
      </c>
      <c r="LX19" s="92">
        <v>879.5</v>
      </c>
      <c r="LY19" s="95" t="s">
        <v>787</v>
      </c>
      <c r="LZ19" s="71">
        <v>53</v>
      </c>
      <c r="MA19" s="393">
        <f t="shared" si="37"/>
        <v>46613.5</v>
      </c>
      <c r="MB19" s="393"/>
      <c r="MD19" s="106"/>
      <c r="ME19" s="15">
        <v>12</v>
      </c>
      <c r="MF19" s="296">
        <v>940.7</v>
      </c>
      <c r="MG19" s="244">
        <v>44916</v>
      </c>
      <c r="MH19" s="296">
        <v>940.7</v>
      </c>
      <c r="MI19" s="95" t="s">
        <v>775</v>
      </c>
      <c r="MJ19" s="71">
        <v>51</v>
      </c>
      <c r="MK19" s="71">
        <f t="shared" si="38"/>
        <v>47975.700000000004</v>
      </c>
      <c r="MN19" s="106"/>
      <c r="MO19" s="15">
        <v>12</v>
      </c>
      <c r="MP19" s="92">
        <v>932.13</v>
      </c>
      <c r="MQ19" s="244">
        <v>44917</v>
      </c>
      <c r="MR19" s="92">
        <v>932.13</v>
      </c>
      <c r="MS19" s="95" t="s">
        <v>790</v>
      </c>
      <c r="MT19" s="71">
        <v>53</v>
      </c>
      <c r="MU19" s="71">
        <f t="shared" si="39"/>
        <v>49402.89</v>
      </c>
      <c r="MX19" s="106"/>
      <c r="MY19" s="15">
        <v>12</v>
      </c>
      <c r="MZ19" s="92">
        <v>934.4</v>
      </c>
      <c r="NA19" s="244">
        <v>44918</v>
      </c>
      <c r="NB19" s="92">
        <v>934.4</v>
      </c>
      <c r="NC19" s="95" t="s">
        <v>807</v>
      </c>
      <c r="ND19" s="71">
        <v>53</v>
      </c>
      <c r="NE19" s="71">
        <f t="shared" si="40"/>
        <v>49523.199999999997</v>
      </c>
      <c r="NH19" s="106"/>
      <c r="NI19" s="15">
        <v>12</v>
      </c>
      <c r="NJ19" s="92">
        <v>905.4</v>
      </c>
      <c r="NK19" s="244">
        <v>44918</v>
      </c>
      <c r="NL19" s="92">
        <v>905.4</v>
      </c>
      <c r="NM19" s="95" t="s">
        <v>814</v>
      </c>
      <c r="NN19" s="71">
        <v>53</v>
      </c>
      <c r="NO19" s="71">
        <f t="shared" si="41"/>
        <v>47986.2</v>
      </c>
      <c r="NR19" s="106"/>
      <c r="NS19" s="15">
        <v>12</v>
      </c>
      <c r="NT19" s="92">
        <v>940.7</v>
      </c>
      <c r="NU19" s="244">
        <v>44918</v>
      </c>
      <c r="NV19" s="92">
        <v>940.7</v>
      </c>
      <c r="NW19" s="95" t="s">
        <v>818</v>
      </c>
      <c r="NX19" s="71">
        <v>53</v>
      </c>
      <c r="NY19" s="71">
        <f t="shared" si="42"/>
        <v>49857.100000000006</v>
      </c>
      <c r="OB19" s="106"/>
      <c r="OC19" s="15">
        <v>12</v>
      </c>
      <c r="OD19" s="92">
        <v>898.1</v>
      </c>
      <c r="OE19" s="244">
        <v>44919</v>
      </c>
      <c r="OF19" s="92">
        <v>898.1</v>
      </c>
      <c r="OG19" s="95" t="s">
        <v>803</v>
      </c>
      <c r="OH19" s="71">
        <v>53</v>
      </c>
      <c r="OI19" s="71">
        <f t="shared" si="43"/>
        <v>47599.3</v>
      </c>
      <c r="OL19" s="106"/>
      <c r="OM19" s="15">
        <v>12</v>
      </c>
      <c r="ON19" s="92">
        <v>916.3</v>
      </c>
      <c r="OO19" s="244">
        <v>44919</v>
      </c>
      <c r="OP19" s="92">
        <v>916.3</v>
      </c>
      <c r="OQ19" s="95" t="s">
        <v>824</v>
      </c>
      <c r="OR19" s="71">
        <v>53</v>
      </c>
      <c r="OS19" s="71">
        <f t="shared" si="44"/>
        <v>48563.899999999994</v>
      </c>
      <c r="OV19" s="106"/>
      <c r="OW19" s="15">
        <v>12</v>
      </c>
      <c r="OX19" s="92">
        <v>916.3</v>
      </c>
      <c r="OY19" s="244">
        <v>44921</v>
      </c>
      <c r="OZ19" s="92">
        <v>916.3</v>
      </c>
      <c r="PA19" s="95" t="s">
        <v>831</v>
      </c>
      <c r="PB19" s="71">
        <v>53</v>
      </c>
      <c r="PC19" s="71">
        <f t="shared" si="45"/>
        <v>48563.899999999994</v>
      </c>
      <c r="PF19" s="94"/>
      <c r="PG19" s="15">
        <v>12</v>
      </c>
      <c r="PH19" s="92">
        <v>899</v>
      </c>
      <c r="PI19" s="244">
        <v>44924</v>
      </c>
      <c r="PJ19" s="92">
        <v>899</v>
      </c>
      <c r="PK19" s="95" t="s">
        <v>850</v>
      </c>
      <c r="PL19" s="71">
        <v>53</v>
      </c>
      <c r="PM19" s="71">
        <f t="shared" si="46"/>
        <v>47647</v>
      </c>
      <c r="PN19" s="71"/>
      <c r="PQ19" s="106"/>
      <c r="PR19" s="15">
        <v>12</v>
      </c>
      <c r="PS19" s="92">
        <v>890.4</v>
      </c>
      <c r="PT19" s="244">
        <v>44924</v>
      </c>
      <c r="PU19" s="92">
        <v>890.4</v>
      </c>
      <c r="PV19" s="95" t="s">
        <v>848</v>
      </c>
      <c r="PW19" s="71">
        <v>53</v>
      </c>
      <c r="PX19" s="71">
        <f t="shared" si="47"/>
        <v>47191.199999999997</v>
      </c>
      <c r="QA19" s="106"/>
      <c r="QB19" s="15">
        <v>12</v>
      </c>
      <c r="QC19" s="92">
        <v>975.22</v>
      </c>
      <c r="QD19" s="135">
        <v>44924</v>
      </c>
      <c r="QE19" s="92">
        <v>975.22</v>
      </c>
      <c r="QF19" s="95" t="s">
        <v>845</v>
      </c>
      <c r="QG19" s="71">
        <v>53</v>
      </c>
      <c r="QH19" s="71">
        <f t="shared" si="48"/>
        <v>51686.66</v>
      </c>
      <c r="QK19" s="106"/>
      <c r="QL19" s="15">
        <v>12</v>
      </c>
      <c r="QM19" s="92">
        <v>919.4</v>
      </c>
      <c r="QN19" s="244">
        <v>44928</v>
      </c>
      <c r="QO19" s="92">
        <v>919.4</v>
      </c>
      <c r="QP19" s="95" t="s">
        <v>870</v>
      </c>
      <c r="QQ19" s="71">
        <v>53</v>
      </c>
      <c r="QR19" s="71">
        <f t="shared" si="49"/>
        <v>48728.2</v>
      </c>
      <c r="QU19" s="106"/>
      <c r="QV19" s="15">
        <v>12</v>
      </c>
      <c r="QW19" s="92">
        <v>933.5</v>
      </c>
      <c r="QX19" s="244">
        <v>44926</v>
      </c>
      <c r="QY19" s="92">
        <v>933.5</v>
      </c>
      <c r="QZ19" s="95" t="s">
        <v>861</v>
      </c>
      <c r="RA19" s="71">
        <v>53</v>
      </c>
      <c r="RB19" s="71">
        <f t="shared" si="50"/>
        <v>49475.5</v>
      </c>
      <c r="RE19" s="106"/>
      <c r="RF19" s="15">
        <v>12</v>
      </c>
      <c r="RG19" s="92">
        <v>872.7</v>
      </c>
      <c r="RH19" s="244">
        <v>44930</v>
      </c>
      <c r="RI19" s="92">
        <v>872.7</v>
      </c>
      <c r="RJ19" s="95" t="s">
        <v>888</v>
      </c>
      <c r="RK19" s="71">
        <v>47</v>
      </c>
      <c r="RL19" s="71">
        <f t="shared" si="51"/>
        <v>41016.9</v>
      </c>
      <c r="RO19" s="106"/>
      <c r="RP19" s="15">
        <v>12</v>
      </c>
      <c r="RQ19" s="92">
        <v>882.7</v>
      </c>
      <c r="RR19" s="244">
        <v>44930</v>
      </c>
      <c r="RS19" s="92">
        <v>882.7</v>
      </c>
      <c r="RT19" s="95" t="s">
        <v>887</v>
      </c>
      <c r="RU19" s="288">
        <v>47</v>
      </c>
      <c r="RV19" s="71">
        <f t="shared" si="52"/>
        <v>41486.9</v>
      </c>
      <c r="RY19" s="106"/>
      <c r="RZ19" s="15">
        <v>12</v>
      </c>
      <c r="SA19" s="92">
        <v>942.56</v>
      </c>
      <c r="SB19" s="135">
        <v>44931</v>
      </c>
      <c r="SC19" s="92">
        <v>942.56</v>
      </c>
      <c r="SD19" s="95" t="s">
        <v>897</v>
      </c>
      <c r="SE19" s="71">
        <v>47</v>
      </c>
      <c r="SF19" s="71">
        <f t="shared" si="53"/>
        <v>44300.32</v>
      </c>
      <c r="SI19" s="106"/>
      <c r="SJ19" s="15">
        <v>12</v>
      </c>
      <c r="SK19" s="92">
        <v>956.17</v>
      </c>
      <c r="SL19" s="244">
        <v>44932</v>
      </c>
      <c r="SM19" s="92">
        <v>956.17</v>
      </c>
      <c r="SN19" s="95" t="s">
        <v>904</v>
      </c>
      <c r="SO19" s="71">
        <v>47</v>
      </c>
      <c r="SP19" s="71">
        <f t="shared" si="54"/>
        <v>44939.99</v>
      </c>
      <c r="SS19" s="106"/>
      <c r="ST19" s="15">
        <v>12</v>
      </c>
      <c r="SU19" s="92">
        <v>884.5</v>
      </c>
      <c r="SV19" s="244"/>
      <c r="SW19" s="92"/>
      <c r="SX19" s="95"/>
      <c r="SY19" s="71"/>
      <c r="SZ19" s="71">
        <f t="shared" si="55"/>
        <v>0</v>
      </c>
      <c r="TC19" s="106"/>
      <c r="TD19" s="15">
        <v>12</v>
      </c>
      <c r="TE19" s="92">
        <v>909.9</v>
      </c>
      <c r="TF19" s="244">
        <v>44933</v>
      </c>
      <c r="TG19" s="92">
        <v>909.9</v>
      </c>
      <c r="TH19" s="95" t="s">
        <v>914</v>
      </c>
      <c r="TI19" s="71">
        <v>45</v>
      </c>
      <c r="TJ19" s="71">
        <f t="shared" si="56"/>
        <v>40945.5</v>
      </c>
      <c r="TM19" s="106"/>
      <c r="TN19" s="15">
        <v>12</v>
      </c>
      <c r="TO19" s="92"/>
      <c r="TP19" s="295"/>
      <c r="TQ19" s="168"/>
      <c r="TR19" s="291"/>
      <c r="TS19" s="290"/>
      <c r="TT19" s="290"/>
      <c r="TW19" s="106"/>
      <c r="TX19" s="15">
        <v>12</v>
      </c>
      <c r="TY19" s="92"/>
      <c r="TZ19" s="79"/>
      <c r="UA19" s="92"/>
      <c r="UB19" s="95"/>
      <c r="UC19" s="71"/>
      <c r="UF19" s="106"/>
      <c r="UG19" s="15">
        <v>12</v>
      </c>
      <c r="UH19" s="92"/>
      <c r="UI19" s="79"/>
      <c r="UJ19" s="92"/>
      <c r="UK19" s="95"/>
      <c r="UL19" s="71"/>
      <c r="UO19" s="106"/>
      <c r="UP19" s="15">
        <v>12</v>
      </c>
      <c r="UQ19" s="92"/>
      <c r="UR19" s="79"/>
      <c r="US19" s="92"/>
      <c r="UT19" s="95"/>
      <c r="UU19" s="71"/>
      <c r="UX19" s="106"/>
      <c r="UY19" s="15">
        <v>12</v>
      </c>
      <c r="UZ19" s="92"/>
      <c r="VA19" s="79"/>
      <c r="VB19" s="92"/>
      <c r="VC19" s="95"/>
      <c r="VD19" s="71"/>
      <c r="VG19" s="106"/>
      <c r="VH19" s="15">
        <v>12</v>
      </c>
      <c r="VI19" s="92"/>
      <c r="VJ19" s="79"/>
      <c r="VK19" s="92"/>
      <c r="VL19" s="95"/>
      <c r="VM19" s="71"/>
      <c r="VP19" s="106"/>
      <c r="VQ19" s="15">
        <v>12</v>
      </c>
      <c r="VR19" s="92"/>
      <c r="VS19" s="79"/>
      <c r="VT19" s="92"/>
      <c r="VU19" s="95"/>
      <c r="VV19" s="71"/>
      <c r="VY19" s="106"/>
      <c r="VZ19" s="15">
        <v>12</v>
      </c>
      <c r="WA19" s="92"/>
      <c r="WB19" s="79"/>
      <c r="WC19" s="92"/>
      <c r="WD19" s="95"/>
      <c r="WE19" s="71"/>
      <c r="WH19" s="106"/>
      <c r="WI19" s="15">
        <v>12</v>
      </c>
      <c r="WJ19" s="92"/>
      <c r="WK19" s="79"/>
      <c r="WL19" s="92"/>
      <c r="WM19" s="95"/>
      <c r="WN19" s="71"/>
      <c r="WQ19" s="106"/>
      <c r="WR19" s="15">
        <v>12</v>
      </c>
      <c r="WS19" s="92"/>
      <c r="WT19" s="79"/>
      <c r="WU19" s="92"/>
      <c r="WV19" s="95"/>
      <c r="WW19" s="71"/>
      <c r="WZ19" s="106"/>
      <c r="XA19" s="15">
        <v>12</v>
      </c>
      <c r="XB19" s="92"/>
      <c r="XC19" s="79"/>
      <c r="XD19" s="92"/>
      <c r="XE19" s="95"/>
      <c r="XF19" s="71"/>
      <c r="XI19" s="106"/>
      <c r="XJ19" s="15">
        <v>12</v>
      </c>
      <c r="XK19" s="92"/>
      <c r="XL19" s="79"/>
      <c r="XM19" s="92"/>
      <c r="XN19" s="95"/>
      <c r="XO19" s="71"/>
      <c r="XR19" s="106"/>
      <c r="XS19" s="15">
        <v>12</v>
      </c>
      <c r="XT19" s="92"/>
      <c r="XU19" s="79"/>
      <c r="XV19" s="92"/>
      <c r="XW19" s="95"/>
      <c r="XX19" s="71"/>
      <c r="YA19" s="106"/>
      <c r="YB19" s="15">
        <v>12</v>
      </c>
      <c r="YC19" s="92"/>
      <c r="YD19" s="79"/>
      <c r="YE19" s="92"/>
      <c r="YF19" s="95"/>
      <c r="YG19" s="71"/>
      <c r="YJ19" s="106"/>
      <c r="YK19" s="15">
        <v>12</v>
      </c>
      <c r="YL19" s="92"/>
      <c r="YM19" s="79"/>
      <c r="YN19" s="92"/>
      <c r="YO19" s="95"/>
      <c r="YP19" s="71"/>
      <c r="YS19" s="106"/>
      <c r="YT19" s="15">
        <v>12</v>
      </c>
      <c r="YU19" s="92"/>
      <c r="YV19" s="79"/>
      <c r="YW19" s="92"/>
      <c r="YX19" s="95"/>
      <c r="YY19" s="71"/>
      <c r="ZB19" s="106"/>
      <c r="ZC19" s="15">
        <v>12</v>
      </c>
      <c r="ZD19" s="92"/>
      <c r="ZE19" s="79"/>
      <c r="ZF19" s="92"/>
      <c r="ZG19" s="95"/>
      <c r="ZH19" s="71"/>
      <c r="ZK19" s="106"/>
      <c r="ZL19" s="15">
        <v>12</v>
      </c>
      <c r="ZM19" s="92"/>
      <c r="ZN19" s="79"/>
      <c r="ZO19" s="92"/>
      <c r="ZP19" s="95"/>
      <c r="ZQ19" s="71"/>
      <c r="ZT19" s="106"/>
      <c r="ZU19" s="15">
        <v>12</v>
      </c>
      <c r="ZV19" s="92"/>
      <c r="ZW19" s="79"/>
      <c r="ZX19" s="92"/>
      <c r="ZY19" s="95"/>
      <c r="ZZ19" s="71"/>
      <c r="AAC19" s="106"/>
      <c r="AAD19" s="15">
        <v>12</v>
      </c>
      <c r="AAE19" s="92"/>
      <c r="AAF19" s="79"/>
      <c r="AAG19" s="92"/>
      <c r="AAH19" s="95"/>
      <c r="AAI19" s="71"/>
      <c r="AAL19" s="106"/>
      <c r="AAM19" s="15">
        <v>12</v>
      </c>
      <c r="AAN19" s="92"/>
      <c r="AAO19" s="79"/>
      <c r="AAP19" s="92"/>
      <c r="AAQ19" s="95"/>
      <c r="AAR19" s="71"/>
      <c r="AAU19" s="106"/>
      <c r="AAV19" s="15">
        <v>12</v>
      </c>
      <c r="AAW19" s="92"/>
      <c r="AAX19" s="79"/>
      <c r="AAY19" s="92"/>
      <c r="AAZ19" s="95"/>
      <c r="ABA19" s="71"/>
      <c r="ABD19" s="106"/>
      <c r="ABE19" s="15">
        <v>12</v>
      </c>
      <c r="ABF19" s="92"/>
      <c r="ABG19" s="79"/>
      <c r="ABH19" s="92"/>
      <c r="ABI19" s="95"/>
      <c r="ABJ19" s="71"/>
      <c r="ABM19" s="106"/>
      <c r="ABN19" s="15">
        <v>12</v>
      </c>
      <c r="ABO19" s="92"/>
      <c r="ABP19" s="79"/>
      <c r="ABQ19" s="92"/>
      <c r="ABR19" s="95"/>
      <c r="ABS19" s="71"/>
      <c r="ABV19" s="106"/>
      <c r="ABW19" s="15">
        <v>12</v>
      </c>
      <c r="ABX19" s="92"/>
      <c r="ABY19" s="79"/>
      <c r="ABZ19" s="92"/>
      <c r="ACA19" s="95"/>
      <c r="ACB19" s="71"/>
      <c r="ACE19" s="106"/>
      <c r="ACF19" s="15">
        <v>12</v>
      </c>
      <c r="ACG19" s="92"/>
      <c r="ACH19" s="79"/>
      <c r="ACI19" s="92"/>
      <c r="ACJ19" s="95"/>
      <c r="ACK19" s="71"/>
      <c r="ACN19" s="106"/>
      <c r="ACO19" s="15">
        <v>12</v>
      </c>
      <c r="ACP19" s="92"/>
      <c r="ACQ19" s="79"/>
      <c r="ACR19" s="92"/>
      <c r="ACS19" s="95"/>
      <c r="ACT19" s="71"/>
      <c r="ACW19" s="106"/>
      <c r="ACX19" s="15">
        <v>12</v>
      </c>
      <c r="ACY19" s="92"/>
      <c r="ACZ19" s="79"/>
      <c r="ADA19" s="92"/>
      <c r="ADB19" s="95"/>
      <c r="ADC19" s="71"/>
      <c r="ADF19" s="106"/>
      <c r="ADG19" s="15">
        <v>12</v>
      </c>
      <c r="ADH19" s="92"/>
      <c r="ADI19" s="79"/>
      <c r="ADJ19" s="92"/>
      <c r="ADK19" s="95"/>
      <c r="ADL19" s="71"/>
      <c r="ADO19" s="106"/>
      <c r="ADP19" s="15">
        <v>12</v>
      </c>
      <c r="ADQ19" s="92"/>
      <c r="ADR19" s="79"/>
      <c r="ADS19" s="92"/>
      <c r="ADT19" s="95"/>
      <c r="ADU19" s="71"/>
      <c r="ADX19" s="106"/>
      <c r="ADY19" s="15">
        <v>12</v>
      </c>
      <c r="ADZ19" s="92"/>
      <c r="AEA19" s="79"/>
      <c r="AEB19" s="92"/>
      <c r="AEC19" s="95"/>
      <c r="AED19" s="71"/>
      <c r="AEG19" s="106"/>
      <c r="AEH19" s="15">
        <v>12</v>
      </c>
      <c r="AEI19" s="92"/>
      <c r="AEJ19" s="79"/>
      <c r="AEK19" s="92"/>
      <c r="AEL19" s="95"/>
      <c r="AEM19" s="71"/>
      <c r="AEP19" s="106"/>
      <c r="AEQ19" s="15">
        <v>12</v>
      </c>
      <c r="AER19" s="92"/>
      <c r="AES19" s="79"/>
      <c r="AET19" s="92"/>
      <c r="AEU19" s="95"/>
      <c r="AEV19" s="71"/>
      <c r="AEY19" s="106"/>
      <c r="AEZ19" s="15">
        <v>12</v>
      </c>
      <c r="AFA19" s="92"/>
      <c r="AFB19" s="79"/>
      <c r="AFC19" s="92"/>
      <c r="AFD19" s="95"/>
      <c r="AFE19" s="71"/>
    </row>
    <row r="20" spans="1:840" x14ac:dyDescent="0.25">
      <c r="A20" s="137">
        <v>17</v>
      </c>
      <c r="B20" s="131" t="str">
        <f t="shared" ref="B20:I20" si="68">FO5</f>
        <v>TYSON FRESH MEAT</v>
      </c>
      <c r="C20" s="75" t="str">
        <f t="shared" si="68"/>
        <v xml:space="preserve">I B P </v>
      </c>
      <c r="D20" s="102" t="str">
        <f t="shared" si="68"/>
        <v>PED. 90888795</v>
      </c>
      <c r="E20" s="135">
        <f t="shared" si="68"/>
        <v>44905</v>
      </c>
      <c r="F20" s="86">
        <f t="shared" si="68"/>
        <v>18920.68</v>
      </c>
      <c r="G20" s="73">
        <f t="shared" si="68"/>
        <v>20</v>
      </c>
      <c r="H20" s="48">
        <f t="shared" si="68"/>
        <v>18959.16</v>
      </c>
      <c r="I20" s="105">
        <f t="shared" si="68"/>
        <v>-38.479999999999563</v>
      </c>
      <c r="L20" s="94"/>
      <c r="M20" s="15">
        <v>13</v>
      </c>
      <c r="N20" s="69">
        <v>892.7</v>
      </c>
      <c r="O20" s="252">
        <v>44895</v>
      </c>
      <c r="P20" s="69">
        <v>892.7</v>
      </c>
      <c r="Q20" s="70" t="s">
        <v>584</v>
      </c>
      <c r="R20" s="71">
        <v>51</v>
      </c>
      <c r="S20" s="393">
        <f t="shared" si="8"/>
        <v>45527.700000000004</v>
      </c>
      <c r="V20" s="94"/>
      <c r="W20" s="15">
        <v>13</v>
      </c>
      <c r="X20" s="69">
        <v>883.6</v>
      </c>
      <c r="Y20" s="252">
        <v>44895</v>
      </c>
      <c r="Z20" s="69">
        <v>883.6</v>
      </c>
      <c r="AA20" s="695" t="s">
        <v>583</v>
      </c>
      <c r="AB20" s="696">
        <v>51</v>
      </c>
      <c r="AC20" s="393">
        <f t="shared" si="9"/>
        <v>45063.6</v>
      </c>
      <c r="AF20" s="106"/>
      <c r="AG20" s="15">
        <v>13</v>
      </c>
      <c r="AH20" s="92">
        <v>943.47</v>
      </c>
      <c r="AI20" s="244">
        <v>44896</v>
      </c>
      <c r="AJ20" s="92">
        <v>943.47</v>
      </c>
      <c r="AK20" s="95" t="s">
        <v>588</v>
      </c>
      <c r="AL20" s="71">
        <v>51</v>
      </c>
      <c r="AM20" s="393">
        <f t="shared" si="10"/>
        <v>48116.97</v>
      </c>
      <c r="AP20" s="106"/>
      <c r="AQ20" s="15">
        <v>13</v>
      </c>
      <c r="AR20" s="92">
        <v>916.3</v>
      </c>
      <c r="AS20" s="244">
        <v>44897</v>
      </c>
      <c r="AT20" s="92">
        <v>916.3</v>
      </c>
      <c r="AU20" s="95" t="s">
        <v>600</v>
      </c>
      <c r="AV20" s="71">
        <v>51</v>
      </c>
      <c r="AW20" s="393">
        <f t="shared" si="11"/>
        <v>46731.299999999996</v>
      </c>
      <c r="AZ20" s="106"/>
      <c r="BA20" s="15">
        <v>13</v>
      </c>
      <c r="BB20" s="92">
        <v>900.8</v>
      </c>
      <c r="BC20" s="244">
        <v>44897</v>
      </c>
      <c r="BD20" s="92">
        <v>900.8</v>
      </c>
      <c r="BE20" s="95" t="s">
        <v>599</v>
      </c>
      <c r="BF20" s="71">
        <v>51</v>
      </c>
      <c r="BG20" s="393">
        <f t="shared" si="12"/>
        <v>45940.799999999996</v>
      </c>
      <c r="BJ20" s="667"/>
      <c r="BK20" s="15">
        <v>13</v>
      </c>
      <c r="BL20" s="69">
        <v>944.37</v>
      </c>
      <c r="BM20" s="135">
        <v>44898</v>
      </c>
      <c r="BN20" s="69">
        <v>944.37</v>
      </c>
      <c r="BO20" s="95" t="s">
        <v>609</v>
      </c>
      <c r="BP20" s="288">
        <v>51</v>
      </c>
      <c r="BQ20" s="481">
        <f t="shared" si="13"/>
        <v>48162.87</v>
      </c>
      <c r="BR20" s="393"/>
      <c r="BT20" s="106"/>
      <c r="BU20" s="15"/>
      <c r="BV20" s="92"/>
      <c r="BW20" s="289"/>
      <c r="BX20" s="92"/>
      <c r="BY20" s="577"/>
      <c r="BZ20" s="290"/>
      <c r="CA20" s="393">
        <f t="shared" si="5"/>
        <v>0</v>
      </c>
      <c r="CD20" s="213"/>
      <c r="CE20" s="15">
        <v>13</v>
      </c>
      <c r="CF20" s="92">
        <v>916.3</v>
      </c>
      <c r="CG20" s="289">
        <v>44901</v>
      </c>
      <c r="CH20" s="92">
        <v>916.3</v>
      </c>
      <c r="CI20" s="291" t="s">
        <v>620</v>
      </c>
      <c r="CJ20" s="290">
        <v>51</v>
      </c>
      <c r="CK20" s="243">
        <f t="shared" si="14"/>
        <v>46731.299999999996</v>
      </c>
      <c r="CN20" s="411"/>
      <c r="CO20" s="15">
        <v>13</v>
      </c>
      <c r="CP20" s="92">
        <v>921.7</v>
      </c>
      <c r="CQ20" s="289">
        <v>44901</v>
      </c>
      <c r="CR20" s="92">
        <v>921.7</v>
      </c>
      <c r="CS20" s="291" t="s">
        <v>627</v>
      </c>
      <c r="CT20" s="290">
        <v>51</v>
      </c>
      <c r="CU20" s="398">
        <f t="shared" si="58"/>
        <v>47006.700000000004</v>
      </c>
      <c r="CX20" s="106"/>
      <c r="CY20" s="15">
        <v>13</v>
      </c>
      <c r="CZ20" s="92">
        <v>891.3</v>
      </c>
      <c r="DA20" s="244">
        <v>44902</v>
      </c>
      <c r="DB20" s="92">
        <v>891.3</v>
      </c>
      <c r="DC20" s="95" t="s">
        <v>632</v>
      </c>
      <c r="DD20" s="71">
        <v>51</v>
      </c>
      <c r="DE20" s="393">
        <f t="shared" si="15"/>
        <v>45456.299999999996</v>
      </c>
      <c r="DH20" s="106"/>
      <c r="DI20" s="15">
        <v>13</v>
      </c>
      <c r="DJ20" s="694">
        <v>890.9</v>
      </c>
      <c r="DK20" s="720">
        <v>44903</v>
      </c>
      <c r="DL20" s="694">
        <v>890.9</v>
      </c>
      <c r="DM20" s="721" t="s">
        <v>649</v>
      </c>
      <c r="DN20" s="722">
        <v>51</v>
      </c>
      <c r="DO20" s="398">
        <f t="shared" si="16"/>
        <v>45435.9</v>
      </c>
      <c r="DR20" s="106"/>
      <c r="DS20" s="15">
        <v>13</v>
      </c>
      <c r="DT20" s="92">
        <v>897.65</v>
      </c>
      <c r="DU20" s="289">
        <v>44903</v>
      </c>
      <c r="DV20" s="92">
        <v>897.65</v>
      </c>
      <c r="DW20" s="291" t="s">
        <v>645</v>
      </c>
      <c r="DX20" s="290">
        <v>51</v>
      </c>
      <c r="DY20" s="393">
        <f t="shared" si="17"/>
        <v>45780.15</v>
      </c>
      <c r="EB20" s="106"/>
      <c r="EC20" s="15">
        <v>13</v>
      </c>
      <c r="ED20" s="69">
        <v>910.8</v>
      </c>
      <c r="EE20" s="252">
        <v>44904</v>
      </c>
      <c r="EF20" s="69">
        <v>910.8</v>
      </c>
      <c r="EG20" s="70" t="s">
        <v>662</v>
      </c>
      <c r="EH20" s="71">
        <v>51</v>
      </c>
      <c r="EI20" s="393">
        <f t="shared" si="18"/>
        <v>46450.799999999996</v>
      </c>
      <c r="EL20" s="106"/>
      <c r="EM20" s="15">
        <v>13</v>
      </c>
      <c r="EN20" s="69">
        <v>931.7</v>
      </c>
      <c r="EO20" s="252">
        <v>44904</v>
      </c>
      <c r="EP20" s="69">
        <v>931.7</v>
      </c>
      <c r="EQ20" s="70" t="s">
        <v>660</v>
      </c>
      <c r="ER20" s="71">
        <v>51</v>
      </c>
      <c r="ES20" s="393">
        <f t="shared" si="19"/>
        <v>47516.700000000004</v>
      </c>
      <c r="EV20" s="106"/>
      <c r="EW20" s="15">
        <v>13</v>
      </c>
      <c r="EX20" s="92">
        <v>888.1</v>
      </c>
      <c r="EY20" s="244">
        <v>44904</v>
      </c>
      <c r="EZ20" s="92">
        <v>888.1</v>
      </c>
      <c r="FA20" s="70" t="s">
        <v>664</v>
      </c>
      <c r="FB20" s="71">
        <v>51</v>
      </c>
      <c r="FC20" s="393">
        <f t="shared" si="20"/>
        <v>45293.1</v>
      </c>
      <c r="FF20" s="106"/>
      <c r="FG20" s="15">
        <v>13</v>
      </c>
      <c r="FH20" s="92">
        <v>916.3</v>
      </c>
      <c r="FI20" s="244">
        <v>44905</v>
      </c>
      <c r="FJ20" s="92">
        <v>916.3</v>
      </c>
      <c r="FK20" s="70" t="s">
        <v>679</v>
      </c>
      <c r="FL20" s="71">
        <v>51</v>
      </c>
      <c r="FM20" s="243">
        <f t="shared" si="21"/>
        <v>46731.299999999996</v>
      </c>
      <c r="FP20" s="106"/>
      <c r="FQ20" s="15">
        <v>13</v>
      </c>
      <c r="FR20" s="92">
        <v>957.07</v>
      </c>
      <c r="FS20" s="244">
        <v>44905</v>
      </c>
      <c r="FT20" s="92">
        <v>957.07</v>
      </c>
      <c r="FU20" s="70" t="s">
        <v>675</v>
      </c>
      <c r="FV20" s="71">
        <v>51</v>
      </c>
      <c r="FW20" s="393">
        <f t="shared" si="22"/>
        <v>48810.57</v>
      </c>
      <c r="FX20" s="71"/>
      <c r="FZ20" s="106"/>
      <c r="GA20" s="15">
        <v>13</v>
      </c>
      <c r="GB20" s="69">
        <v>890.9</v>
      </c>
      <c r="GC20" s="252">
        <v>44908</v>
      </c>
      <c r="GD20" s="69">
        <v>890.9</v>
      </c>
      <c r="GE20" s="70" t="s">
        <v>688</v>
      </c>
      <c r="GF20" s="71">
        <v>49</v>
      </c>
      <c r="GG20" s="243">
        <f t="shared" si="23"/>
        <v>43654.1</v>
      </c>
      <c r="GJ20" s="106"/>
      <c r="GK20" s="15">
        <v>13</v>
      </c>
      <c r="GL20" s="352">
        <v>893.6</v>
      </c>
      <c r="GM20" s="244">
        <v>44908</v>
      </c>
      <c r="GN20" s="352">
        <v>893.6</v>
      </c>
      <c r="GO20" s="95" t="s">
        <v>697</v>
      </c>
      <c r="GP20" s="71">
        <v>49</v>
      </c>
      <c r="GQ20" s="393">
        <f t="shared" si="24"/>
        <v>43786.400000000001</v>
      </c>
      <c r="GT20" s="106"/>
      <c r="GU20" s="15">
        <v>13</v>
      </c>
      <c r="GV20" s="92">
        <v>866.4</v>
      </c>
      <c r="GW20" s="244">
        <v>44908</v>
      </c>
      <c r="GX20" s="92">
        <v>866.4</v>
      </c>
      <c r="GY20" s="95" t="s">
        <v>695</v>
      </c>
      <c r="GZ20" s="71">
        <v>49</v>
      </c>
      <c r="HA20" s="393">
        <f t="shared" si="25"/>
        <v>42453.599999999999</v>
      </c>
      <c r="HD20" s="106"/>
      <c r="HE20" s="15">
        <v>13</v>
      </c>
      <c r="HF20" s="92">
        <v>931.22</v>
      </c>
      <c r="HG20" s="244">
        <v>44909</v>
      </c>
      <c r="HH20" s="92">
        <v>931.22</v>
      </c>
      <c r="HI20" s="944" t="s">
        <v>706</v>
      </c>
      <c r="HJ20" s="71">
        <v>49</v>
      </c>
      <c r="HK20" s="243">
        <f t="shared" si="26"/>
        <v>45629.78</v>
      </c>
      <c r="HN20" s="106"/>
      <c r="HO20" s="15">
        <v>13</v>
      </c>
      <c r="HP20" s="92">
        <v>894.48</v>
      </c>
      <c r="HQ20" s="244">
        <v>44910</v>
      </c>
      <c r="HR20" s="92">
        <v>894.48</v>
      </c>
      <c r="HS20" s="292" t="s">
        <v>710</v>
      </c>
      <c r="HT20" s="71">
        <v>49</v>
      </c>
      <c r="HU20" s="243">
        <f t="shared" si="27"/>
        <v>43829.520000000004</v>
      </c>
      <c r="HX20" s="94"/>
      <c r="HY20" s="15">
        <v>13</v>
      </c>
      <c r="HZ20" s="69">
        <v>938.93</v>
      </c>
      <c r="IA20" s="252">
        <v>44910</v>
      </c>
      <c r="IB20" s="69">
        <v>938.93</v>
      </c>
      <c r="IC20" s="70" t="s">
        <v>707</v>
      </c>
      <c r="ID20" s="71">
        <v>49</v>
      </c>
      <c r="IE20" s="393">
        <f t="shared" si="6"/>
        <v>46007.57</v>
      </c>
      <c r="IH20" s="94"/>
      <c r="II20" s="15">
        <v>13</v>
      </c>
      <c r="IJ20" s="69">
        <v>914.4</v>
      </c>
      <c r="IK20" s="252">
        <v>44910</v>
      </c>
      <c r="IL20" s="69">
        <v>914.4</v>
      </c>
      <c r="IM20" s="70" t="s">
        <v>717</v>
      </c>
      <c r="IN20" s="71">
        <v>49</v>
      </c>
      <c r="IO20" s="393">
        <f t="shared" si="28"/>
        <v>44805.599999999999</v>
      </c>
      <c r="IR20" s="106"/>
      <c r="IS20" s="15">
        <v>13</v>
      </c>
      <c r="IT20" s="92">
        <v>932.6</v>
      </c>
      <c r="IU20" s="135">
        <v>44911</v>
      </c>
      <c r="IV20" s="92">
        <v>932.6</v>
      </c>
      <c r="IW20" s="363" t="s">
        <v>731</v>
      </c>
      <c r="IX20" s="71">
        <v>47</v>
      </c>
      <c r="IY20" s="243">
        <f t="shared" si="29"/>
        <v>43832.200000000004</v>
      </c>
      <c r="IZ20" s="92"/>
      <c r="JB20" s="106"/>
      <c r="JC20" s="15">
        <v>13</v>
      </c>
      <c r="JD20" s="92">
        <v>934.4</v>
      </c>
      <c r="JE20" s="252">
        <v>44911</v>
      </c>
      <c r="JF20" s="92">
        <v>934.4</v>
      </c>
      <c r="JG20" s="70" t="s">
        <v>728</v>
      </c>
      <c r="JH20" s="71">
        <v>47</v>
      </c>
      <c r="JI20" s="393">
        <f t="shared" si="30"/>
        <v>43916.799999999996</v>
      </c>
      <c r="JL20" s="106"/>
      <c r="JM20" s="15">
        <v>13</v>
      </c>
      <c r="JN20" s="92">
        <v>913.5</v>
      </c>
      <c r="JO20" s="244">
        <v>44912</v>
      </c>
      <c r="JP20" s="92">
        <v>913.5</v>
      </c>
      <c r="JQ20" s="70" t="s">
        <v>738</v>
      </c>
      <c r="JR20" s="71">
        <v>48</v>
      </c>
      <c r="JS20" s="393">
        <f t="shared" si="31"/>
        <v>43848</v>
      </c>
      <c r="JV20" s="94"/>
      <c r="JW20" s="15">
        <v>13</v>
      </c>
      <c r="JX20" s="69">
        <v>910.8</v>
      </c>
      <c r="JY20" s="252">
        <v>44912</v>
      </c>
      <c r="JZ20" s="69">
        <v>910.8</v>
      </c>
      <c r="KA20" s="70" t="s">
        <v>709</v>
      </c>
      <c r="KB20" s="71">
        <v>48</v>
      </c>
      <c r="KC20" s="393">
        <f t="shared" si="32"/>
        <v>43718.399999999994</v>
      </c>
      <c r="KF20" s="94"/>
      <c r="KG20" s="15">
        <v>13</v>
      </c>
      <c r="KH20" s="69">
        <v>865.4</v>
      </c>
      <c r="KI20" s="252">
        <v>44915</v>
      </c>
      <c r="KJ20" s="69">
        <v>865.4</v>
      </c>
      <c r="KK20" s="70" t="s">
        <v>759</v>
      </c>
      <c r="KL20" s="71">
        <v>49</v>
      </c>
      <c r="KM20" s="393">
        <f t="shared" si="33"/>
        <v>42404.6</v>
      </c>
      <c r="KP20" s="94"/>
      <c r="KQ20" s="15">
        <v>13</v>
      </c>
      <c r="KR20" s="69">
        <v>948.46</v>
      </c>
      <c r="KS20" s="252">
        <v>44915</v>
      </c>
      <c r="KT20" s="69">
        <v>948.46</v>
      </c>
      <c r="KU20" s="695" t="s">
        <v>758</v>
      </c>
      <c r="KV20" s="696">
        <v>49</v>
      </c>
      <c r="KW20" s="393">
        <f t="shared" si="34"/>
        <v>46474.54</v>
      </c>
      <c r="KZ20" s="106"/>
      <c r="LA20" s="15">
        <v>13</v>
      </c>
      <c r="LB20" s="69">
        <v>870.9</v>
      </c>
      <c r="LC20" s="244">
        <v>44916</v>
      </c>
      <c r="LD20" s="69">
        <v>870.9</v>
      </c>
      <c r="LE20" s="95" t="s">
        <v>769</v>
      </c>
      <c r="LF20" s="71">
        <v>51</v>
      </c>
      <c r="LG20" s="393">
        <f t="shared" si="35"/>
        <v>44415.9</v>
      </c>
      <c r="LJ20" s="106"/>
      <c r="LK20" s="15">
        <v>13</v>
      </c>
      <c r="LL20" s="92">
        <v>924.87</v>
      </c>
      <c r="LM20" s="244">
        <v>44916</v>
      </c>
      <c r="LN20" s="92">
        <v>924.87</v>
      </c>
      <c r="LO20" s="95" t="s">
        <v>777</v>
      </c>
      <c r="LP20" s="71">
        <v>51</v>
      </c>
      <c r="LQ20" s="393">
        <f t="shared" si="36"/>
        <v>47168.37</v>
      </c>
      <c r="LT20" s="106"/>
      <c r="LU20" s="15">
        <v>13</v>
      </c>
      <c r="LV20" s="92">
        <v>909.9</v>
      </c>
      <c r="LW20" s="244">
        <v>44917</v>
      </c>
      <c r="LX20" s="92">
        <v>909.9</v>
      </c>
      <c r="LY20" s="95" t="s">
        <v>787</v>
      </c>
      <c r="LZ20" s="71">
        <v>53</v>
      </c>
      <c r="MA20" s="393">
        <f t="shared" si="37"/>
        <v>48224.7</v>
      </c>
      <c r="MB20" s="393"/>
      <c r="MD20" s="106"/>
      <c r="ME20" s="15">
        <v>13</v>
      </c>
      <c r="MF20" s="296">
        <v>895.4</v>
      </c>
      <c r="MG20" s="244">
        <v>44916</v>
      </c>
      <c r="MH20" s="296">
        <v>895.4</v>
      </c>
      <c r="MI20" s="95" t="s">
        <v>773</v>
      </c>
      <c r="MJ20" s="71">
        <v>51</v>
      </c>
      <c r="MK20" s="71">
        <f t="shared" si="38"/>
        <v>45665.4</v>
      </c>
      <c r="MN20" s="106"/>
      <c r="MO20" s="15">
        <v>13</v>
      </c>
      <c r="MP20" s="92">
        <v>957.07</v>
      </c>
      <c r="MQ20" s="244">
        <v>44917</v>
      </c>
      <c r="MR20" s="92">
        <v>957.07</v>
      </c>
      <c r="MS20" s="95" t="s">
        <v>790</v>
      </c>
      <c r="MT20" s="71">
        <v>53</v>
      </c>
      <c r="MU20" s="71">
        <f t="shared" si="39"/>
        <v>50724.71</v>
      </c>
      <c r="MX20" s="106"/>
      <c r="MY20" s="15">
        <v>13</v>
      </c>
      <c r="MZ20" s="92">
        <v>929</v>
      </c>
      <c r="NA20" s="244">
        <v>44918</v>
      </c>
      <c r="NB20" s="92">
        <v>929</v>
      </c>
      <c r="NC20" s="95" t="s">
        <v>807</v>
      </c>
      <c r="ND20" s="71">
        <v>53</v>
      </c>
      <c r="NE20" s="71">
        <f t="shared" si="40"/>
        <v>49237</v>
      </c>
      <c r="NH20" s="106"/>
      <c r="NI20" s="15">
        <v>13</v>
      </c>
      <c r="NJ20" s="92">
        <v>916.3</v>
      </c>
      <c r="NK20" s="244">
        <v>44918</v>
      </c>
      <c r="NL20" s="92">
        <v>916.3</v>
      </c>
      <c r="NM20" s="95" t="s">
        <v>814</v>
      </c>
      <c r="NN20" s="71">
        <v>53</v>
      </c>
      <c r="NO20" s="71">
        <f t="shared" si="41"/>
        <v>48563.899999999994</v>
      </c>
      <c r="NR20" s="106"/>
      <c r="NS20" s="15">
        <v>13</v>
      </c>
      <c r="NT20" s="92">
        <v>868.2</v>
      </c>
      <c r="NU20" s="244">
        <v>44918</v>
      </c>
      <c r="NV20" s="92">
        <v>868.2</v>
      </c>
      <c r="NW20" s="95" t="s">
        <v>818</v>
      </c>
      <c r="NX20" s="71">
        <v>53</v>
      </c>
      <c r="NY20" s="71">
        <f t="shared" si="42"/>
        <v>46014.600000000006</v>
      </c>
      <c r="OB20" s="106"/>
      <c r="OC20" s="15">
        <v>13</v>
      </c>
      <c r="OD20" s="92">
        <v>921.7</v>
      </c>
      <c r="OE20" s="244">
        <v>44919</v>
      </c>
      <c r="OF20" s="92">
        <v>921.7</v>
      </c>
      <c r="OG20" s="95" t="s">
        <v>803</v>
      </c>
      <c r="OH20" s="71">
        <v>53</v>
      </c>
      <c r="OI20" s="71">
        <f t="shared" si="43"/>
        <v>48850.100000000006</v>
      </c>
      <c r="OL20" s="106"/>
      <c r="OM20" s="15">
        <v>13</v>
      </c>
      <c r="ON20" s="92">
        <v>912.6</v>
      </c>
      <c r="OO20" s="244">
        <v>44919</v>
      </c>
      <c r="OP20" s="92">
        <v>912.6</v>
      </c>
      <c r="OQ20" s="95" t="s">
        <v>824</v>
      </c>
      <c r="OR20" s="71">
        <v>53</v>
      </c>
      <c r="OS20" s="71">
        <f t="shared" si="44"/>
        <v>48367.8</v>
      </c>
      <c r="OV20" s="106"/>
      <c r="OW20" s="15">
        <v>13</v>
      </c>
      <c r="OX20" s="92">
        <v>905.4</v>
      </c>
      <c r="OY20" s="244">
        <v>44921</v>
      </c>
      <c r="OZ20" s="92">
        <v>905.4</v>
      </c>
      <c r="PA20" s="95" t="s">
        <v>831</v>
      </c>
      <c r="PB20" s="71">
        <v>53</v>
      </c>
      <c r="PC20" s="71">
        <f t="shared" si="45"/>
        <v>47986.2</v>
      </c>
      <c r="PF20" s="94"/>
      <c r="PG20" s="15">
        <v>13</v>
      </c>
      <c r="PH20" s="92">
        <v>889</v>
      </c>
      <c r="PI20" s="244">
        <v>44924</v>
      </c>
      <c r="PJ20" s="92">
        <v>889</v>
      </c>
      <c r="PK20" s="95" t="s">
        <v>850</v>
      </c>
      <c r="PL20" s="71">
        <v>53</v>
      </c>
      <c r="PM20" s="71">
        <f t="shared" si="46"/>
        <v>47117</v>
      </c>
      <c r="PN20" s="71"/>
      <c r="PQ20" s="106"/>
      <c r="PR20" s="15">
        <v>13</v>
      </c>
      <c r="PS20" s="92">
        <v>893.6</v>
      </c>
      <c r="PT20" s="244">
        <v>44924</v>
      </c>
      <c r="PU20" s="92">
        <v>893.6</v>
      </c>
      <c r="PV20" s="95" t="s">
        <v>848</v>
      </c>
      <c r="PW20" s="71">
        <v>53</v>
      </c>
      <c r="PX20" s="71">
        <f t="shared" si="47"/>
        <v>47360.800000000003</v>
      </c>
      <c r="QA20" s="106"/>
      <c r="QB20" s="15">
        <v>13</v>
      </c>
      <c r="QC20" s="92">
        <v>910.81</v>
      </c>
      <c r="QD20" s="135">
        <v>44924</v>
      </c>
      <c r="QE20" s="92">
        <v>910.81</v>
      </c>
      <c r="QF20" s="95" t="s">
        <v>845</v>
      </c>
      <c r="QG20" s="71">
        <v>53</v>
      </c>
      <c r="QH20" s="71">
        <f t="shared" si="48"/>
        <v>48272.93</v>
      </c>
      <c r="QK20" s="106"/>
      <c r="QL20" s="15">
        <v>13</v>
      </c>
      <c r="QM20" s="92">
        <v>927.1</v>
      </c>
      <c r="QN20" s="244">
        <v>44928</v>
      </c>
      <c r="QO20" s="92">
        <v>927.1</v>
      </c>
      <c r="QP20" s="95" t="s">
        <v>870</v>
      </c>
      <c r="QQ20" s="71">
        <v>53</v>
      </c>
      <c r="QR20" s="71">
        <f t="shared" si="49"/>
        <v>49136.3</v>
      </c>
      <c r="QU20" s="106"/>
      <c r="QV20" s="15">
        <v>13</v>
      </c>
      <c r="QW20" s="92">
        <v>919</v>
      </c>
      <c r="QX20" s="244">
        <v>44926</v>
      </c>
      <c r="QY20" s="92">
        <v>919</v>
      </c>
      <c r="QZ20" s="95" t="s">
        <v>861</v>
      </c>
      <c r="RA20" s="71">
        <v>53</v>
      </c>
      <c r="RB20" s="71">
        <f t="shared" si="50"/>
        <v>48707</v>
      </c>
      <c r="RE20" s="106"/>
      <c r="RF20" s="15">
        <v>13</v>
      </c>
      <c r="RG20" s="92">
        <v>940.7</v>
      </c>
      <c r="RH20" s="244">
        <v>44930</v>
      </c>
      <c r="RI20" s="92">
        <v>940.7</v>
      </c>
      <c r="RJ20" s="95" t="s">
        <v>888</v>
      </c>
      <c r="RK20" s="71">
        <v>47</v>
      </c>
      <c r="RL20" s="71">
        <f t="shared" si="51"/>
        <v>44212.9</v>
      </c>
      <c r="RO20" s="106"/>
      <c r="RP20" s="15">
        <v>13</v>
      </c>
      <c r="RQ20" s="92">
        <v>925.3</v>
      </c>
      <c r="RR20" s="244">
        <v>44930</v>
      </c>
      <c r="RS20" s="92">
        <v>925.3</v>
      </c>
      <c r="RT20" s="95" t="s">
        <v>887</v>
      </c>
      <c r="RU20" s="288">
        <v>47</v>
      </c>
      <c r="RV20" s="71">
        <f t="shared" si="52"/>
        <v>43489.1</v>
      </c>
      <c r="RY20" s="106"/>
      <c r="RZ20" s="15">
        <v>13</v>
      </c>
      <c r="SA20" s="92">
        <v>926.23</v>
      </c>
      <c r="SB20" s="135">
        <v>44931</v>
      </c>
      <c r="SC20" s="92">
        <v>926.23</v>
      </c>
      <c r="SD20" s="95" t="s">
        <v>898</v>
      </c>
      <c r="SE20" s="71">
        <v>47</v>
      </c>
      <c r="SF20" s="71">
        <f t="shared" si="53"/>
        <v>43532.81</v>
      </c>
      <c r="SI20" s="106"/>
      <c r="SJ20" s="15">
        <v>13</v>
      </c>
      <c r="SK20" s="92">
        <v>898.11</v>
      </c>
      <c r="SL20" s="244">
        <v>44932</v>
      </c>
      <c r="SM20" s="92">
        <v>898.11</v>
      </c>
      <c r="SN20" s="95" t="s">
        <v>904</v>
      </c>
      <c r="SO20" s="71">
        <v>47</v>
      </c>
      <c r="SP20" s="71">
        <f t="shared" si="54"/>
        <v>42211.17</v>
      </c>
      <c r="SS20" s="106"/>
      <c r="ST20" s="15">
        <v>13</v>
      </c>
      <c r="SU20" s="92">
        <v>916.3</v>
      </c>
      <c r="SV20" s="244"/>
      <c r="SW20" s="92"/>
      <c r="SX20" s="95"/>
      <c r="SY20" s="71"/>
      <c r="SZ20" s="71">
        <f t="shared" si="55"/>
        <v>0</v>
      </c>
      <c r="TC20" s="106"/>
      <c r="TD20" s="15">
        <v>13</v>
      </c>
      <c r="TE20" s="92">
        <v>938.9</v>
      </c>
      <c r="TF20" s="244">
        <v>44933</v>
      </c>
      <c r="TG20" s="92">
        <v>938.9</v>
      </c>
      <c r="TH20" s="95" t="s">
        <v>914</v>
      </c>
      <c r="TI20" s="71">
        <v>45</v>
      </c>
      <c r="TJ20" s="71">
        <f t="shared" si="56"/>
        <v>42250.5</v>
      </c>
      <c r="TM20" s="106"/>
      <c r="TN20" s="15">
        <v>13</v>
      </c>
      <c r="TO20" s="92"/>
      <c r="TP20" s="295"/>
      <c r="TQ20" s="168"/>
      <c r="TR20" s="291"/>
      <c r="TS20" s="290"/>
      <c r="TT20" s="290"/>
      <c r="TW20" s="106"/>
      <c r="TX20" s="15">
        <v>13</v>
      </c>
      <c r="TY20" s="92"/>
      <c r="TZ20" s="79"/>
      <c r="UA20" s="92"/>
      <c r="UB20" s="95"/>
      <c r="UC20" s="71"/>
      <c r="UF20" s="106"/>
      <c r="UG20" s="15">
        <v>13</v>
      </c>
      <c r="UH20" s="92"/>
      <c r="UI20" s="79"/>
      <c r="UJ20" s="92"/>
      <c r="UK20" s="95"/>
      <c r="UL20" s="71"/>
      <c r="UO20" s="106"/>
      <c r="UP20" s="15">
        <v>13</v>
      </c>
      <c r="UQ20" s="92"/>
      <c r="UR20" s="79"/>
      <c r="US20" s="92"/>
      <c r="UT20" s="95"/>
      <c r="UU20" s="71"/>
      <c r="UX20" s="106"/>
      <c r="UY20" s="15">
        <v>13</v>
      </c>
      <c r="UZ20" s="92"/>
      <c r="VA20" s="79"/>
      <c r="VB20" s="92"/>
      <c r="VC20" s="95"/>
      <c r="VD20" s="71"/>
      <c r="VG20" s="106"/>
      <c r="VH20" s="15">
        <v>13</v>
      </c>
      <c r="VI20" s="92"/>
      <c r="VJ20" s="79"/>
      <c r="VK20" s="92"/>
      <c r="VL20" s="95"/>
      <c r="VM20" s="71"/>
      <c r="VP20" s="106"/>
      <c r="VQ20" s="15">
        <v>13</v>
      </c>
      <c r="VR20" s="92"/>
      <c r="VS20" s="79"/>
      <c r="VT20" s="92"/>
      <c r="VU20" s="95"/>
      <c r="VV20" s="71"/>
      <c r="VY20" s="106"/>
      <c r="VZ20" s="15">
        <v>13</v>
      </c>
      <c r="WA20" s="92"/>
      <c r="WB20" s="79"/>
      <c r="WC20" s="92"/>
      <c r="WD20" s="95"/>
      <c r="WE20" s="71"/>
      <c r="WH20" s="106"/>
      <c r="WI20" s="15">
        <v>13</v>
      </c>
      <c r="WJ20" s="92"/>
      <c r="WK20" s="79"/>
      <c r="WL20" s="92"/>
      <c r="WM20" s="95"/>
      <c r="WN20" s="71"/>
      <c r="WQ20" s="106"/>
      <c r="WR20" s="15">
        <v>13</v>
      </c>
      <c r="WS20" s="92"/>
      <c r="WT20" s="79"/>
      <c r="WU20" s="92"/>
      <c r="WV20" s="95"/>
      <c r="WW20" s="71"/>
      <c r="WZ20" s="106"/>
      <c r="XA20" s="15">
        <v>13</v>
      </c>
      <c r="XB20" s="92"/>
      <c r="XC20" s="79"/>
      <c r="XD20" s="92"/>
      <c r="XE20" s="95"/>
      <c r="XF20" s="71"/>
      <c r="XI20" s="106"/>
      <c r="XJ20" s="15">
        <v>13</v>
      </c>
      <c r="XK20" s="92"/>
      <c r="XL20" s="79"/>
      <c r="XM20" s="92"/>
      <c r="XN20" s="95"/>
      <c r="XO20" s="71"/>
      <c r="XR20" s="106"/>
      <c r="XS20" s="15">
        <v>13</v>
      </c>
      <c r="XT20" s="92"/>
      <c r="XU20" s="79"/>
      <c r="XV20" s="92"/>
      <c r="XW20" s="95"/>
      <c r="XX20" s="71"/>
      <c r="YA20" s="106"/>
      <c r="YB20" s="15">
        <v>13</v>
      </c>
      <c r="YC20" s="92"/>
      <c r="YD20" s="79"/>
      <c r="YE20" s="92"/>
      <c r="YF20" s="95"/>
      <c r="YG20" s="71"/>
      <c r="YJ20" s="106"/>
      <c r="YK20" s="15">
        <v>13</v>
      </c>
      <c r="YL20" s="92"/>
      <c r="YM20" s="79"/>
      <c r="YN20" s="92"/>
      <c r="YO20" s="95"/>
      <c r="YP20" s="71"/>
      <c r="YS20" s="106"/>
      <c r="YT20" s="15">
        <v>13</v>
      </c>
      <c r="YU20" s="92"/>
      <c r="YV20" s="79"/>
      <c r="YW20" s="92"/>
      <c r="YX20" s="95"/>
      <c r="YY20" s="71"/>
      <c r="ZB20" s="106"/>
      <c r="ZC20" s="15">
        <v>13</v>
      </c>
      <c r="ZD20" s="92"/>
      <c r="ZE20" s="79"/>
      <c r="ZF20" s="92"/>
      <c r="ZG20" s="95"/>
      <c r="ZH20" s="71"/>
      <c r="ZK20" s="106"/>
      <c r="ZL20" s="15">
        <v>13</v>
      </c>
      <c r="ZM20" s="92"/>
      <c r="ZN20" s="79"/>
      <c r="ZO20" s="92"/>
      <c r="ZP20" s="95"/>
      <c r="ZQ20" s="71"/>
      <c r="ZT20" s="106"/>
      <c r="ZU20" s="15">
        <v>13</v>
      </c>
      <c r="ZV20" s="92"/>
      <c r="ZW20" s="79"/>
      <c r="ZX20" s="92"/>
      <c r="ZY20" s="95"/>
      <c r="ZZ20" s="71"/>
      <c r="AAC20" s="106"/>
      <c r="AAD20" s="15">
        <v>13</v>
      </c>
      <c r="AAE20" s="92"/>
      <c r="AAF20" s="79"/>
      <c r="AAG20" s="92"/>
      <c r="AAH20" s="95"/>
      <c r="AAI20" s="71"/>
      <c r="AAL20" s="106"/>
      <c r="AAM20" s="15">
        <v>13</v>
      </c>
      <c r="AAN20" s="92"/>
      <c r="AAO20" s="79"/>
      <c r="AAP20" s="92"/>
      <c r="AAQ20" s="95"/>
      <c r="AAR20" s="71"/>
      <c r="AAU20" s="106"/>
      <c r="AAV20" s="15">
        <v>13</v>
      </c>
      <c r="AAW20" s="92"/>
      <c r="AAX20" s="79"/>
      <c r="AAY20" s="92"/>
      <c r="AAZ20" s="95"/>
      <c r="ABA20" s="71"/>
      <c r="ABD20" s="106"/>
      <c r="ABE20" s="15">
        <v>13</v>
      </c>
      <c r="ABF20" s="92"/>
      <c r="ABG20" s="79"/>
      <c r="ABH20" s="92"/>
      <c r="ABI20" s="95"/>
      <c r="ABJ20" s="71"/>
      <c r="ABM20" s="106"/>
      <c r="ABN20" s="15">
        <v>13</v>
      </c>
      <c r="ABO20" s="92"/>
      <c r="ABP20" s="79"/>
      <c r="ABQ20" s="92"/>
      <c r="ABR20" s="95"/>
      <c r="ABS20" s="71"/>
      <c r="ABV20" s="106"/>
      <c r="ABW20" s="15">
        <v>13</v>
      </c>
      <c r="ABX20" s="92"/>
      <c r="ABY20" s="79"/>
      <c r="ABZ20" s="92"/>
      <c r="ACA20" s="95"/>
      <c r="ACB20" s="71"/>
      <c r="ACE20" s="106"/>
      <c r="ACF20" s="15">
        <v>13</v>
      </c>
      <c r="ACG20" s="92"/>
      <c r="ACH20" s="79"/>
      <c r="ACI20" s="92"/>
      <c r="ACJ20" s="95"/>
      <c r="ACK20" s="71"/>
      <c r="ACN20" s="106"/>
      <c r="ACO20" s="15">
        <v>13</v>
      </c>
      <c r="ACP20" s="92"/>
      <c r="ACQ20" s="79"/>
      <c r="ACR20" s="92"/>
      <c r="ACS20" s="95"/>
      <c r="ACT20" s="71"/>
      <c r="ACW20" s="106"/>
      <c r="ACX20" s="15">
        <v>13</v>
      </c>
      <c r="ACY20" s="92"/>
      <c r="ACZ20" s="79"/>
      <c r="ADA20" s="92"/>
      <c r="ADB20" s="95"/>
      <c r="ADC20" s="71"/>
      <c r="ADF20" s="106"/>
      <c r="ADG20" s="15">
        <v>13</v>
      </c>
      <c r="ADH20" s="92"/>
      <c r="ADI20" s="79"/>
      <c r="ADJ20" s="92"/>
      <c r="ADK20" s="95"/>
      <c r="ADL20" s="71"/>
      <c r="ADO20" s="106"/>
      <c r="ADP20" s="15">
        <v>13</v>
      </c>
      <c r="ADQ20" s="92"/>
      <c r="ADR20" s="79"/>
      <c r="ADS20" s="92"/>
      <c r="ADT20" s="95"/>
      <c r="ADU20" s="71"/>
      <c r="ADX20" s="106"/>
      <c r="ADY20" s="15">
        <v>13</v>
      </c>
      <c r="ADZ20" s="92"/>
      <c r="AEA20" s="79"/>
      <c r="AEB20" s="92"/>
      <c r="AEC20" s="95"/>
      <c r="AED20" s="71"/>
      <c r="AEG20" s="106"/>
      <c r="AEH20" s="15">
        <v>13</v>
      </c>
      <c r="AEI20" s="92"/>
      <c r="AEJ20" s="79"/>
      <c r="AEK20" s="92"/>
      <c r="AEL20" s="95"/>
      <c r="AEM20" s="71"/>
      <c r="AEP20" s="106"/>
      <c r="AEQ20" s="15">
        <v>13</v>
      </c>
      <c r="AER20" s="92"/>
      <c r="AES20" s="79"/>
      <c r="AET20" s="92"/>
      <c r="AEU20" s="95"/>
      <c r="AEV20" s="71"/>
      <c r="AEY20" s="106"/>
      <c r="AEZ20" s="15">
        <v>13</v>
      </c>
      <c r="AFA20" s="92"/>
      <c r="AFB20" s="79"/>
      <c r="AFC20" s="92"/>
      <c r="AFD20" s="95"/>
      <c r="AFE20" s="71"/>
    </row>
    <row r="21" spans="1:840" x14ac:dyDescent="0.25">
      <c r="A21" s="137">
        <v>18</v>
      </c>
      <c r="B21" s="75" t="str">
        <f t="shared" ref="B21:I21" si="69">FY5</f>
        <v>SEABOARD FOODS</v>
      </c>
      <c r="C21" s="75" t="str">
        <f t="shared" si="69"/>
        <v>Seaboard</v>
      </c>
      <c r="D21" s="299" t="str">
        <f>GA5</f>
        <v>PED. 90971391</v>
      </c>
      <c r="E21" s="135">
        <f t="shared" si="69"/>
        <v>44908</v>
      </c>
      <c r="F21" s="86">
        <f t="shared" si="69"/>
        <v>18992.169999999998</v>
      </c>
      <c r="G21" s="73">
        <f t="shared" si="69"/>
        <v>21</v>
      </c>
      <c r="H21" s="48">
        <f t="shared" si="69"/>
        <v>18917.400000000001</v>
      </c>
      <c r="I21" s="105">
        <f t="shared" si="69"/>
        <v>74.769999999996799</v>
      </c>
      <c r="L21" s="94"/>
      <c r="M21" s="15">
        <v>14</v>
      </c>
      <c r="N21" s="69">
        <v>939.8</v>
      </c>
      <c r="O21" s="252">
        <v>44895</v>
      </c>
      <c r="P21" s="69">
        <v>939.8</v>
      </c>
      <c r="Q21" s="70" t="s">
        <v>584</v>
      </c>
      <c r="R21" s="71">
        <v>51</v>
      </c>
      <c r="S21" s="393">
        <f t="shared" si="8"/>
        <v>47929.799999999996</v>
      </c>
      <c r="V21" s="94"/>
      <c r="W21" s="15">
        <v>14</v>
      </c>
      <c r="X21" s="69">
        <v>890.9</v>
      </c>
      <c r="Y21" s="252">
        <v>44895</v>
      </c>
      <c r="Z21" s="69">
        <v>890.9</v>
      </c>
      <c r="AA21" s="695" t="s">
        <v>583</v>
      </c>
      <c r="AB21" s="696">
        <v>51</v>
      </c>
      <c r="AC21" s="393">
        <f t="shared" si="9"/>
        <v>45435.9</v>
      </c>
      <c r="AF21" s="106"/>
      <c r="AG21" s="15">
        <v>14</v>
      </c>
      <c r="AH21" s="92">
        <v>958.89</v>
      </c>
      <c r="AI21" s="244">
        <v>44896</v>
      </c>
      <c r="AJ21" s="92">
        <v>958.89</v>
      </c>
      <c r="AK21" s="95" t="s">
        <v>588</v>
      </c>
      <c r="AL21" s="71">
        <v>51</v>
      </c>
      <c r="AM21" s="393">
        <f t="shared" si="10"/>
        <v>48903.39</v>
      </c>
      <c r="AP21" s="106"/>
      <c r="AQ21" s="15">
        <v>14</v>
      </c>
      <c r="AR21" s="92">
        <v>927.1</v>
      </c>
      <c r="AS21" s="244">
        <v>44897</v>
      </c>
      <c r="AT21" s="92">
        <v>927.1</v>
      </c>
      <c r="AU21" s="95" t="s">
        <v>600</v>
      </c>
      <c r="AV21" s="71">
        <v>51</v>
      </c>
      <c r="AW21" s="393">
        <f t="shared" si="11"/>
        <v>47282.1</v>
      </c>
      <c r="AZ21" s="106"/>
      <c r="BA21" s="15">
        <v>14</v>
      </c>
      <c r="BB21" s="92">
        <v>894.5</v>
      </c>
      <c r="BC21" s="244">
        <v>44897</v>
      </c>
      <c r="BD21" s="92">
        <v>894.5</v>
      </c>
      <c r="BE21" s="95" t="s">
        <v>599</v>
      </c>
      <c r="BF21" s="71">
        <v>51</v>
      </c>
      <c r="BG21" s="393">
        <f t="shared" si="12"/>
        <v>45619.5</v>
      </c>
      <c r="BJ21" s="667"/>
      <c r="BK21" s="15">
        <v>14</v>
      </c>
      <c r="BL21" s="92">
        <v>911.26</v>
      </c>
      <c r="BM21" s="135">
        <v>44898</v>
      </c>
      <c r="BN21" s="92">
        <v>911.26</v>
      </c>
      <c r="BO21" s="95" t="s">
        <v>609</v>
      </c>
      <c r="BP21" s="288">
        <v>51</v>
      </c>
      <c r="BQ21" s="481">
        <f t="shared" si="13"/>
        <v>46474.26</v>
      </c>
      <c r="BR21" s="393"/>
      <c r="BT21" s="106"/>
      <c r="BU21" s="15"/>
      <c r="BV21" s="92"/>
      <c r="BW21" s="289"/>
      <c r="BX21" s="92"/>
      <c r="BY21" s="577"/>
      <c r="BZ21" s="290"/>
      <c r="CA21" s="393">
        <f t="shared" si="5"/>
        <v>0</v>
      </c>
      <c r="CD21" s="213"/>
      <c r="CE21" s="15">
        <v>14</v>
      </c>
      <c r="CF21" s="92">
        <v>920.8</v>
      </c>
      <c r="CG21" s="289">
        <v>44901</v>
      </c>
      <c r="CH21" s="92">
        <v>920.8</v>
      </c>
      <c r="CI21" s="291" t="s">
        <v>620</v>
      </c>
      <c r="CJ21" s="290">
        <v>51</v>
      </c>
      <c r="CK21" s="243">
        <f t="shared" si="14"/>
        <v>46960.799999999996</v>
      </c>
      <c r="CN21" s="411"/>
      <c r="CO21" s="15">
        <v>14</v>
      </c>
      <c r="CP21" s="92">
        <v>899</v>
      </c>
      <c r="CQ21" s="289">
        <v>44901</v>
      </c>
      <c r="CR21" s="92">
        <v>899</v>
      </c>
      <c r="CS21" s="291" t="s">
        <v>627</v>
      </c>
      <c r="CT21" s="290">
        <v>51</v>
      </c>
      <c r="CU21" s="398">
        <f t="shared" si="58"/>
        <v>45849</v>
      </c>
      <c r="CX21" s="106"/>
      <c r="CY21" s="15">
        <v>14</v>
      </c>
      <c r="CZ21" s="92">
        <v>972.04</v>
      </c>
      <c r="DA21" s="244">
        <v>44902</v>
      </c>
      <c r="DB21" s="92">
        <v>972.04</v>
      </c>
      <c r="DC21" s="95" t="s">
        <v>632</v>
      </c>
      <c r="DD21" s="71">
        <v>51</v>
      </c>
      <c r="DE21" s="393">
        <f t="shared" si="15"/>
        <v>49574.04</v>
      </c>
      <c r="DH21" s="106"/>
      <c r="DI21" s="15">
        <v>14</v>
      </c>
      <c r="DJ21" s="694">
        <v>878.2</v>
      </c>
      <c r="DK21" s="720">
        <v>44903</v>
      </c>
      <c r="DL21" s="694">
        <v>878.2</v>
      </c>
      <c r="DM21" s="721" t="s">
        <v>649</v>
      </c>
      <c r="DN21" s="722">
        <v>51</v>
      </c>
      <c r="DO21" s="398">
        <f t="shared" si="16"/>
        <v>44788.200000000004</v>
      </c>
      <c r="DR21" s="106"/>
      <c r="DS21" s="15">
        <v>14</v>
      </c>
      <c r="DT21" s="92">
        <v>936.21</v>
      </c>
      <c r="DU21" s="289">
        <v>44903</v>
      </c>
      <c r="DV21" s="92">
        <v>936.21</v>
      </c>
      <c r="DW21" s="291" t="s">
        <v>645</v>
      </c>
      <c r="DX21" s="290">
        <v>51</v>
      </c>
      <c r="DY21" s="393">
        <f t="shared" si="17"/>
        <v>47746.71</v>
      </c>
      <c r="EB21" s="106"/>
      <c r="EC21" s="15">
        <v>14</v>
      </c>
      <c r="ED21" s="69">
        <v>893.6</v>
      </c>
      <c r="EE21" s="252">
        <v>44904</v>
      </c>
      <c r="EF21" s="69">
        <v>893.6</v>
      </c>
      <c r="EG21" s="70" t="s">
        <v>662</v>
      </c>
      <c r="EH21" s="71">
        <v>51</v>
      </c>
      <c r="EI21" s="393">
        <f t="shared" si="18"/>
        <v>45573.599999999999</v>
      </c>
      <c r="EL21" s="106"/>
      <c r="EM21" s="15">
        <v>14</v>
      </c>
      <c r="EN21" s="69">
        <v>936.2</v>
      </c>
      <c r="EO21" s="252">
        <v>44904</v>
      </c>
      <c r="EP21" s="69">
        <v>936.2</v>
      </c>
      <c r="EQ21" s="70" t="s">
        <v>660</v>
      </c>
      <c r="ER21" s="71">
        <v>51</v>
      </c>
      <c r="ES21" s="393">
        <f t="shared" si="19"/>
        <v>47746.200000000004</v>
      </c>
      <c r="EV21" s="106"/>
      <c r="EW21" s="15">
        <v>14</v>
      </c>
      <c r="EX21" s="92">
        <v>889</v>
      </c>
      <c r="EY21" s="244">
        <v>44904</v>
      </c>
      <c r="EZ21" s="92">
        <v>889</v>
      </c>
      <c r="FA21" s="70" t="s">
        <v>664</v>
      </c>
      <c r="FB21" s="71">
        <v>51</v>
      </c>
      <c r="FC21" s="393">
        <f t="shared" si="20"/>
        <v>45339</v>
      </c>
      <c r="FF21" s="106"/>
      <c r="FG21" s="15">
        <v>14</v>
      </c>
      <c r="FH21" s="92">
        <v>897.2</v>
      </c>
      <c r="FI21" s="244">
        <v>44905</v>
      </c>
      <c r="FJ21" s="92">
        <v>897.2</v>
      </c>
      <c r="FK21" s="70" t="s">
        <v>679</v>
      </c>
      <c r="FL21" s="71">
        <v>51</v>
      </c>
      <c r="FM21" s="243">
        <f t="shared" si="21"/>
        <v>45757.200000000004</v>
      </c>
      <c r="FP21" s="106"/>
      <c r="FQ21" s="15">
        <v>14</v>
      </c>
      <c r="FR21" s="92">
        <v>940.75</v>
      </c>
      <c r="FS21" s="244">
        <v>44905</v>
      </c>
      <c r="FT21" s="92">
        <v>940.75</v>
      </c>
      <c r="FU21" s="70" t="s">
        <v>675</v>
      </c>
      <c r="FV21" s="71">
        <v>51</v>
      </c>
      <c r="FW21" s="393">
        <f t="shared" si="22"/>
        <v>47978.25</v>
      </c>
      <c r="FX21" s="71"/>
      <c r="FZ21" s="106"/>
      <c r="GA21" s="15">
        <v>14</v>
      </c>
      <c r="GB21" s="69">
        <v>883.6</v>
      </c>
      <c r="GC21" s="252">
        <v>44908</v>
      </c>
      <c r="GD21" s="69">
        <v>883.6</v>
      </c>
      <c r="GE21" s="70" t="s">
        <v>688</v>
      </c>
      <c r="GF21" s="71">
        <v>49</v>
      </c>
      <c r="GG21" s="243">
        <f t="shared" si="23"/>
        <v>43296.4</v>
      </c>
      <c r="GJ21" s="106"/>
      <c r="GK21" s="15">
        <v>14</v>
      </c>
      <c r="GL21" s="352">
        <v>884.5</v>
      </c>
      <c r="GM21" s="244">
        <v>44908</v>
      </c>
      <c r="GN21" s="352">
        <v>884.5</v>
      </c>
      <c r="GO21" s="95" t="s">
        <v>697</v>
      </c>
      <c r="GP21" s="71">
        <v>49</v>
      </c>
      <c r="GQ21" s="393">
        <f t="shared" si="24"/>
        <v>43340.5</v>
      </c>
      <c r="GT21" s="106"/>
      <c r="GU21" s="15">
        <v>14</v>
      </c>
      <c r="GV21" s="92">
        <v>933.5</v>
      </c>
      <c r="GW21" s="244">
        <v>44908</v>
      </c>
      <c r="GX21" s="92">
        <v>933.5</v>
      </c>
      <c r="GY21" s="95" t="s">
        <v>695</v>
      </c>
      <c r="GZ21" s="71">
        <v>49</v>
      </c>
      <c r="HA21" s="393">
        <f t="shared" si="25"/>
        <v>45741.5</v>
      </c>
      <c r="HD21" s="106"/>
      <c r="HE21" s="15">
        <v>14</v>
      </c>
      <c r="HF21" s="92">
        <v>970.23</v>
      </c>
      <c r="HG21" s="244">
        <v>44909</v>
      </c>
      <c r="HH21" s="92">
        <v>970.23</v>
      </c>
      <c r="HI21" s="944" t="s">
        <v>706</v>
      </c>
      <c r="HJ21" s="71">
        <v>49</v>
      </c>
      <c r="HK21" s="243">
        <f t="shared" si="26"/>
        <v>47541.270000000004</v>
      </c>
      <c r="HN21" s="106"/>
      <c r="HO21" s="15">
        <v>14</v>
      </c>
      <c r="HP21" s="92">
        <v>900.38</v>
      </c>
      <c r="HQ21" s="244">
        <v>44910</v>
      </c>
      <c r="HR21" s="92">
        <v>900.38</v>
      </c>
      <c r="HS21" s="292" t="s">
        <v>710</v>
      </c>
      <c r="HT21" s="71">
        <v>49</v>
      </c>
      <c r="HU21" s="243">
        <f t="shared" si="27"/>
        <v>44118.62</v>
      </c>
      <c r="HX21" s="94"/>
      <c r="HY21" s="15">
        <v>14</v>
      </c>
      <c r="HZ21" s="69">
        <v>902.64</v>
      </c>
      <c r="IA21" s="252">
        <v>44910</v>
      </c>
      <c r="IB21" s="69">
        <v>902.64</v>
      </c>
      <c r="IC21" s="70" t="s">
        <v>707</v>
      </c>
      <c r="ID21" s="71">
        <v>49</v>
      </c>
      <c r="IE21" s="393">
        <f t="shared" si="6"/>
        <v>44229.36</v>
      </c>
      <c r="IH21" s="94"/>
      <c r="II21" s="15">
        <v>14</v>
      </c>
      <c r="IJ21" s="69">
        <v>892.7</v>
      </c>
      <c r="IK21" s="252">
        <v>44910</v>
      </c>
      <c r="IL21" s="69">
        <v>892.7</v>
      </c>
      <c r="IM21" s="70" t="s">
        <v>720</v>
      </c>
      <c r="IN21" s="71">
        <v>49</v>
      </c>
      <c r="IO21" s="393">
        <f t="shared" si="28"/>
        <v>43742.3</v>
      </c>
      <c r="IR21" s="106"/>
      <c r="IS21" s="15">
        <v>14</v>
      </c>
      <c r="IT21" s="92">
        <v>903.6</v>
      </c>
      <c r="IU21" s="135">
        <v>44911</v>
      </c>
      <c r="IV21" s="92">
        <v>903.6</v>
      </c>
      <c r="IW21" s="363" t="s">
        <v>731</v>
      </c>
      <c r="IX21" s="71">
        <v>47</v>
      </c>
      <c r="IY21" s="243">
        <f t="shared" si="29"/>
        <v>42469.200000000004</v>
      </c>
      <c r="IZ21" s="92"/>
      <c r="JB21" s="106"/>
      <c r="JC21" s="15">
        <v>14</v>
      </c>
      <c r="JD21" s="92">
        <v>929.9</v>
      </c>
      <c r="JE21" s="252">
        <v>44911</v>
      </c>
      <c r="JF21" s="92">
        <v>929.9</v>
      </c>
      <c r="JG21" s="70" t="s">
        <v>728</v>
      </c>
      <c r="JH21" s="71">
        <v>47</v>
      </c>
      <c r="JI21" s="393">
        <f t="shared" si="30"/>
        <v>43705.299999999996</v>
      </c>
      <c r="JL21" s="106"/>
      <c r="JM21" s="15">
        <v>14</v>
      </c>
      <c r="JN21" s="92">
        <v>917.2</v>
      </c>
      <c r="JO21" s="244">
        <v>44912</v>
      </c>
      <c r="JP21" s="92">
        <v>917.2</v>
      </c>
      <c r="JQ21" s="70" t="s">
        <v>738</v>
      </c>
      <c r="JR21" s="71">
        <v>48</v>
      </c>
      <c r="JS21" s="393">
        <f t="shared" si="31"/>
        <v>44025.600000000006</v>
      </c>
      <c r="JV21" s="94"/>
      <c r="JW21" s="15">
        <v>14</v>
      </c>
      <c r="JX21" s="69">
        <v>898.1</v>
      </c>
      <c r="JY21" s="252">
        <v>44912</v>
      </c>
      <c r="JZ21" s="69">
        <v>898.1</v>
      </c>
      <c r="KA21" s="70" t="s">
        <v>709</v>
      </c>
      <c r="KB21" s="71">
        <v>48</v>
      </c>
      <c r="KC21" s="393">
        <f t="shared" si="32"/>
        <v>43108.800000000003</v>
      </c>
      <c r="KF21" s="94"/>
      <c r="KG21" s="15">
        <v>14</v>
      </c>
      <c r="KH21" s="69">
        <v>906.7</v>
      </c>
      <c r="KI21" s="252">
        <v>44915</v>
      </c>
      <c r="KJ21" s="69">
        <v>906.7</v>
      </c>
      <c r="KK21" s="70" t="s">
        <v>759</v>
      </c>
      <c r="KL21" s="71">
        <v>49</v>
      </c>
      <c r="KM21" s="393">
        <f t="shared" si="33"/>
        <v>44428.3</v>
      </c>
      <c r="KP21" s="94"/>
      <c r="KQ21" s="15">
        <v>14</v>
      </c>
      <c r="KR21" s="69">
        <v>950.72</v>
      </c>
      <c r="KS21" s="252">
        <v>44915</v>
      </c>
      <c r="KT21" s="69">
        <v>950.72</v>
      </c>
      <c r="KU21" s="695" t="s">
        <v>758</v>
      </c>
      <c r="KV21" s="696">
        <v>49</v>
      </c>
      <c r="KW21" s="393">
        <f t="shared" si="34"/>
        <v>46585.279999999999</v>
      </c>
      <c r="KZ21" s="106"/>
      <c r="LA21" s="15">
        <v>14</v>
      </c>
      <c r="LB21" s="92">
        <v>929</v>
      </c>
      <c r="LC21" s="244">
        <v>44916</v>
      </c>
      <c r="LD21" s="92">
        <v>929</v>
      </c>
      <c r="LE21" s="95" t="s">
        <v>769</v>
      </c>
      <c r="LF21" s="71">
        <v>51</v>
      </c>
      <c r="LG21" s="393">
        <f t="shared" si="35"/>
        <v>47379</v>
      </c>
      <c r="LJ21" s="106"/>
      <c r="LK21" s="15">
        <v>14</v>
      </c>
      <c r="LL21" s="92">
        <v>959.34</v>
      </c>
      <c r="LM21" s="244">
        <v>44916</v>
      </c>
      <c r="LN21" s="92">
        <v>959.34</v>
      </c>
      <c r="LO21" s="95" t="s">
        <v>776</v>
      </c>
      <c r="LP21" s="71">
        <v>51</v>
      </c>
      <c r="LQ21" s="393">
        <f t="shared" si="36"/>
        <v>48926.340000000004</v>
      </c>
      <c r="LT21" s="106"/>
      <c r="LU21" s="15">
        <v>14</v>
      </c>
      <c r="LV21" s="92">
        <v>866.4</v>
      </c>
      <c r="LW21" s="244">
        <v>44917</v>
      </c>
      <c r="LX21" s="92">
        <v>866.4</v>
      </c>
      <c r="LY21" s="95" t="s">
        <v>787</v>
      </c>
      <c r="LZ21" s="71">
        <v>53</v>
      </c>
      <c r="MA21" s="393">
        <f t="shared" si="37"/>
        <v>45919.199999999997</v>
      </c>
      <c r="MB21" s="393"/>
      <c r="MD21" s="106"/>
      <c r="ME21" s="15">
        <v>14</v>
      </c>
      <c r="MF21" s="296">
        <v>907.2</v>
      </c>
      <c r="MG21" s="244">
        <v>44916</v>
      </c>
      <c r="MH21" s="296">
        <v>907.2</v>
      </c>
      <c r="MI21" s="95" t="s">
        <v>773</v>
      </c>
      <c r="MJ21" s="71">
        <v>51</v>
      </c>
      <c r="MK21" s="71">
        <f t="shared" si="38"/>
        <v>46267.200000000004</v>
      </c>
      <c r="MN21" s="106"/>
      <c r="MO21" s="15">
        <v>14</v>
      </c>
      <c r="MP21" s="92">
        <v>920.33</v>
      </c>
      <c r="MQ21" s="244">
        <v>44917</v>
      </c>
      <c r="MR21" s="92">
        <v>920.33</v>
      </c>
      <c r="MS21" s="95" t="s">
        <v>790</v>
      </c>
      <c r="MT21" s="71">
        <v>53</v>
      </c>
      <c r="MU21" s="71">
        <f t="shared" si="39"/>
        <v>48777.490000000005</v>
      </c>
      <c r="MX21" s="106"/>
      <c r="MY21" s="15">
        <v>14</v>
      </c>
      <c r="MZ21" s="92">
        <v>895.4</v>
      </c>
      <c r="NA21" s="244">
        <v>44918</v>
      </c>
      <c r="NB21" s="92">
        <v>895.4</v>
      </c>
      <c r="NC21" s="95" t="s">
        <v>807</v>
      </c>
      <c r="ND21" s="71">
        <v>53</v>
      </c>
      <c r="NE21" s="71">
        <f t="shared" si="40"/>
        <v>47456.2</v>
      </c>
      <c r="NH21" s="106"/>
      <c r="NI21" s="15">
        <v>14</v>
      </c>
      <c r="NJ21" s="92">
        <v>935.3</v>
      </c>
      <c r="NK21" s="244">
        <v>44918</v>
      </c>
      <c r="NL21" s="92">
        <v>935.3</v>
      </c>
      <c r="NM21" s="95" t="s">
        <v>814</v>
      </c>
      <c r="NN21" s="71">
        <v>53</v>
      </c>
      <c r="NO21" s="71">
        <f t="shared" si="41"/>
        <v>49570.899999999994</v>
      </c>
      <c r="NR21" s="106"/>
      <c r="NS21" s="15">
        <v>14</v>
      </c>
      <c r="NT21" s="92">
        <v>940.7</v>
      </c>
      <c r="NU21" s="244">
        <v>44918</v>
      </c>
      <c r="NV21" s="92">
        <v>940.7</v>
      </c>
      <c r="NW21" s="95" t="s">
        <v>818</v>
      </c>
      <c r="NX21" s="71">
        <v>53</v>
      </c>
      <c r="NY21" s="71">
        <f t="shared" si="42"/>
        <v>49857.100000000006</v>
      </c>
      <c r="OB21" s="106"/>
      <c r="OC21" s="15">
        <v>14</v>
      </c>
      <c r="OD21" s="92">
        <v>929</v>
      </c>
      <c r="OE21" s="244">
        <v>44919</v>
      </c>
      <c r="OF21" s="92">
        <v>929</v>
      </c>
      <c r="OG21" s="95" t="s">
        <v>803</v>
      </c>
      <c r="OH21" s="71">
        <v>53</v>
      </c>
      <c r="OI21" s="71">
        <f t="shared" si="43"/>
        <v>49237</v>
      </c>
      <c r="OL21" s="106"/>
      <c r="OM21" s="15">
        <v>14</v>
      </c>
      <c r="ON21" s="92">
        <v>927.1</v>
      </c>
      <c r="OO21" s="244">
        <v>44919</v>
      </c>
      <c r="OP21" s="92">
        <v>927.1</v>
      </c>
      <c r="OQ21" s="95" t="s">
        <v>824</v>
      </c>
      <c r="OR21" s="71">
        <v>53</v>
      </c>
      <c r="OS21" s="71">
        <f t="shared" si="44"/>
        <v>49136.3</v>
      </c>
      <c r="OV21" s="106"/>
      <c r="OW21" s="15">
        <v>14</v>
      </c>
      <c r="OX21" s="92">
        <v>931.7</v>
      </c>
      <c r="OY21" s="244">
        <v>44921</v>
      </c>
      <c r="OZ21" s="92">
        <v>931.7</v>
      </c>
      <c r="PA21" s="95" t="s">
        <v>831</v>
      </c>
      <c r="PB21" s="71">
        <v>53</v>
      </c>
      <c r="PC21" s="71">
        <f t="shared" si="45"/>
        <v>49380.100000000006</v>
      </c>
      <c r="PF21" s="94"/>
      <c r="PG21" s="15">
        <v>14</v>
      </c>
      <c r="PH21" s="92">
        <v>894</v>
      </c>
      <c r="PI21" s="244">
        <v>44924</v>
      </c>
      <c r="PJ21" s="92">
        <v>894</v>
      </c>
      <c r="PK21" s="95" t="s">
        <v>850</v>
      </c>
      <c r="PL21" s="71">
        <v>53</v>
      </c>
      <c r="PM21" s="71">
        <f t="shared" si="46"/>
        <v>47382</v>
      </c>
      <c r="PN21" s="71"/>
      <c r="PQ21" s="106"/>
      <c r="PR21" s="15">
        <v>14</v>
      </c>
      <c r="PS21" s="92">
        <v>921.2</v>
      </c>
      <c r="PT21" s="244">
        <v>44924</v>
      </c>
      <c r="PU21" s="92">
        <v>921.2</v>
      </c>
      <c r="PV21" s="95" t="s">
        <v>848</v>
      </c>
      <c r="PW21" s="71">
        <v>53</v>
      </c>
      <c r="PX21" s="71">
        <f t="shared" si="47"/>
        <v>48823.600000000006</v>
      </c>
      <c r="QA21" s="106"/>
      <c r="QB21" s="15">
        <v>14</v>
      </c>
      <c r="QC21" s="92">
        <v>914.44</v>
      </c>
      <c r="QD21" s="135">
        <v>44924</v>
      </c>
      <c r="QE21" s="92">
        <v>914.44</v>
      </c>
      <c r="QF21" s="95" t="s">
        <v>845</v>
      </c>
      <c r="QG21" s="71">
        <v>53</v>
      </c>
      <c r="QH21" s="71">
        <f t="shared" si="48"/>
        <v>48465.32</v>
      </c>
      <c r="QK21" s="106"/>
      <c r="QL21" s="15">
        <v>14</v>
      </c>
      <c r="QM21" s="92">
        <v>886.8</v>
      </c>
      <c r="QN21" s="244">
        <v>44928</v>
      </c>
      <c r="QO21" s="92">
        <v>886.8</v>
      </c>
      <c r="QP21" s="95" t="s">
        <v>870</v>
      </c>
      <c r="QQ21" s="71">
        <v>53</v>
      </c>
      <c r="QR21" s="71">
        <f t="shared" si="49"/>
        <v>47000.399999999994</v>
      </c>
      <c r="QU21" s="106"/>
      <c r="QV21" s="15">
        <v>14</v>
      </c>
      <c r="QW21" s="92">
        <v>870.9</v>
      </c>
      <c r="QX21" s="244">
        <v>44926</v>
      </c>
      <c r="QY21" s="92">
        <v>870.9</v>
      </c>
      <c r="QZ21" s="95" t="s">
        <v>861</v>
      </c>
      <c r="RA21" s="71">
        <v>53</v>
      </c>
      <c r="RB21" s="71">
        <f t="shared" si="50"/>
        <v>46157.7</v>
      </c>
      <c r="RE21" s="106"/>
      <c r="RF21" s="15">
        <v>14</v>
      </c>
      <c r="RG21" s="92">
        <v>873.6</v>
      </c>
      <c r="RH21" s="244">
        <v>44930</v>
      </c>
      <c r="RI21" s="92">
        <v>873.6</v>
      </c>
      <c r="RJ21" s="95" t="s">
        <v>888</v>
      </c>
      <c r="RK21" s="71">
        <v>47</v>
      </c>
      <c r="RL21" s="71">
        <f t="shared" si="51"/>
        <v>41059.200000000004</v>
      </c>
      <c r="RO21" s="106"/>
      <c r="RP21" s="15">
        <v>14</v>
      </c>
      <c r="RQ21" s="92">
        <v>939.8</v>
      </c>
      <c r="RR21" s="244">
        <v>44930</v>
      </c>
      <c r="RS21" s="92">
        <v>939.8</v>
      </c>
      <c r="RT21" s="95" t="s">
        <v>887</v>
      </c>
      <c r="RU21" s="288">
        <v>47</v>
      </c>
      <c r="RV21" s="71">
        <f t="shared" si="52"/>
        <v>44170.6</v>
      </c>
      <c r="RY21" s="106"/>
      <c r="RZ21" s="15">
        <v>14</v>
      </c>
      <c r="SA21" s="92">
        <v>912.62</v>
      </c>
      <c r="SB21" s="135">
        <v>44931</v>
      </c>
      <c r="SC21" s="92">
        <v>912.62</v>
      </c>
      <c r="SD21" s="95" t="s">
        <v>897</v>
      </c>
      <c r="SE21" s="71">
        <v>47</v>
      </c>
      <c r="SF21" s="71">
        <f t="shared" si="53"/>
        <v>42893.14</v>
      </c>
      <c r="SI21" s="106"/>
      <c r="SJ21" s="15">
        <v>14</v>
      </c>
      <c r="SK21" s="92">
        <v>921.69</v>
      </c>
      <c r="SL21" s="244">
        <v>44932</v>
      </c>
      <c r="SM21" s="92">
        <v>921.69</v>
      </c>
      <c r="SN21" s="95" t="s">
        <v>904</v>
      </c>
      <c r="SO21" s="71">
        <v>47</v>
      </c>
      <c r="SP21" s="71">
        <f t="shared" si="54"/>
        <v>43319.43</v>
      </c>
      <c r="SS21" s="106"/>
      <c r="ST21" s="15">
        <v>14</v>
      </c>
      <c r="SU21" s="92">
        <v>887.2</v>
      </c>
      <c r="SV21" s="244"/>
      <c r="SW21" s="92"/>
      <c r="SX21" s="95"/>
      <c r="SY21" s="71"/>
      <c r="SZ21" s="71">
        <f t="shared" si="55"/>
        <v>0</v>
      </c>
      <c r="TC21" s="106"/>
      <c r="TD21" s="15">
        <v>14</v>
      </c>
      <c r="TE21" s="92">
        <v>920.8</v>
      </c>
      <c r="TF21" s="244">
        <v>44933</v>
      </c>
      <c r="TG21" s="92">
        <v>920.8</v>
      </c>
      <c r="TH21" s="95" t="s">
        <v>914</v>
      </c>
      <c r="TI21" s="71">
        <v>45</v>
      </c>
      <c r="TJ21" s="71">
        <f t="shared" si="56"/>
        <v>41436</v>
      </c>
      <c r="TM21" s="106"/>
      <c r="TN21" s="15">
        <v>14</v>
      </c>
      <c r="TO21" s="92"/>
      <c r="TP21" s="295"/>
      <c r="TQ21" s="168"/>
      <c r="TR21" s="291"/>
      <c r="TS21" s="290"/>
      <c r="TT21" s="290"/>
      <c r="TW21" s="106"/>
      <c r="TX21" s="15">
        <v>14</v>
      </c>
      <c r="TY21" s="92"/>
      <c r="TZ21" s="79"/>
      <c r="UA21" s="92"/>
      <c r="UB21" s="95"/>
      <c r="UC21" s="71"/>
      <c r="UF21" s="106"/>
      <c r="UG21" s="15">
        <v>14</v>
      </c>
      <c r="UH21" s="92"/>
      <c r="UI21" s="79"/>
      <c r="UJ21" s="92"/>
      <c r="UK21" s="95"/>
      <c r="UL21" s="71"/>
      <c r="UO21" s="106"/>
      <c r="UP21" s="15">
        <v>14</v>
      </c>
      <c r="UQ21" s="92"/>
      <c r="UR21" s="79"/>
      <c r="US21" s="92"/>
      <c r="UT21" s="95"/>
      <c r="UU21" s="71"/>
      <c r="UX21" s="106"/>
      <c r="UY21" s="15">
        <v>14</v>
      </c>
      <c r="UZ21" s="92"/>
      <c r="VA21" s="79"/>
      <c r="VB21" s="92"/>
      <c r="VC21" s="95"/>
      <c r="VD21" s="71"/>
      <c r="VG21" s="106"/>
      <c r="VH21" s="15">
        <v>14</v>
      </c>
      <c r="VI21" s="92"/>
      <c r="VJ21" s="79"/>
      <c r="VK21" s="92"/>
      <c r="VL21" s="95"/>
      <c r="VM21" s="71"/>
      <c r="VP21" s="106"/>
      <c r="VQ21" s="15">
        <v>14</v>
      </c>
      <c r="VR21" s="92"/>
      <c r="VS21" s="79"/>
      <c r="VT21" s="92"/>
      <c r="VU21" s="95"/>
      <c r="VV21" s="71"/>
      <c r="VY21" s="106"/>
      <c r="VZ21" s="15">
        <v>14</v>
      </c>
      <c r="WA21" s="92"/>
      <c r="WB21" s="79"/>
      <c r="WC21" s="92"/>
      <c r="WD21" s="95"/>
      <c r="WE21" s="71"/>
      <c r="WH21" s="106"/>
      <c r="WI21" s="15">
        <v>14</v>
      </c>
      <c r="WJ21" s="92"/>
      <c r="WK21" s="79"/>
      <c r="WL21" s="92"/>
      <c r="WM21" s="95"/>
      <c r="WN21" s="71"/>
      <c r="WQ21" s="106"/>
      <c r="WR21" s="15">
        <v>14</v>
      </c>
      <c r="WS21" s="92"/>
      <c r="WT21" s="79"/>
      <c r="WU21" s="92"/>
      <c r="WV21" s="95"/>
      <c r="WW21" s="71"/>
      <c r="WZ21" s="106"/>
      <c r="XA21" s="15">
        <v>14</v>
      </c>
      <c r="XB21" s="92"/>
      <c r="XC21" s="79"/>
      <c r="XD21" s="92"/>
      <c r="XE21" s="95"/>
      <c r="XF21" s="71"/>
      <c r="XI21" s="106"/>
      <c r="XJ21" s="15">
        <v>14</v>
      </c>
      <c r="XK21" s="92"/>
      <c r="XL21" s="79"/>
      <c r="XM21" s="92"/>
      <c r="XN21" s="95"/>
      <c r="XO21" s="71"/>
      <c r="XR21" s="106"/>
      <c r="XS21" s="15">
        <v>14</v>
      </c>
      <c r="XT21" s="92"/>
      <c r="XU21" s="79"/>
      <c r="XV21" s="92"/>
      <c r="XW21" s="95"/>
      <c r="XX21" s="71"/>
      <c r="YA21" s="106"/>
      <c r="YB21" s="15">
        <v>14</v>
      </c>
      <c r="YC21" s="92"/>
      <c r="YD21" s="79"/>
      <c r="YE21" s="92"/>
      <c r="YF21" s="95"/>
      <c r="YG21" s="71"/>
      <c r="YJ21" s="106"/>
      <c r="YK21" s="15">
        <v>14</v>
      </c>
      <c r="YL21" s="92"/>
      <c r="YM21" s="79"/>
      <c r="YN21" s="92"/>
      <c r="YO21" s="95"/>
      <c r="YP21" s="71"/>
      <c r="YS21" s="106"/>
      <c r="YT21" s="15">
        <v>14</v>
      </c>
      <c r="YU21" s="92"/>
      <c r="YV21" s="79"/>
      <c r="YW21" s="92"/>
      <c r="YX21" s="95"/>
      <c r="YY21" s="71"/>
      <c r="ZB21" s="106"/>
      <c r="ZC21" s="15">
        <v>14</v>
      </c>
      <c r="ZD21" s="92"/>
      <c r="ZE21" s="79"/>
      <c r="ZF21" s="92"/>
      <c r="ZG21" s="95"/>
      <c r="ZH21" s="71"/>
      <c r="ZK21" s="106"/>
      <c r="ZL21" s="15">
        <v>14</v>
      </c>
      <c r="ZM21" s="92"/>
      <c r="ZN21" s="79"/>
      <c r="ZO21" s="92"/>
      <c r="ZP21" s="95"/>
      <c r="ZQ21" s="71"/>
      <c r="ZT21" s="106"/>
      <c r="ZU21" s="15">
        <v>14</v>
      </c>
      <c r="ZV21" s="92"/>
      <c r="ZW21" s="79"/>
      <c r="ZX21" s="92"/>
      <c r="ZY21" s="95"/>
      <c r="ZZ21" s="71"/>
      <c r="AAC21" s="106"/>
      <c r="AAD21" s="15">
        <v>14</v>
      </c>
      <c r="AAE21" s="92"/>
      <c r="AAF21" s="79"/>
      <c r="AAG21" s="92"/>
      <c r="AAH21" s="95"/>
      <c r="AAI21" s="71"/>
      <c r="AAL21" s="106"/>
      <c r="AAM21" s="15">
        <v>14</v>
      </c>
      <c r="AAN21" s="92"/>
      <c r="AAO21" s="79"/>
      <c r="AAP21" s="92"/>
      <c r="AAQ21" s="95"/>
      <c r="AAR21" s="71"/>
      <c r="AAU21" s="106"/>
      <c r="AAV21" s="15">
        <v>14</v>
      </c>
      <c r="AAW21" s="92"/>
      <c r="AAX21" s="79"/>
      <c r="AAY21" s="92"/>
      <c r="AAZ21" s="95"/>
      <c r="ABA21" s="71"/>
      <c r="ABD21" s="106"/>
      <c r="ABE21" s="15">
        <v>14</v>
      </c>
      <c r="ABF21" s="92"/>
      <c r="ABG21" s="79"/>
      <c r="ABH21" s="92"/>
      <c r="ABI21" s="95"/>
      <c r="ABJ21" s="71"/>
      <c r="ABM21" s="106"/>
      <c r="ABN21" s="15">
        <v>14</v>
      </c>
      <c r="ABO21" s="92"/>
      <c r="ABP21" s="79"/>
      <c r="ABQ21" s="92"/>
      <c r="ABR21" s="95"/>
      <c r="ABS21" s="71"/>
      <c r="ABV21" s="106"/>
      <c r="ABW21" s="15">
        <v>14</v>
      </c>
      <c r="ABX21" s="92"/>
      <c r="ABY21" s="79"/>
      <c r="ABZ21" s="92"/>
      <c r="ACA21" s="95"/>
      <c r="ACB21" s="71"/>
      <c r="ACE21" s="106"/>
      <c r="ACF21" s="15">
        <v>14</v>
      </c>
      <c r="ACG21" s="92"/>
      <c r="ACH21" s="79"/>
      <c r="ACI21" s="92"/>
      <c r="ACJ21" s="95"/>
      <c r="ACK21" s="71"/>
      <c r="ACN21" s="106"/>
      <c r="ACO21" s="15">
        <v>14</v>
      </c>
      <c r="ACP21" s="92"/>
      <c r="ACQ21" s="79"/>
      <c r="ACR21" s="92"/>
      <c r="ACS21" s="95"/>
      <c r="ACT21" s="71"/>
      <c r="ACW21" s="106"/>
      <c r="ACX21" s="15">
        <v>14</v>
      </c>
      <c r="ACY21" s="92"/>
      <c r="ACZ21" s="79"/>
      <c r="ADA21" s="92"/>
      <c r="ADB21" s="95"/>
      <c r="ADC21" s="71"/>
      <c r="ADF21" s="106"/>
      <c r="ADG21" s="15">
        <v>14</v>
      </c>
      <c r="ADH21" s="92"/>
      <c r="ADI21" s="79"/>
      <c r="ADJ21" s="92"/>
      <c r="ADK21" s="95"/>
      <c r="ADL21" s="71"/>
      <c r="ADO21" s="106"/>
      <c r="ADP21" s="15">
        <v>14</v>
      </c>
      <c r="ADQ21" s="92"/>
      <c r="ADR21" s="79"/>
      <c r="ADS21" s="92"/>
      <c r="ADT21" s="95"/>
      <c r="ADU21" s="71"/>
      <c r="ADX21" s="106"/>
      <c r="ADY21" s="15">
        <v>14</v>
      </c>
      <c r="ADZ21" s="92"/>
      <c r="AEA21" s="79"/>
      <c r="AEB21" s="92"/>
      <c r="AEC21" s="95"/>
      <c r="AED21" s="71"/>
      <c r="AEG21" s="106"/>
      <c r="AEH21" s="15">
        <v>14</v>
      </c>
      <c r="AEI21" s="92"/>
      <c r="AEJ21" s="79"/>
      <c r="AEK21" s="92"/>
      <c r="AEL21" s="95"/>
      <c r="AEM21" s="71"/>
      <c r="AEP21" s="106"/>
      <c r="AEQ21" s="15">
        <v>14</v>
      </c>
      <c r="AER21" s="92"/>
      <c r="AES21" s="79"/>
      <c r="AET21" s="92"/>
      <c r="AEU21" s="95"/>
      <c r="AEV21" s="71"/>
      <c r="AEY21" s="106"/>
      <c r="AEZ21" s="15">
        <v>14</v>
      </c>
      <c r="AFA21" s="92"/>
      <c r="AFB21" s="79"/>
      <c r="AFC21" s="92"/>
      <c r="AFD21" s="95"/>
      <c r="AFE21" s="71"/>
    </row>
    <row r="22" spans="1:840" x14ac:dyDescent="0.25">
      <c r="A22" s="137">
        <v>19</v>
      </c>
      <c r="B22" s="75" t="str">
        <f t="shared" ref="B22:H22" si="70">GI5</f>
        <v>SEABOARD FOODS</v>
      </c>
      <c r="C22" s="75" t="str">
        <f t="shared" si="70"/>
        <v>Seaboard</v>
      </c>
      <c r="D22" s="102" t="str">
        <f t="shared" si="70"/>
        <v>PED. 90970890</v>
      </c>
      <c r="E22" s="135">
        <f t="shared" si="70"/>
        <v>44908</v>
      </c>
      <c r="F22" s="86">
        <f t="shared" si="70"/>
        <v>18949.169999999998</v>
      </c>
      <c r="G22" s="73">
        <f t="shared" si="70"/>
        <v>21</v>
      </c>
      <c r="H22" s="48">
        <f t="shared" si="70"/>
        <v>18872.699999999997</v>
      </c>
      <c r="I22" s="105">
        <f>GP5</f>
        <v>76.470000000001164</v>
      </c>
      <c r="L22" s="94"/>
      <c r="M22" s="15">
        <v>15</v>
      </c>
      <c r="N22" s="69">
        <v>864.5</v>
      </c>
      <c r="O22" s="252">
        <v>44895</v>
      </c>
      <c r="P22" s="69">
        <v>864.5</v>
      </c>
      <c r="Q22" s="70" t="s">
        <v>584</v>
      </c>
      <c r="R22" s="71">
        <v>51</v>
      </c>
      <c r="S22" s="393">
        <f t="shared" si="8"/>
        <v>44089.5</v>
      </c>
      <c r="V22" s="94"/>
      <c r="W22" s="15">
        <v>15</v>
      </c>
      <c r="X22" s="69">
        <v>898.1</v>
      </c>
      <c r="Y22" s="252">
        <v>44895</v>
      </c>
      <c r="Z22" s="69">
        <v>898.1</v>
      </c>
      <c r="AA22" s="695" t="s">
        <v>583</v>
      </c>
      <c r="AB22" s="696">
        <v>51</v>
      </c>
      <c r="AC22" s="393">
        <f t="shared" si="9"/>
        <v>45803.1</v>
      </c>
      <c r="AF22" s="106"/>
      <c r="AG22" s="15">
        <v>15</v>
      </c>
      <c r="AH22" s="92">
        <v>926.23</v>
      </c>
      <c r="AI22" s="244">
        <v>44896</v>
      </c>
      <c r="AJ22" s="92">
        <v>926.23</v>
      </c>
      <c r="AK22" s="95" t="s">
        <v>588</v>
      </c>
      <c r="AL22" s="71">
        <v>51</v>
      </c>
      <c r="AM22" s="393">
        <f t="shared" si="10"/>
        <v>47237.73</v>
      </c>
      <c r="AP22" s="106"/>
      <c r="AQ22" s="15">
        <v>15</v>
      </c>
      <c r="AR22" s="92">
        <v>888.1</v>
      </c>
      <c r="AS22" s="244">
        <v>44897</v>
      </c>
      <c r="AT22" s="92">
        <v>888.1</v>
      </c>
      <c r="AU22" s="95" t="s">
        <v>595</v>
      </c>
      <c r="AV22" s="71">
        <v>51</v>
      </c>
      <c r="AW22" s="393">
        <f t="shared" si="11"/>
        <v>45293.1</v>
      </c>
      <c r="AZ22" s="106"/>
      <c r="BA22" s="15">
        <v>15</v>
      </c>
      <c r="BB22" s="92">
        <v>897.2</v>
      </c>
      <c r="BC22" s="244">
        <v>44897</v>
      </c>
      <c r="BD22" s="92">
        <v>897.2</v>
      </c>
      <c r="BE22" s="95" t="s">
        <v>599</v>
      </c>
      <c r="BF22" s="71">
        <v>51</v>
      </c>
      <c r="BG22" s="393">
        <f t="shared" si="12"/>
        <v>45757.200000000004</v>
      </c>
      <c r="BJ22" s="667"/>
      <c r="BK22" s="15">
        <v>15</v>
      </c>
      <c r="BL22" s="92">
        <v>967.05</v>
      </c>
      <c r="BM22" s="135">
        <v>44898</v>
      </c>
      <c r="BN22" s="92">
        <v>967.05</v>
      </c>
      <c r="BO22" s="95" t="s">
        <v>609</v>
      </c>
      <c r="BP22" s="288">
        <v>51</v>
      </c>
      <c r="BQ22" s="481">
        <f t="shared" si="13"/>
        <v>49319.549999999996</v>
      </c>
      <c r="BR22" s="393"/>
      <c r="BT22" s="106"/>
      <c r="BU22" s="15"/>
      <c r="BV22" s="92"/>
      <c r="BW22" s="289"/>
      <c r="BX22" s="92"/>
      <c r="BY22" s="577"/>
      <c r="BZ22" s="290"/>
      <c r="CA22" s="393">
        <f t="shared" si="5"/>
        <v>0</v>
      </c>
      <c r="CD22" s="213"/>
      <c r="CE22" s="15">
        <v>15</v>
      </c>
      <c r="CF22" s="92">
        <v>865.4</v>
      </c>
      <c r="CG22" s="289">
        <v>44901</v>
      </c>
      <c r="CH22" s="92">
        <v>865.4</v>
      </c>
      <c r="CI22" s="291" t="s">
        <v>620</v>
      </c>
      <c r="CJ22" s="290">
        <v>51</v>
      </c>
      <c r="CK22" s="243">
        <f t="shared" si="14"/>
        <v>44135.4</v>
      </c>
      <c r="CN22" s="411"/>
      <c r="CO22" s="15">
        <v>15</v>
      </c>
      <c r="CP22" s="69">
        <v>925.3</v>
      </c>
      <c r="CQ22" s="289">
        <v>44901</v>
      </c>
      <c r="CR22" s="69">
        <v>925.3</v>
      </c>
      <c r="CS22" s="291" t="s">
        <v>627</v>
      </c>
      <c r="CT22" s="290">
        <v>51</v>
      </c>
      <c r="CU22" s="398">
        <f t="shared" si="58"/>
        <v>47190.299999999996</v>
      </c>
      <c r="CX22" s="106"/>
      <c r="CY22" s="15">
        <v>15</v>
      </c>
      <c r="CZ22" s="92">
        <v>923.06</v>
      </c>
      <c r="DA22" s="244">
        <v>44902</v>
      </c>
      <c r="DB22" s="92">
        <v>923.06</v>
      </c>
      <c r="DC22" s="95" t="s">
        <v>632</v>
      </c>
      <c r="DD22" s="71">
        <v>51</v>
      </c>
      <c r="DE22" s="393">
        <f t="shared" si="15"/>
        <v>47076.06</v>
      </c>
      <c r="DH22" s="106"/>
      <c r="DI22" s="15">
        <v>15</v>
      </c>
      <c r="DJ22" s="694">
        <v>909</v>
      </c>
      <c r="DK22" s="720">
        <v>44903</v>
      </c>
      <c r="DL22" s="694">
        <v>909</v>
      </c>
      <c r="DM22" s="721" t="s">
        <v>649</v>
      </c>
      <c r="DN22" s="722">
        <v>51</v>
      </c>
      <c r="DO22" s="398">
        <f t="shared" si="16"/>
        <v>46359</v>
      </c>
      <c r="DR22" s="106"/>
      <c r="DS22" s="15">
        <v>15</v>
      </c>
      <c r="DT22" s="92">
        <v>905.37</v>
      </c>
      <c r="DU22" s="289">
        <v>44903</v>
      </c>
      <c r="DV22" s="92">
        <v>905.37</v>
      </c>
      <c r="DW22" s="291" t="s">
        <v>645</v>
      </c>
      <c r="DX22" s="290">
        <v>51</v>
      </c>
      <c r="DY22" s="393">
        <f t="shared" si="17"/>
        <v>46173.87</v>
      </c>
      <c r="EB22" s="106"/>
      <c r="EC22" s="15">
        <v>15</v>
      </c>
      <c r="ED22" s="69">
        <v>931.7</v>
      </c>
      <c r="EE22" s="252">
        <v>44904</v>
      </c>
      <c r="EF22" s="69">
        <v>931.7</v>
      </c>
      <c r="EG22" s="70" t="s">
        <v>662</v>
      </c>
      <c r="EH22" s="71">
        <v>51</v>
      </c>
      <c r="EI22" s="393">
        <f t="shared" si="18"/>
        <v>47516.700000000004</v>
      </c>
      <c r="EL22" s="106"/>
      <c r="EM22" s="15">
        <v>15</v>
      </c>
      <c r="EN22" s="69">
        <v>889.5</v>
      </c>
      <c r="EO22" s="252">
        <v>44904</v>
      </c>
      <c r="EP22" s="69">
        <v>889.5</v>
      </c>
      <c r="EQ22" s="70" t="s">
        <v>660</v>
      </c>
      <c r="ER22" s="71">
        <v>51</v>
      </c>
      <c r="ES22" s="393">
        <f t="shared" si="19"/>
        <v>45364.5</v>
      </c>
      <c r="EV22" s="106"/>
      <c r="EW22" s="15">
        <v>15</v>
      </c>
      <c r="EX22" s="92">
        <v>924.4</v>
      </c>
      <c r="EY22" s="244">
        <v>44904</v>
      </c>
      <c r="EZ22" s="92">
        <v>924.4</v>
      </c>
      <c r="FA22" s="70" t="s">
        <v>664</v>
      </c>
      <c r="FB22" s="71">
        <v>51</v>
      </c>
      <c r="FC22" s="393">
        <f t="shared" si="20"/>
        <v>47144.4</v>
      </c>
      <c r="FF22" s="106"/>
      <c r="FG22" s="15">
        <v>15</v>
      </c>
      <c r="FH22" s="92">
        <v>890.9</v>
      </c>
      <c r="FI22" s="244">
        <v>44905</v>
      </c>
      <c r="FJ22" s="92">
        <v>890.9</v>
      </c>
      <c r="FK22" s="70" t="s">
        <v>679</v>
      </c>
      <c r="FL22" s="71">
        <v>51</v>
      </c>
      <c r="FM22" s="243">
        <f t="shared" si="21"/>
        <v>45435.9</v>
      </c>
      <c r="FP22" s="106"/>
      <c r="FQ22" s="15">
        <v>15</v>
      </c>
      <c r="FR22" s="92">
        <v>952.54</v>
      </c>
      <c r="FS22" s="244">
        <v>44905</v>
      </c>
      <c r="FT22" s="92">
        <v>952.54</v>
      </c>
      <c r="FU22" s="70" t="s">
        <v>675</v>
      </c>
      <c r="FV22" s="71">
        <v>51</v>
      </c>
      <c r="FW22" s="393">
        <f t="shared" si="22"/>
        <v>48579.54</v>
      </c>
      <c r="FX22" s="71"/>
      <c r="FZ22" s="106"/>
      <c r="GA22" s="15">
        <v>15</v>
      </c>
      <c r="GB22" s="69">
        <v>932.6</v>
      </c>
      <c r="GC22" s="252">
        <v>44908</v>
      </c>
      <c r="GD22" s="69">
        <v>932.6</v>
      </c>
      <c r="GE22" s="70" t="s">
        <v>688</v>
      </c>
      <c r="GF22" s="71">
        <v>49</v>
      </c>
      <c r="GG22" s="243">
        <f t="shared" si="23"/>
        <v>45697.4</v>
      </c>
      <c r="GJ22" s="106"/>
      <c r="GK22" s="15">
        <v>15</v>
      </c>
      <c r="GL22" s="352">
        <v>930.8</v>
      </c>
      <c r="GM22" s="244">
        <v>44908</v>
      </c>
      <c r="GN22" s="352">
        <v>930.8</v>
      </c>
      <c r="GO22" s="95" t="s">
        <v>697</v>
      </c>
      <c r="GP22" s="71">
        <v>49</v>
      </c>
      <c r="GQ22" s="393">
        <f t="shared" si="24"/>
        <v>45609.2</v>
      </c>
      <c r="GT22" s="106"/>
      <c r="GU22" s="15">
        <v>15</v>
      </c>
      <c r="GV22" s="92">
        <v>907.2</v>
      </c>
      <c r="GW22" s="244">
        <v>44908</v>
      </c>
      <c r="GX22" s="92">
        <v>907.2</v>
      </c>
      <c r="GY22" s="95" t="s">
        <v>695</v>
      </c>
      <c r="GZ22" s="71">
        <v>49</v>
      </c>
      <c r="HA22" s="393">
        <f t="shared" si="25"/>
        <v>44452.800000000003</v>
      </c>
      <c r="HD22" s="106"/>
      <c r="HE22" s="15">
        <v>15</v>
      </c>
      <c r="HF22" s="92">
        <v>931.67</v>
      </c>
      <c r="HG22" s="244">
        <v>44909</v>
      </c>
      <c r="HH22" s="92">
        <v>931.67</v>
      </c>
      <c r="HI22" s="944" t="s">
        <v>706</v>
      </c>
      <c r="HJ22" s="71">
        <v>49</v>
      </c>
      <c r="HK22" s="243">
        <f t="shared" si="26"/>
        <v>45651.829999999994</v>
      </c>
      <c r="HN22" s="106"/>
      <c r="HO22" s="15">
        <v>15</v>
      </c>
      <c r="HP22" s="92">
        <v>914.89</v>
      </c>
      <c r="HQ22" s="244">
        <v>44910</v>
      </c>
      <c r="HR22" s="92">
        <v>914.89</v>
      </c>
      <c r="HS22" s="292" t="s">
        <v>710</v>
      </c>
      <c r="HT22" s="71">
        <v>49</v>
      </c>
      <c r="HU22" s="243">
        <f t="shared" si="27"/>
        <v>44829.61</v>
      </c>
      <c r="HX22" s="94"/>
      <c r="HY22" s="15">
        <v>15</v>
      </c>
      <c r="HZ22" s="69">
        <v>930.77</v>
      </c>
      <c r="IA22" s="252">
        <v>44910</v>
      </c>
      <c r="IB22" s="69">
        <v>930.77</v>
      </c>
      <c r="IC22" s="70" t="s">
        <v>707</v>
      </c>
      <c r="ID22" s="71">
        <v>49</v>
      </c>
      <c r="IE22" s="393">
        <f t="shared" si="6"/>
        <v>45607.729999999996</v>
      </c>
      <c r="IH22" s="94"/>
      <c r="II22" s="15">
        <v>15</v>
      </c>
      <c r="IJ22" s="69">
        <v>909</v>
      </c>
      <c r="IK22" s="252">
        <v>44910</v>
      </c>
      <c r="IL22" s="69">
        <v>909</v>
      </c>
      <c r="IM22" s="70" t="s">
        <v>721</v>
      </c>
      <c r="IN22" s="71">
        <v>49</v>
      </c>
      <c r="IO22" s="393">
        <f t="shared" si="28"/>
        <v>44541</v>
      </c>
      <c r="IR22" s="106"/>
      <c r="IS22" s="15">
        <v>15</v>
      </c>
      <c r="IT22" s="92">
        <v>921.7</v>
      </c>
      <c r="IU22" s="135">
        <v>44911</v>
      </c>
      <c r="IV22" s="92">
        <v>921.7</v>
      </c>
      <c r="IW22" s="363" t="s">
        <v>731</v>
      </c>
      <c r="IX22" s="71">
        <v>47</v>
      </c>
      <c r="IY22" s="243">
        <f t="shared" si="29"/>
        <v>43319.9</v>
      </c>
      <c r="IZ22" s="92"/>
      <c r="JB22" s="106"/>
      <c r="JC22" s="15">
        <v>15</v>
      </c>
      <c r="JD22" s="92">
        <v>891.8</v>
      </c>
      <c r="JE22" s="252">
        <v>44911</v>
      </c>
      <c r="JF22" s="92">
        <v>891.8</v>
      </c>
      <c r="JG22" s="70" t="s">
        <v>728</v>
      </c>
      <c r="JH22" s="71">
        <v>47</v>
      </c>
      <c r="JI22" s="393">
        <f t="shared" si="30"/>
        <v>41914.6</v>
      </c>
      <c r="JL22" s="106"/>
      <c r="JM22" s="15">
        <v>15</v>
      </c>
      <c r="JN22" s="92">
        <v>889</v>
      </c>
      <c r="JO22" s="244">
        <v>44912</v>
      </c>
      <c r="JP22" s="92">
        <v>889</v>
      </c>
      <c r="JQ22" s="70" t="s">
        <v>738</v>
      </c>
      <c r="JR22" s="71">
        <v>48</v>
      </c>
      <c r="JS22" s="393">
        <f t="shared" si="31"/>
        <v>42672</v>
      </c>
      <c r="JV22" s="94"/>
      <c r="JW22" s="15">
        <v>15</v>
      </c>
      <c r="JX22" s="69">
        <v>904.5</v>
      </c>
      <c r="JY22" s="252">
        <v>44912</v>
      </c>
      <c r="JZ22" s="69">
        <v>904.5</v>
      </c>
      <c r="KA22" s="70" t="s">
        <v>709</v>
      </c>
      <c r="KB22" s="71">
        <v>48</v>
      </c>
      <c r="KC22" s="393">
        <f t="shared" si="32"/>
        <v>43416</v>
      </c>
      <c r="KF22" s="94"/>
      <c r="KG22" s="15">
        <v>15</v>
      </c>
      <c r="KH22" s="69">
        <v>939.4</v>
      </c>
      <c r="KI22" s="252">
        <v>44915</v>
      </c>
      <c r="KJ22" s="69">
        <v>939.4</v>
      </c>
      <c r="KK22" s="70" t="s">
        <v>759</v>
      </c>
      <c r="KL22" s="71">
        <v>49</v>
      </c>
      <c r="KM22" s="393">
        <f t="shared" si="33"/>
        <v>46030.6</v>
      </c>
      <c r="KP22" s="94"/>
      <c r="KQ22" s="15">
        <v>15</v>
      </c>
      <c r="KR22" s="69">
        <v>952.99</v>
      </c>
      <c r="KS22" s="252">
        <v>44915</v>
      </c>
      <c r="KT22" s="69">
        <v>952.99</v>
      </c>
      <c r="KU22" s="695" t="s">
        <v>758</v>
      </c>
      <c r="KV22" s="696">
        <v>49</v>
      </c>
      <c r="KW22" s="393">
        <f t="shared" si="34"/>
        <v>46696.51</v>
      </c>
      <c r="KZ22" s="106"/>
      <c r="LA22" s="15">
        <v>15</v>
      </c>
      <c r="LB22" s="92">
        <v>920.8</v>
      </c>
      <c r="LC22" s="244">
        <v>44916</v>
      </c>
      <c r="LD22" s="92">
        <v>920.8</v>
      </c>
      <c r="LE22" s="95" t="s">
        <v>769</v>
      </c>
      <c r="LF22" s="71">
        <v>51</v>
      </c>
      <c r="LG22" s="393">
        <f t="shared" si="35"/>
        <v>46960.799999999996</v>
      </c>
      <c r="LJ22" s="106"/>
      <c r="LK22" s="15">
        <v>15</v>
      </c>
      <c r="LL22" s="92">
        <v>933.49</v>
      </c>
      <c r="LM22" s="244">
        <v>44916</v>
      </c>
      <c r="LN22" s="92">
        <v>933.49</v>
      </c>
      <c r="LO22" s="95" t="s">
        <v>777</v>
      </c>
      <c r="LP22" s="71">
        <v>51</v>
      </c>
      <c r="LQ22" s="393">
        <f t="shared" si="36"/>
        <v>47607.99</v>
      </c>
      <c r="LT22" s="106"/>
      <c r="LU22" s="15">
        <v>15</v>
      </c>
      <c r="LV22" s="92">
        <v>885</v>
      </c>
      <c r="LW22" s="244">
        <v>44917</v>
      </c>
      <c r="LX22" s="92">
        <v>885</v>
      </c>
      <c r="LY22" s="95" t="s">
        <v>787</v>
      </c>
      <c r="LZ22" s="71">
        <v>53</v>
      </c>
      <c r="MA22" s="393">
        <f t="shared" si="37"/>
        <v>46905</v>
      </c>
      <c r="MB22" s="393"/>
      <c r="MD22" s="106"/>
      <c r="ME22" s="15">
        <v>15</v>
      </c>
      <c r="MF22" s="296">
        <v>922.6</v>
      </c>
      <c r="MG22" s="244">
        <v>44916</v>
      </c>
      <c r="MH22" s="296">
        <v>922.6</v>
      </c>
      <c r="MI22" s="95" t="s">
        <v>773</v>
      </c>
      <c r="MJ22" s="71">
        <v>51</v>
      </c>
      <c r="MK22" s="71">
        <f t="shared" si="38"/>
        <v>47052.6</v>
      </c>
      <c r="MN22" s="106"/>
      <c r="MO22" s="15">
        <v>15</v>
      </c>
      <c r="MP22" s="92">
        <v>885.41</v>
      </c>
      <c r="MQ22" s="244">
        <v>44917</v>
      </c>
      <c r="MR22" s="92">
        <v>885.41</v>
      </c>
      <c r="MS22" s="95" t="s">
        <v>790</v>
      </c>
      <c r="MT22" s="71">
        <v>53</v>
      </c>
      <c r="MU22" s="71">
        <f t="shared" si="39"/>
        <v>46926.729999999996</v>
      </c>
      <c r="MX22" s="106"/>
      <c r="MY22" s="15">
        <v>15</v>
      </c>
      <c r="MZ22" s="92">
        <v>918.1</v>
      </c>
      <c r="NA22" s="244">
        <v>44918</v>
      </c>
      <c r="NB22" s="92">
        <v>918.1</v>
      </c>
      <c r="NC22" s="95" t="s">
        <v>807</v>
      </c>
      <c r="ND22" s="71">
        <v>53</v>
      </c>
      <c r="NE22" s="71">
        <f t="shared" si="40"/>
        <v>48659.3</v>
      </c>
      <c r="NH22" s="106"/>
      <c r="NI22" s="15">
        <v>15</v>
      </c>
      <c r="NJ22" s="92">
        <v>877.2</v>
      </c>
      <c r="NK22" s="244">
        <v>44918</v>
      </c>
      <c r="NL22" s="92">
        <v>877.2</v>
      </c>
      <c r="NM22" s="95" t="s">
        <v>814</v>
      </c>
      <c r="NN22" s="71">
        <v>53</v>
      </c>
      <c r="NO22" s="71">
        <f t="shared" si="41"/>
        <v>46491.600000000006</v>
      </c>
      <c r="NR22" s="106"/>
      <c r="NS22" s="15">
        <v>15</v>
      </c>
      <c r="NT22" s="92">
        <v>938.9</v>
      </c>
      <c r="NU22" s="244">
        <v>44918</v>
      </c>
      <c r="NV22" s="92">
        <v>938.9</v>
      </c>
      <c r="NW22" s="95" t="s">
        <v>818</v>
      </c>
      <c r="NX22" s="71">
        <v>53</v>
      </c>
      <c r="NY22" s="71">
        <f t="shared" si="42"/>
        <v>49761.7</v>
      </c>
      <c r="OB22" s="106"/>
      <c r="OC22" s="15">
        <v>15</v>
      </c>
      <c r="OD22" s="92">
        <v>912.6</v>
      </c>
      <c r="OE22" s="244">
        <v>44919</v>
      </c>
      <c r="OF22" s="694">
        <v>912.6</v>
      </c>
      <c r="OG22" s="944" t="s">
        <v>803</v>
      </c>
      <c r="OH22" s="71">
        <v>53</v>
      </c>
      <c r="OI22" s="71">
        <f t="shared" si="43"/>
        <v>48367.8</v>
      </c>
      <c r="OL22" s="106"/>
      <c r="OM22" s="15">
        <v>15</v>
      </c>
      <c r="ON22" s="92">
        <v>916.3</v>
      </c>
      <c r="OO22" s="244">
        <v>44919</v>
      </c>
      <c r="OP22" s="92">
        <v>916.3</v>
      </c>
      <c r="OQ22" s="95" t="s">
        <v>824</v>
      </c>
      <c r="OR22" s="71">
        <v>53</v>
      </c>
      <c r="OS22" s="71">
        <f t="shared" si="44"/>
        <v>48563.899999999994</v>
      </c>
      <c r="OV22" s="106"/>
      <c r="OW22" s="15">
        <v>15</v>
      </c>
      <c r="OX22" s="92">
        <v>921.7</v>
      </c>
      <c r="OY22" s="244">
        <v>44921</v>
      </c>
      <c r="OZ22" s="92">
        <v>921.7</v>
      </c>
      <c r="PA22" s="95" t="s">
        <v>831</v>
      </c>
      <c r="PB22" s="71">
        <v>53</v>
      </c>
      <c r="PC22" s="71">
        <f t="shared" si="45"/>
        <v>48850.100000000006</v>
      </c>
      <c r="PF22" s="94"/>
      <c r="PG22" s="15">
        <v>15</v>
      </c>
      <c r="PH22" s="92">
        <v>895.8</v>
      </c>
      <c r="PI22" s="244">
        <v>44924</v>
      </c>
      <c r="PJ22" s="92">
        <v>895.8</v>
      </c>
      <c r="PK22" s="95" t="s">
        <v>850</v>
      </c>
      <c r="PL22" s="71">
        <v>53</v>
      </c>
      <c r="PM22" s="71">
        <f t="shared" si="46"/>
        <v>47477.399999999994</v>
      </c>
      <c r="PN22" s="71"/>
      <c r="PQ22" s="106"/>
      <c r="PR22" s="15">
        <v>15</v>
      </c>
      <c r="PS22" s="92">
        <v>939.4</v>
      </c>
      <c r="PT22" s="244">
        <v>44924</v>
      </c>
      <c r="PU22" s="92">
        <v>939.4</v>
      </c>
      <c r="PV22" s="95" t="s">
        <v>848</v>
      </c>
      <c r="PW22" s="71">
        <v>53</v>
      </c>
      <c r="PX22" s="71">
        <f t="shared" si="47"/>
        <v>49788.2</v>
      </c>
      <c r="QA22" s="106"/>
      <c r="QB22" s="15">
        <v>15</v>
      </c>
      <c r="QC22" s="92">
        <v>947.1</v>
      </c>
      <c r="QD22" s="135">
        <v>44924</v>
      </c>
      <c r="QE22" s="92">
        <v>947.1</v>
      </c>
      <c r="QF22" s="95" t="s">
        <v>845</v>
      </c>
      <c r="QG22" s="71">
        <v>53</v>
      </c>
      <c r="QH22" s="71">
        <f t="shared" si="48"/>
        <v>50196.3</v>
      </c>
      <c r="QK22" s="106"/>
      <c r="QL22" s="15">
        <v>15</v>
      </c>
      <c r="QM22" s="92">
        <v>889.9</v>
      </c>
      <c r="QN22" s="244">
        <v>44928</v>
      </c>
      <c r="QO22" s="92">
        <v>889.9</v>
      </c>
      <c r="QP22" s="95" t="s">
        <v>870</v>
      </c>
      <c r="QQ22" s="71">
        <v>53</v>
      </c>
      <c r="QR22" s="71">
        <f t="shared" si="49"/>
        <v>47164.7</v>
      </c>
      <c r="QU22" s="106"/>
      <c r="QV22" s="15">
        <v>15</v>
      </c>
      <c r="QW22" s="92">
        <v>888.6</v>
      </c>
      <c r="QX22" s="244">
        <v>44926</v>
      </c>
      <c r="QY22" s="92">
        <v>888.6</v>
      </c>
      <c r="QZ22" s="95" t="s">
        <v>861</v>
      </c>
      <c r="RA22" s="71">
        <v>53</v>
      </c>
      <c r="RB22" s="71">
        <f t="shared" si="50"/>
        <v>47095.8</v>
      </c>
      <c r="RE22" s="106"/>
      <c r="RF22" s="15">
        <v>15</v>
      </c>
      <c r="RG22" s="92">
        <v>922.6</v>
      </c>
      <c r="RH22" s="244">
        <v>44930</v>
      </c>
      <c r="RI22" s="92">
        <v>922.6</v>
      </c>
      <c r="RJ22" s="95" t="s">
        <v>888</v>
      </c>
      <c r="RK22" s="71">
        <v>47</v>
      </c>
      <c r="RL22" s="71">
        <f t="shared" si="51"/>
        <v>43362.200000000004</v>
      </c>
      <c r="RO22" s="106"/>
      <c r="RP22" s="15">
        <v>15</v>
      </c>
      <c r="RQ22" s="92">
        <v>897.2</v>
      </c>
      <c r="RR22" s="244">
        <v>44930</v>
      </c>
      <c r="RS22" s="92">
        <v>897.2</v>
      </c>
      <c r="RT22" s="95" t="s">
        <v>887</v>
      </c>
      <c r="RU22" s="288">
        <v>47</v>
      </c>
      <c r="RV22" s="71">
        <f t="shared" si="52"/>
        <v>42168.4</v>
      </c>
      <c r="RY22" s="106"/>
      <c r="RZ22" s="15">
        <v>15</v>
      </c>
      <c r="SA22" s="92">
        <v>950.72</v>
      </c>
      <c r="SB22" s="135">
        <v>44931</v>
      </c>
      <c r="SC22" s="92">
        <v>950.72</v>
      </c>
      <c r="SD22" s="95" t="s">
        <v>897</v>
      </c>
      <c r="SE22" s="71">
        <v>47</v>
      </c>
      <c r="SF22" s="71">
        <f t="shared" si="53"/>
        <v>44683.840000000004</v>
      </c>
      <c r="SI22" s="106"/>
      <c r="SJ22" s="15">
        <v>15</v>
      </c>
      <c r="SK22" s="92">
        <v>927.14</v>
      </c>
      <c r="SL22" s="244">
        <v>44932</v>
      </c>
      <c r="SM22" s="92">
        <v>927.14</v>
      </c>
      <c r="SN22" s="95" t="s">
        <v>904</v>
      </c>
      <c r="SO22" s="71">
        <v>47</v>
      </c>
      <c r="SP22" s="71">
        <f t="shared" si="54"/>
        <v>43575.58</v>
      </c>
      <c r="SS22" s="106"/>
      <c r="ST22" s="15">
        <v>15</v>
      </c>
      <c r="SU22" s="92">
        <v>870.9</v>
      </c>
      <c r="SV22" s="244"/>
      <c r="SW22" s="92"/>
      <c r="SX22" s="95"/>
      <c r="SY22" s="71"/>
      <c r="SZ22" s="71">
        <f t="shared" si="55"/>
        <v>0</v>
      </c>
      <c r="TC22" s="106"/>
      <c r="TD22" s="15">
        <v>15</v>
      </c>
      <c r="TE22" s="92">
        <v>893.6</v>
      </c>
      <c r="TF22" s="244">
        <v>44933</v>
      </c>
      <c r="TG22" s="92">
        <v>893.6</v>
      </c>
      <c r="TH22" s="95" t="s">
        <v>914</v>
      </c>
      <c r="TI22" s="71">
        <v>45</v>
      </c>
      <c r="TJ22" s="71">
        <f t="shared" si="56"/>
        <v>40212</v>
      </c>
      <c r="TM22" s="106"/>
      <c r="TN22" s="15">
        <v>15</v>
      </c>
      <c r="TO22" s="92"/>
      <c r="TP22" s="295"/>
      <c r="TQ22" s="168"/>
      <c r="TR22" s="291"/>
      <c r="TS22" s="290"/>
      <c r="TT22" s="290"/>
      <c r="TW22" s="106"/>
      <c r="TX22" s="15"/>
      <c r="TY22" s="92"/>
      <c r="TZ22" s="79"/>
      <c r="UA22" s="92"/>
      <c r="UB22" s="95"/>
      <c r="UC22" s="71"/>
      <c r="UF22" s="106"/>
      <c r="UG22" s="15">
        <v>15</v>
      </c>
      <c r="UH22" s="92"/>
      <c r="UI22" s="79"/>
      <c r="UJ22" s="92"/>
      <c r="UK22" s="95"/>
      <c r="UL22" s="71"/>
      <c r="UO22" s="106"/>
      <c r="UP22" s="15"/>
      <c r="UQ22" s="92"/>
      <c r="UR22" s="79"/>
      <c r="US22" s="92"/>
      <c r="UT22" s="95"/>
      <c r="UU22" s="71"/>
      <c r="UX22" s="106"/>
      <c r="UY22" s="15">
        <v>15</v>
      </c>
      <c r="UZ22" s="92"/>
      <c r="VA22" s="79"/>
      <c r="VB22" s="92"/>
      <c r="VC22" s="95"/>
      <c r="VD22" s="71"/>
      <c r="VG22" s="106"/>
      <c r="VH22" s="15">
        <v>15</v>
      </c>
      <c r="VI22" s="92"/>
      <c r="VJ22" s="79"/>
      <c r="VK22" s="92"/>
      <c r="VL22" s="95"/>
      <c r="VM22" s="71"/>
      <c r="VP22" s="106"/>
      <c r="VQ22" s="15">
        <v>15</v>
      </c>
      <c r="VR22" s="92"/>
      <c r="VS22" s="79"/>
      <c r="VT22" s="92"/>
      <c r="VU22" s="95"/>
      <c r="VV22" s="71"/>
      <c r="VY22" s="106"/>
      <c r="VZ22" s="15">
        <v>15</v>
      </c>
      <c r="WA22" s="92"/>
      <c r="WB22" s="79"/>
      <c r="WC22" s="92"/>
      <c r="WD22" s="95"/>
      <c r="WE22" s="71"/>
      <c r="WH22" s="106"/>
      <c r="WI22" s="15">
        <v>15</v>
      </c>
      <c r="WJ22" s="92"/>
      <c r="WK22" s="79"/>
      <c r="WL22" s="92"/>
      <c r="WM22" s="95"/>
      <c r="WN22" s="71"/>
      <c r="WQ22" s="106"/>
      <c r="WR22" s="15">
        <v>15</v>
      </c>
      <c r="WS22" s="92"/>
      <c r="WT22" s="79"/>
      <c r="WU22" s="92"/>
      <c r="WV22" s="95"/>
      <c r="WW22" s="71"/>
      <c r="WZ22" s="106"/>
      <c r="XA22" s="15">
        <v>15</v>
      </c>
      <c r="XB22" s="92"/>
      <c r="XC22" s="79"/>
      <c r="XD22" s="92"/>
      <c r="XE22" s="95"/>
      <c r="XF22" s="71"/>
      <c r="XI22" s="106"/>
      <c r="XJ22" s="15">
        <v>15</v>
      </c>
      <c r="XK22" s="92"/>
      <c r="XL22" s="79"/>
      <c r="XM22" s="92"/>
      <c r="XN22" s="95"/>
      <c r="XO22" s="71"/>
      <c r="XR22" s="106"/>
      <c r="XS22" s="15">
        <v>15</v>
      </c>
      <c r="XT22" s="92"/>
      <c r="XU22" s="79"/>
      <c r="XV22" s="92"/>
      <c r="XW22" s="95"/>
      <c r="XX22" s="71"/>
      <c r="YA22" s="106"/>
      <c r="YB22" s="15">
        <v>15</v>
      </c>
      <c r="YC22" s="92"/>
      <c r="YD22" s="79"/>
      <c r="YE22" s="92"/>
      <c r="YF22" s="95"/>
      <c r="YG22" s="71"/>
      <c r="YJ22" s="106"/>
      <c r="YK22" s="15">
        <v>15</v>
      </c>
      <c r="YL22" s="92"/>
      <c r="YM22" s="79"/>
      <c r="YN22" s="92"/>
      <c r="YO22" s="95"/>
      <c r="YP22" s="71"/>
      <c r="YS22" s="106"/>
      <c r="YT22" s="15">
        <v>15</v>
      </c>
      <c r="YU22" s="92"/>
      <c r="YV22" s="79"/>
      <c r="YW22" s="92"/>
      <c r="YX22" s="95"/>
      <c r="YY22" s="71"/>
      <c r="ZB22" s="106"/>
      <c r="ZC22" s="15">
        <v>15</v>
      </c>
      <c r="ZD22" s="92"/>
      <c r="ZE22" s="79"/>
      <c r="ZF22" s="92"/>
      <c r="ZG22" s="95"/>
      <c r="ZH22" s="71"/>
      <c r="ZK22" s="106"/>
      <c r="ZL22" s="15">
        <v>15</v>
      </c>
      <c r="ZM22" s="92"/>
      <c r="ZN22" s="79"/>
      <c r="ZO22" s="92"/>
      <c r="ZP22" s="95"/>
      <c r="ZQ22" s="71"/>
      <c r="ZT22" s="106"/>
      <c r="ZU22" s="15">
        <v>15</v>
      </c>
      <c r="ZV22" s="92"/>
      <c r="ZW22" s="79"/>
      <c r="ZX22" s="92"/>
      <c r="ZY22" s="95"/>
      <c r="ZZ22" s="71"/>
      <c r="AAC22" s="106"/>
      <c r="AAD22" s="15">
        <v>15</v>
      </c>
      <c r="AAE22" s="92"/>
      <c r="AAF22" s="79"/>
      <c r="AAG22" s="92"/>
      <c r="AAH22" s="95"/>
      <c r="AAI22" s="71"/>
      <c r="AAL22" s="106"/>
      <c r="AAM22" s="15">
        <v>15</v>
      </c>
      <c r="AAN22" s="92"/>
      <c r="AAO22" s="79"/>
      <c r="AAP22" s="92"/>
      <c r="AAQ22" s="95"/>
      <c r="AAR22" s="71"/>
      <c r="AAU22" s="106"/>
      <c r="AAV22" s="15">
        <v>15</v>
      </c>
      <c r="AAW22" s="92"/>
      <c r="AAX22" s="79"/>
      <c r="AAY22" s="92"/>
      <c r="AAZ22" s="95"/>
      <c r="ABA22" s="71"/>
      <c r="ABD22" s="106"/>
      <c r="ABE22" s="15">
        <v>15</v>
      </c>
      <c r="ABF22" s="92"/>
      <c r="ABG22" s="79"/>
      <c r="ABH22" s="92"/>
      <c r="ABI22" s="95"/>
      <c r="ABJ22" s="71"/>
      <c r="ABM22" s="106"/>
      <c r="ABN22" s="15">
        <v>15</v>
      </c>
      <c r="ABO22" s="92"/>
      <c r="ABP22" s="79"/>
      <c r="ABQ22" s="92"/>
      <c r="ABR22" s="95"/>
      <c r="ABS22" s="71"/>
      <c r="ABV22" s="106"/>
      <c r="ABW22" s="15">
        <v>15</v>
      </c>
      <c r="ABX22" s="92"/>
      <c r="ABY22" s="79"/>
      <c r="ABZ22" s="92"/>
      <c r="ACA22" s="95"/>
      <c r="ACB22" s="71"/>
      <c r="ACE22" s="106"/>
      <c r="ACF22" s="15">
        <v>15</v>
      </c>
      <c r="ACG22" s="92"/>
      <c r="ACH22" s="79"/>
      <c r="ACI22" s="92"/>
      <c r="ACJ22" s="95"/>
      <c r="ACK22" s="71"/>
      <c r="ACN22" s="106"/>
      <c r="ACO22" s="15">
        <v>15</v>
      </c>
      <c r="ACP22" s="92"/>
      <c r="ACQ22" s="79"/>
      <c r="ACR22" s="92"/>
      <c r="ACS22" s="95"/>
      <c r="ACT22" s="71"/>
      <c r="ACW22" s="106"/>
      <c r="ACX22" s="15">
        <v>15</v>
      </c>
      <c r="ACY22" s="92"/>
      <c r="ACZ22" s="79"/>
      <c r="ADA22" s="92"/>
      <c r="ADB22" s="95"/>
      <c r="ADC22" s="71"/>
      <c r="ADF22" s="106"/>
      <c r="ADG22" s="15">
        <v>15</v>
      </c>
      <c r="ADH22" s="92"/>
      <c r="ADI22" s="79"/>
      <c r="ADJ22" s="92"/>
      <c r="ADK22" s="95"/>
      <c r="ADL22" s="71"/>
      <c r="ADO22" s="106"/>
      <c r="ADP22" s="15">
        <v>15</v>
      </c>
      <c r="ADQ22" s="92"/>
      <c r="ADR22" s="79"/>
      <c r="ADS22" s="92"/>
      <c r="ADT22" s="95"/>
      <c r="ADU22" s="71"/>
      <c r="ADX22" s="106"/>
      <c r="ADY22" s="15">
        <v>15</v>
      </c>
      <c r="ADZ22" s="92"/>
      <c r="AEA22" s="79"/>
      <c r="AEB22" s="92"/>
      <c r="AEC22" s="95"/>
      <c r="AED22" s="71"/>
      <c r="AEG22" s="106"/>
      <c r="AEH22" s="15">
        <v>15</v>
      </c>
      <c r="AEI22" s="92"/>
      <c r="AEJ22" s="79"/>
      <c r="AEK22" s="92"/>
      <c r="AEL22" s="95"/>
      <c r="AEM22" s="71"/>
      <c r="AEP22" s="106"/>
      <c r="AEQ22" s="15">
        <v>15</v>
      </c>
      <c r="AER22" s="92"/>
      <c r="AES22" s="79"/>
      <c r="AET22" s="92"/>
      <c r="AEU22" s="95"/>
      <c r="AEV22" s="71"/>
      <c r="AEY22" s="106"/>
      <c r="AEZ22" s="15">
        <v>15</v>
      </c>
      <c r="AFA22" s="92"/>
      <c r="AFB22" s="79"/>
      <c r="AFC22" s="92"/>
      <c r="AFD22" s="95"/>
      <c r="AFE22" s="71"/>
    </row>
    <row r="23" spans="1:840" x14ac:dyDescent="0.25">
      <c r="A23" s="137">
        <v>20</v>
      </c>
      <c r="B23" s="75" t="str">
        <f t="shared" ref="B23:H23" si="71">GS5</f>
        <v>SEABOARD FOODS</v>
      </c>
      <c r="C23" s="75" t="str">
        <f>GT5</f>
        <v>Seaboard</v>
      </c>
      <c r="D23" s="102" t="str">
        <f>GU5</f>
        <v>PED. 90973441</v>
      </c>
      <c r="E23" s="135">
        <f t="shared" si="71"/>
        <v>44908</v>
      </c>
      <c r="F23" s="86">
        <f t="shared" si="71"/>
        <v>19166.849999999999</v>
      </c>
      <c r="G23" s="73">
        <f t="shared" si="71"/>
        <v>21</v>
      </c>
      <c r="H23" s="48">
        <f t="shared" si="71"/>
        <v>19058.7</v>
      </c>
      <c r="I23" s="105">
        <f>F23-H23</f>
        <v>108.14999999999782</v>
      </c>
      <c r="L23" s="94"/>
      <c r="M23" s="15">
        <v>16</v>
      </c>
      <c r="N23" s="69">
        <v>908.1</v>
      </c>
      <c r="O23" s="252">
        <v>44895</v>
      </c>
      <c r="P23" s="69">
        <v>908.1</v>
      </c>
      <c r="Q23" s="70" t="s">
        <v>584</v>
      </c>
      <c r="R23" s="71">
        <v>51</v>
      </c>
      <c r="S23" s="393">
        <f t="shared" si="8"/>
        <v>46313.1</v>
      </c>
      <c r="V23" s="94"/>
      <c r="W23" s="15">
        <v>16</v>
      </c>
      <c r="X23" s="69">
        <v>924.4</v>
      </c>
      <c r="Y23" s="252">
        <v>44895</v>
      </c>
      <c r="Z23" s="69">
        <v>924.4</v>
      </c>
      <c r="AA23" s="695" t="s">
        <v>583</v>
      </c>
      <c r="AB23" s="696">
        <v>51</v>
      </c>
      <c r="AC23" s="393">
        <f t="shared" si="9"/>
        <v>47144.4</v>
      </c>
      <c r="AF23" s="106"/>
      <c r="AG23" s="15">
        <v>16</v>
      </c>
      <c r="AH23" s="92">
        <v>941.65</v>
      </c>
      <c r="AI23" s="244">
        <v>44896</v>
      </c>
      <c r="AJ23" s="92">
        <v>941.65</v>
      </c>
      <c r="AK23" s="95" t="s">
        <v>588</v>
      </c>
      <c r="AL23" s="71">
        <v>51</v>
      </c>
      <c r="AM23" s="393">
        <f t="shared" si="10"/>
        <v>48024.15</v>
      </c>
      <c r="AP23" s="106"/>
      <c r="AQ23" s="15">
        <v>16</v>
      </c>
      <c r="AR23" s="92">
        <v>918.1</v>
      </c>
      <c r="AS23" s="244">
        <v>44897</v>
      </c>
      <c r="AT23" s="92">
        <v>918.1</v>
      </c>
      <c r="AU23" s="95" t="s">
        <v>600</v>
      </c>
      <c r="AV23" s="71">
        <v>51</v>
      </c>
      <c r="AW23" s="393">
        <f t="shared" si="11"/>
        <v>46823.1</v>
      </c>
      <c r="AZ23" s="106"/>
      <c r="BA23" s="15">
        <v>16</v>
      </c>
      <c r="BB23" s="92">
        <v>869.1</v>
      </c>
      <c r="BC23" s="244">
        <v>44897</v>
      </c>
      <c r="BD23" s="92">
        <v>869.1</v>
      </c>
      <c r="BE23" s="95" t="s">
        <v>599</v>
      </c>
      <c r="BF23" s="71">
        <v>51</v>
      </c>
      <c r="BG23" s="393">
        <f t="shared" si="12"/>
        <v>44324.1</v>
      </c>
      <c r="BJ23" s="667"/>
      <c r="BK23" s="15">
        <v>16</v>
      </c>
      <c r="BL23" s="92">
        <v>938.02</v>
      </c>
      <c r="BM23" s="135">
        <v>44898</v>
      </c>
      <c r="BN23" s="92">
        <v>938.02</v>
      </c>
      <c r="BO23" s="95" t="s">
        <v>609</v>
      </c>
      <c r="BP23" s="288">
        <v>51</v>
      </c>
      <c r="BQ23" s="481">
        <f t="shared" si="13"/>
        <v>47839.02</v>
      </c>
      <c r="BR23" s="393"/>
      <c r="BT23" s="106"/>
      <c r="BU23" s="15"/>
      <c r="BV23" s="92"/>
      <c r="BW23" s="289"/>
      <c r="BX23" s="92"/>
      <c r="BY23" s="577"/>
      <c r="BZ23" s="290"/>
      <c r="CA23" s="393">
        <f t="shared" si="5"/>
        <v>0</v>
      </c>
      <c r="CD23" s="213"/>
      <c r="CE23" s="15">
        <v>16</v>
      </c>
      <c r="CF23" s="92">
        <v>894.5</v>
      </c>
      <c r="CG23" s="289">
        <v>44901</v>
      </c>
      <c r="CH23" s="92">
        <v>894.5</v>
      </c>
      <c r="CI23" s="291" t="s">
        <v>620</v>
      </c>
      <c r="CJ23" s="290">
        <v>51</v>
      </c>
      <c r="CK23" s="243">
        <f t="shared" si="14"/>
        <v>45619.5</v>
      </c>
      <c r="CN23" s="411"/>
      <c r="CO23" s="15">
        <v>16</v>
      </c>
      <c r="CP23" s="92">
        <v>884.5</v>
      </c>
      <c r="CQ23" s="289">
        <v>44901</v>
      </c>
      <c r="CR23" s="92">
        <v>884.5</v>
      </c>
      <c r="CS23" s="291" t="s">
        <v>627</v>
      </c>
      <c r="CT23" s="290">
        <v>51</v>
      </c>
      <c r="CU23" s="398">
        <f t="shared" si="58"/>
        <v>45109.5</v>
      </c>
      <c r="CX23" s="106"/>
      <c r="CY23" s="15">
        <v>16</v>
      </c>
      <c r="CZ23" s="92">
        <v>952.54</v>
      </c>
      <c r="DA23" s="244">
        <v>44902</v>
      </c>
      <c r="DB23" s="92">
        <v>952.54</v>
      </c>
      <c r="DC23" s="95" t="s">
        <v>632</v>
      </c>
      <c r="DD23" s="71">
        <v>51</v>
      </c>
      <c r="DE23" s="393">
        <f t="shared" si="15"/>
        <v>48579.54</v>
      </c>
      <c r="DH23" s="106"/>
      <c r="DI23" s="15">
        <v>16</v>
      </c>
      <c r="DJ23" s="694">
        <v>889.9</v>
      </c>
      <c r="DK23" s="720">
        <v>44903</v>
      </c>
      <c r="DL23" s="694">
        <v>889.9</v>
      </c>
      <c r="DM23" s="721" t="s">
        <v>649</v>
      </c>
      <c r="DN23" s="722">
        <v>51</v>
      </c>
      <c r="DO23" s="398">
        <f t="shared" si="16"/>
        <v>45384.9</v>
      </c>
      <c r="DR23" s="106"/>
      <c r="DS23" s="15">
        <v>16</v>
      </c>
      <c r="DT23" s="92">
        <v>907.62</v>
      </c>
      <c r="DU23" s="289">
        <v>44903</v>
      </c>
      <c r="DV23" s="92">
        <v>907.62</v>
      </c>
      <c r="DW23" s="291" t="s">
        <v>645</v>
      </c>
      <c r="DX23" s="290">
        <v>51</v>
      </c>
      <c r="DY23" s="393">
        <f t="shared" si="17"/>
        <v>46288.62</v>
      </c>
      <c r="EB23" s="106"/>
      <c r="EC23" s="15">
        <v>16</v>
      </c>
      <c r="ED23" s="69">
        <v>878.2</v>
      </c>
      <c r="EE23" s="252">
        <v>44904</v>
      </c>
      <c r="EF23" s="69">
        <v>878.2</v>
      </c>
      <c r="EG23" s="70" t="s">
        <v>662</v>
      </c>
      <c r="EH23" s="71">
        <v>51</v>
      </c>
      <c r="EI23" s="393">
        <f t="shared" si="18"/>
        <v>44788.200000000004</v>
      </c>
      <c r="EL23" s="106"/>
      <c r="EM23" s="15">
        <v>16</v>
      </c>
      <c r="EN23" s="69">
        <v>894.9</v>
      </c>
      <c r="EO23" s="252">
        <v>44904</v>
      </c>
      <c r="EP23" s="69">
        <v>894.9</v>
      </c>
      <c r="EQ23" s="70" t="s">
        <v>660</v>
      </c>
      <c r="ER23" s="71">
        <v>51</v>
      </c>
      <c r="ES23" s="393">
        <f t="shared" si="19"/>
        <v>45639.9</v>
      </c>
      <c r="EV23" s="106"/>
      <c r="EW23" s="15">
        <v>16</v>
      </c>
      <c r="EX23" s="92">
        <v>916.3</v>
      </c>
      <c r="EY23" s="244">
        <v>44904</v>
      </c>
      <c r="EZ23" s="92">
        <v>916.3</v>
      </c>
      <c r="FA23" s="70" t="s">
        <v>664</v>
      </c>
      <c r="FB23" s="71">
        <v>51</v>
      </c>
      <c r="FC23" s="393">
        <f t="shared" si="20"/>
        <v>46731.299999999996</v>
      </c>
      <c r="FF23" s="106"/>
      <c r="FG23" s="15">
        <v>16</v>
      </c>
      <c r="FH23" s="92">
        <v>865.4</v>
      </c>
      <c r="FI23" s="244">
        <v>44905</v>
      </c>
      <c r="FJ23" s="92">
        <v>865.4</v>
      </c>
      <c r="FK23" s="70" t="s">
        <v>679</v>
      </c>
      <c r="FL23" s="71">
        <v>51</v>
      </c>
      <c r="FM23" s="243">
        <f t="shared" si="21"/>
        <v>44135.4</v>
      </c>
      <c r="FP23" s="106"/>
      <c r="FQ23" s="15">
        <v>16</v>
      </c>
      <c r="FR23" s="92">
        <v>959.8</v>
      </c>
      <c r="FS23" s="244">
        <v>44905</v>
      </c>
      <c r="FT23" s="92">
        <v>959.8</v>
      </c>
      <c r="FU23" s="70" t="s">
        <v>675</v>
      </c>
      <c r="FV23" s="71">
        <v>51</v>
      </c>
      <c r="FW23" s="393">
        <f t="shared" si="22"/>
        <v>48949.799999999996</v>
      </c>
      <c r="FX23" s="71"/>
      <c r="FZ23" s="106"/>
      <c r="GA23" s="15">
        <v>16</v>
      </c>
      <c r="GB23" s="69">
        <v>895.4</v>
      </c>
      <c r="GC23" s="252">
        <v>44908</v>
      </c>
      <c r="GD23" s="69">
        <v>895.4</v>
      </c>
      <c r="GE23" s="70" t="s">
        <v>688</v>
      </c>
      <c r="GF23" s="71">
        <v>49</v>
      </c>
      <c r="GG23" s="243">
        <f t="shared" si="23"/>
        <v>43874.6</v>
      </c>
      <c r="GJ23" s="106"/>
      <c r="GK23" s="15">
        <v>16</v>
      </c>
      <c r="GL23" s="352">
        <v>920.8</v>
      </c>
      <c r="GM23" s="244">
        <v>44908</v>
      </c>
      <c r="GN23" s="352">
        <v>920.8</v>
      </c>
      <c r="GO23" s="95" t="s">
        <v>697</v>
      </c>
      <c r="GP23" s="71">
        <v>49</v>
      </c>
      <c r="GQ23" s="393">
        <f t="shared" si="24"/>
        <v>45119.199999999997</v>
      </c>
      <c r="GT23" s="106"/>
      <c r="GU23" s="15">
        <v>16</v>
      </c>
      <c r="GV23" s="92">
        <v>884.5</v>
      </c>
      <c r="GW23" s="244">
        <v>44908</v>
      </c>
      <c r="GX23" s="92">
        <v>884.5</v>
      </c>
      <c r="GY23" s="95" t="s">
        <v>695</v>
      </c>
      <c r="GZ23" s="71">
        <v>49</v>
      </c>
      <c r="HA23" s="393">
        <f t="shared" si="25"/>
        <v>43340.5</v>
      </c>
      <c r="HD23" s="106"/>
      <c r="HE23" s="15">
        <v>16</v>
      </c>
      <c r="HF23" s="92">
        <v>895.39</v>
      </c>
      <c r="HG23" s="244">
        <v>44909</v>
      </c>
      <c r="HH23" s="92">
        <v>895.39</v>
      </c>
      <c r="HI23" s="944" t="s">
        <v>706</v>
      </c>
      <c r="HJ23" s="71">
        <v>49</v>
      </c>
      <c r="HK23" s="243">
        <f t="shared" si="26"/>
        <v>43874.11</v>
      </c>
      <c r="HN23" s="106"/>
      <c r="HO23" s="15">
        <v>16</v>
      </c>
      <c r="HP23" s="92">
        <v>938.49</v>
      </c>
      <c r="HQ23" s="244">
        <v>44910</v>
      </c>
      <c r="HR23" s="92">
        <v>938.49</v>
      </c>
      <c r="HS23" s="292" t="s">
        <v>710</v>
      </c>
      <c r="HT23" s="71">
        <v>49</v>
      </c>
      <c r="HU23" s="243">
        <f t="shared" si="27"/>
        <v>45986.01</v>
      </c>
      <c r="HX23" s="94"/>
      <c r="HY23" s="15">
        <v>16</v>
      </c>
      <c r="HZ23" s="69">
        <v>947.1</v>
      </c>
      <c r="IA23" s="252">
        <v>44910</v>
      </c>
      <c r="IB23" s="69">
        <v>947.1</v>
      </c>
      <c r="IC23" s="70" t="s">
        <v>707</v>
      </c>
      <c r="ID23" s="71">
        <v>49</v>
      </c>
      <c r="IE23" s="393">
        <f t="shared" si="6"/>
        <v>46407.9</v>
      </c>
      <c r="IH23" s="94"/>
      <c r="II23" s="15">
        <v>16</v>
      </c>
      <c r="IJ23" s="69">
        <v>906.3</v>
      </c>
      <c r="IK23" s="252">
        <v>44910</v>
      </c>
      <c r="IL23" s="69">
        <v>906.3</v>
      </c>
      <c r="IM23" s="70" t="s">
        <v>716</v>
      </c>
      <c r="IN23" s="71">
        <v>49</v>
      </c>
      <c r="IO23" s="393">
        <f t="shared" si="28"/>
        <v>44408.7</v>
      </c>
      <c r="IR23" s="106"/>
      <c r="IS23" s="15">
        <v>16</v>
      </c>
      <c r="IT23" s="92">
        <v>919</v>
      </c>
      <c r="IU23" s="135">
        <v>44911</v>
      </c>
      <c r="IV23" s="92">
        <v>919</v>
      </c>
      <c r="IW23" s="363" t="s">
        <v>731</v>
      </c>
      <c r="IX23" s="71">
        <v>47</v>
      </c>
      <c r="IY23" s="243">
        <f t="shared" si="29"/>
        <v>43193</v>
      </c>
      <c r="IZ23" s="105"/>
      <c r="JA23" s="69"/>
      <c r="JB23" s="106"/>
      <c r="JC23" s="15">
        <v>16</v>
      </c>
      <c r="JD23" s="92">
        <v>919</v>
      </c>
      <c r="JE23" s="252">
        <v>44911</v>
      </c>
      <c r="JF23" s="92">
        <v>919</v>
      </c>
      <c r="JG23" s="70" t="s">
        <v>728</v>
      </c>
      <c r="JH23" s="71">
        <v>47</v>
      </c>
      <c r="JI23" s="393">
        <f t="shared" si="30"/>
        <v>43193</v>
      </c>
      <c r="JL23" s="106"/>
      <c r="JM23" s="15">
        <v>16</v>
      </c>
      <c r="JN23" s="92">
        <v>902.6</v>
      </c>
      <c r="JO23" s="244">
        <v>44912</v>
      </c>
      <c r="JP23" s="92">
        <v>902.6</v>
      </c>
      <c r="JQ23" s="70" t="s">
        <v>738</v>
      </c>
      <c r="JR23" s="71">
        <v>48</v>
      </c>
      <c r="JS23" s="393">
        <f t="shared" si="31"/>
        <v>43324.800000000003</v>
      </c>
      <c r="JV23" s="94"/>
      <c r="JW23" s="15">
        <v>16</v>
      </c>
      <c r="JX23" s="69">
        <v>889.9</v>
      </c>
      <c r="JY23" s="252">
        <v>44912</v>
      </c>
      <c r="JZ23" s="69">
        <v>889.9</v>
      </c>
      <c r="KA23" s="70" t="s">
        <v>709</v>
      </c>
      <c r="KB23" s="71">
        <v>48</v>
      </c>
      <c r="KC23" s="393">
        <f t="shared" si="32"/>
        <v>42715.199999999997</v>
      </c>
      <c r="KF23" s="94"/>
      <c r="KG23" s="15">
        <v>16</v>
      </c>
      <c r="KH23" s="69">
        <v>901.7</v>
      </c>
      <c r="KI23" s="252">
        <v>44915</v>
      </c>
      <c r="KJ23" s="69">
        <v>901.7</v>
      </c>
      <c r="KK23" s="70" t="s">
        <v>759</v>
      </c>
      <c r="KL23" s="71">
        <v>49</v>
      </c>
      <c r="KM23" s="393">
        <f t="shared" si="33"/>
        <v>44183.3</v>
      </c>
      <c r="KP23" s="94"/>
      <c r="KQ23" s="15">
        <v>16</v>
      </c>
      <c r="KR23" s="69">
        <v>950.72</v>
      </c>
      <c r="KS23" s="252">
        <v>44915</v>
      </c>
      <c r="KT23" s="69">
        <v>950.72</v>
      </c>
      <c r="KU23" s="695" t="s">
        <v>758</v>
      </c>
      <c r="KV23" s="696">
        <v>49</v>
      </c>
      <c r="KW23" s="393">
        <f t="shared" si="34"/>
        <v>46585.279999999999</v>
      </c>
      <c r="KZ23" s="106"/>
      <c r="LA23" s="15">
        <v>16</v>
      </c>
      <c r="LB23" s="92">
        <v>919</v>
      </c>
      <c r="LC23" s="244">
        <v>44916</v>
      </c>
      <c r="LD23" s="92">
        <v>919</v>
      </c>
      <c r="LE23" s="95" t="s">
        <v>769</v>
      </c>
      <c r="LF23" s="71">
        <v>51</v>
      </c>
      <c r="LG23" s="393">
        <f t="shared" si="35"/>
        <v>46869</v>
      </c>
      <c r="LJ23" s="106"/>
      <c r="LK23" s="15">
        <v>16</v>
      </c>
      <c r="LL23" s="92">
        <v>936.21</v>
      </c>
      <c r="LM23" s="244">
        <v>44916</v>
      </c>
      <c r="LN23" s="92">
        <v>936.21</v>
      </c>
      <c r="LO23" s="95" t="s">
        <v>777</v>
      </c>
      <c r="LP23" s="71">
        <v>51</v>
      </c>
      <c r="LQ23" s="393">
        <f t="shared" si="36"/>
        <v>47746.71</v>
      </c>
      <c r="LT23" s="106"/>
      <c r="LU23" s="15">
        <v>16</v>
      </c>
      <c r="LV23" s="92">
        <v>898.6</v>
      </c>
      <c r="LW23" s="244">
        <v>44917</v>
      </c>
      <c r="LX23" s="92">
        <v>898.6</v>
      </c>
      <c r="LY23" s="95" t="s">
        <v>787</v>
      </c>
      <c r="LZ23" s="71">
        <v>53</v>
      </c>
      <c r="MA23" s="393">
        <f t="shared" si="37"/>
        <v>47625.8</v>
      </c>
      <c r="MB23" s="393"/>
      <c r="MD23" s="106"/>
      <c r="ME23" s="15">
        <v>16</v>
      </c>
      <c r="MF23" s="296">
        <v>873.6</v>
      </c>
      <c r="MG23" s="244">
        <v>44916</v>
      </c>
      <c r="MH23" s="296">
        <v>873.6</v>
      </c>
      <c r="MI23" s="95" t="s">
        <v>772</v>
      </c>
      <c r="MJ23" s="71">
        <v>51</v>
      </c>
      <c r="MK23" s="71">
        <f t="shared" si="38"/>
        <v>44553.599999999999</v>
      </c>
      <c r="MN23" s="106"/>
      <c r="MO23" s="15">
        <v>16</v>
      </c>
      <c r="MP23" s="92">
        <v>908.54</v>
      </c>
      <c r="MQ23" s="244">
        <v>44917</v>
      </c>
      <c r="MR23" s="92">
        <v>908.54</v>
      </c>
      <c r="MS23" s="95" t="s">
        <v>790</v>
      </c>
      <c r="MT23" s="71">
        <v>53</v>
      </c>
      <c r="MU23" s="71">
        <f t="shared" si="39"/>
        <v>48152.619999999995</v>
      </c>
      <c r="MX23" s="106"/>
      <c r="MY23" s="15">
        <v>16</v>
      </c>
      <c r="MZ23" s="92">
        <v>917.2</v>
      </c>
      <c r="NA23" s="244">
        <v>44918</v>
      </c>
      <c r="NB23" s="92">
        <v>917.2</v>
      </c>
      <c r="NC23" s="95" t="s">
        <v>807</v>
      </c>
      <c r="ND23" s="71">
        <v>53</v>
      </c>
      <c r="NE23" s="71">
        <f t="shared" si="40"/>
        <v>48611.600000000006</v>
      </c>
      <c r="NH23" s="106"/>
      <c r="NI23" s="15">
        <v>16</v>
      </c>
      <c r="NJ23" s="92">
        <v>936.2</v>
      </c>
      <c r="NK23" s="244">
        <v>44918</v>
      </c>
      <c r="NL23" s="92">
        <v>936.2</v>
      </c>
      <c r="NM23" s="95" t="s">
        <v>814</v>
      </c>
      <c r="NN23" s="71">
        <v>53</v>
      </c>
      <c r="NO23" s="71">
        <f t="shared" si="41"/>
        <v>49618.600000000006</v>
      </c>
      <c r="NR23" s="106"/>
      <c r="NS23" s="15">
        <v>16</v>
      </c>
      <c r="NT23" s="92">
        <v>884.5</v>
      </c>
      <c r="NU23" s="244">
        <v>44918</v>
      </c>
      <c r="NV23" s="92">
        <v>884.5</v>
      </c>
      <c r="NW23" s="95" t="s">
        <v>818</v>
      </c>
      <c r="NX23" s="71">
        <v>53</v>
      </c>
      <c r="NY23" s="71">
        <f t="shared" si="42"/>
        <v>46878.5</v>
      </c>
      <c r="OB23" s="106"/>
      <c r="OC23" s="15">
        <v>16</v>
      </c>
      <c r="OD23" s="92">
        <v>907.2</v>
      </c>
      <c r="OE23" s="244">
        <v>44919</v>
      </c>
      <c r="OF23" s="92">
        <v>907.2</v>
      </c>
      <c r="OG23" s="95" t="s">
        <v>803</v>
      </c>
      <c r="OH23" s="71">
        <v>53</v>
      </c>
      <c r="OI23" s="71">
        <f t="shared" si="43"/>
        <v>48081.600000000006</v>
      </c>
      <c r="OL23" s="106"/>
      <c r="OM23" s="15">
        <v>16</v>
      </c>
      <c r="ON23" s="92">
        <v>919.9</v>
      </c>
      <c r="OO23" s="244">
        <v>44919</v>
      </c>
      <c r="OP23" s="92">
        <v>919.9</v>
      </c>
      <c r="OQ23" s="95" t="s">
        <v>824</v>
      </c>
      <c r="OR23" s="71">
        <v>53</v>
      </c>
      <c r="OS23" s="71">
        <f t="shared" si="44"/>
        <v>48754.7</v>
      </c>
      <c r="OV23" s="106"/>
      <c r="OW23" s="15">
        <v>16</v>
      </c>
      <c r="OX23" s="92">
        <v>931.7</v>
      </c>
      <c r="OY23" s="244">
        <v>44921</v>
      </c>
      <c r="OZ23" s="92">
        <v>931.7</v>
      </c>
      <c r="PA23" s="95" t="s">
        <v>831</v>
      </c>
      <c r="PB23" s="71">
        <v>53</v>
      </c>
      <c r="PC23" s="71">
        <f t="shared" si="45"/>
        <v>49380.100000000006</v>
      </c>
      <c r="PF23" s="94"/>
      <c r="PG23" s="15">
        <v>16</v>
      </c>
      <c r="PH23" s="92">
        <v>896.3</v>
      </c>
      <c r="PI23" s="244">
        <v>44924</v>
      </c>
      <c r="PJ23" s="92">
        <v>896.3</v>
      </c>
      <c r="PK23" s="95" t="s">
        <v>850</v>
      </c>
      <c r="PL23" s="71">
        <v>53</v>
      </c>
      <c r="PM23" s="71">
        <f t="shared" si="46"/>
        <v>47503.899999999994</v>
      </c>
      <c r="PN23" s="71"/>
      <c r="PQ23" s="106"/>
      <c r="PR23" s="15">
        <v>16</v>
      </c>
      <c r="PS23" s="92">
        <v>897.7</v>
      </c>
      <c r="PT23" s="244">
        <v>44924</v>
      </c>
      <c r="PU23" s="92">
        <v>897.7</v>
      </c>
      <c r="PV23" s="95" t="s">
        <v>848</v>
      </c>
      <c r="PW23" s="71">
        <v>53</v>
      </c>
      <c r="PX23" s="71">
        <f t="shared" si="47"/>
        <v>47578.100000000006</v>
      </c>
      <c r="QA23" s="106"/>
      <c r="QB23" s="15">
        <v>16</v>
      </c>
      <c r="QC23" s="92">
        <v>925.78</v>
      </c>
      <c r="QD23" s="135">
        <v>44924</v>
      </c>
      <c r="QE23" s="92">
        <v>925.78</v>
      </c>
      <c r="QF23" s="95" t="s">
        <v>845</v>
      </c>
      <c r="QG23" s="71">
        <v>53</v>
      </c>
      <c r="QH23" s="71">
        <f t="shared" si="48"/>
        <v>49066.34</v>
      </c>
      <c r="QK23" s="106"/>
      <c r="QL23" s="15">
        <v>16</v>
      </c>
      <c r="QM23" s="92">
        <v>902.2</v>
      </c>
      <c r="QN23" s="244">
        <v>44928</v>
      </c>
      <c r="QO23" s="92">
        <v>902.2</v>
      </c>
      <c r="QP23" s="95" t="s">
        <v>870</v>
      </c>
      <c r="QQ23" s="71">
        <v>53</v>
      </c>
      <c r="QR23" s="71">
        <f t="shared" si="49"/>
        <v>47816.600000000006</v>
      </c>
      <c r="QU23" s="106"/>
      <c r="QV23" s="15">
        <v>16</v>
      </c>
      <c r="QW23" s="92">
        <v>928.5</v>
      </c>
      <c r="QX23" s="244">
        <v>44926</v>
      </c>
      <c r="QY23" s="92">
        <v>928.5</v>
      </c>
      <c r="QZ23" s="95" t="s">
        <v>861</v>
      </c>
      <c r="RA23" s="71">
        <v>53</v>
      </c>
      <c r="RB23" s="71">
        <f t="shared" si="50"/>
        <v>49210.5</v>
      </c>
      <c r="RE23" s="106"/>
      <c r="RF23" s="15">
        <v>16</v>
      </c>
      <c r="RG23" s="92">
        <v>916.3</v>
      </c>
      <c r="RH23" s="244">
        <v>44930</v>
      </c>
      <c r="RI23" s="92">
        <v>916.3</v>
      </c>
      <c r="RJ23" s="95" t="s">
        <v>888</v>
      </c>
      <c r="RK23" s="71">
        <v>47</v>
      </c>
      <c r="RL23" s="71">
        <f t="shared" si="51"/>
        <v>43066.1</v>
      </c>
      <c r="RO23" s="106"/>
      <c r="RP23" s="15">
        <v>16</v>
      </c>
      <c r="RQ23" s="92">
        <v>894.5</v>
      </c>
      <c r="RR23" s="244">
        <v>44930</v>
      </c>
      <c r="RS23" s="92">
        <v>894.5</v>
      </c>
      <c r="RT23" s="95" t="s">
        <v>887</v>
      </c>
      <c r="RU23" s="288">
        <v>47</v>
      </c>
      <c r="RV23" s="71">
        <f t="shared" si="52"/>
        <v>42041.5</v>
      </c>
      <c r="RY23" s="106"/>
      <c r="RZ23" s="15">
        <v>16</v>
      </c>
      <c r="SA23" s="92">
        <v>955.26</v>
      </c>
      <c r="SB23" s="135">
        <v>44931</v>
      </c>
      <c r="SC23" s="92">
        <v>955.26</v>
      </c>
      <c r="SD23" s="95" t="s">
        <v>898</v>
      </c>
      <c r="SE23" s="71">
        <v>47</v>
      </c>
      <c r="SF23" s="71">
        <f t="shared" si="53"/>
        <v>44897.22</v>
      </c>
      <c r="SI23" s="106"/>
      <c r="SJ23" s="15">
        <v>16</v>
      </c>
      <c r="SK23" s="92">
        <v>917.16</v>
      </c>
      <c r="SL23" s="244">
        <v>44932</v>
      </c>
      <c r="SM23" s="92">
        <v>917.16</v>
      </c>
      <c r="SN23" s="95" t="s">
        <v>904</v>
      </c>
      <c r="SO23" s="71">
        <v>47</v>
      </c>
      <c r="SP23" s="71">
        <f t="shared" si="54"/>
        <v>43106.52</v>
      </c>
      <c r="SS23" s="106"/>
      <c r="ST23" s="15">
        <v>16</v>
      </c>
      <c r="SU23" s="92">
        <v>919</v>
      </c>
      <c r="SV23" s="244"/>
      <c r="SW23" s="92"/>
      <c r="SX23" s="95"/>
      <c r="SY23" s="71"/>
      <c r="SZ23" s="71">
        <f t="shared" si="55"/>
        <v>0</v>
      </c>
      <c r="TC23" s="106"/>
      <c r="TD23" s="15">
        <v>16</v>
      </c>
      <c r="TE23" s="92">
        <v>910.8</v>
      </c>
      <c r="TF23" s="244">
        <v>44933</v>
      </c>
      <c r="TG23" s="92">
        <v>910.8</v>
      </c>
      <c r="TH23" s="95" t="s">
        <v>914</v>
      </c>
      <c r="TI23" s="71">
        <v>45</v>
      </c>
      <c r="TJ23" s="71">
        <f t="shared" si="56"/>
        <v>40986</v>
      </c>
      <c r="TM23" s="106"/>
      <c r="TN23" s="15">
        <v>16</v>
      </c>
      <c r="TO23" s="92"/>
      <c r="TP23" s="295"/>
      <c r="TQ23" s="168"/>
      <c r="TR23" s="291"/>
      <c r="TS23" s="290"/>
      <c r="TT23" s="290"/>
      <c r="TW23" s="106"/>
      <c r="TX23" s="15"/>
      <c r="TY23" s="92"/>
      <c r="TZ23" s="79"/>
      <c r="UA23" s="92"/>
      <c r="UB23" s="95"/>
      <c r="UC23" s="71"/>
      <c r="UF23" s="106"/>
      <c r="UG23" s="15">
        <v>16</v>
      </c>
      <c r="UH23" s="92"/>
      <c r="UI23" s="79"/>
      <c r="UJ23" s="92"/>
      <c r="UK23" s="95"/>
      <c r="UL23" s="71"/>
      <c r="UO23" s="106"/>
      <c r="UP23" s="15"/>
      <c r="UQ23" s="92"/>
      <c r="UR23" s="79"/>
      <c r="US23" s="92"/>
      <c r="UT23" s="95"/>
      <c r="UU23" s="71"/>
      <c r="UX23" s="106"/>
      <c r="UY23" s="15">
        <v>16</v>
      </c>
      <c r="UZ23" s="92"/>
      <c r="VA23" s="79"/>
      <c r="VB23" s="92"/>
      <c r="VC23" s="95"/>
      <c r="VD23" s="71"/>
      <c r="VG23" s="106"/>
      <c r="VH23" s="15">
        <v>16</v>
      </c>
      <c r="VI23" s="92"/>
      <c r="VJ23" s="79"/>
      <c r="VK23" s="92"/>
      <c r="VL23" s="95"/>
      <c r="VM23" s="71"/>
      <c r="VP23" s="106"/>
      <c r="VQ23" s="15">
        <v>16</v>
      </c>
      <c r="VR23" s="92"/>
      <c r="VS23" s="79"/>
      <c r="VT23" s="92"/>
      <c r="VU23" s="95"/>
      <c r="VV23" s="71"/>
      <c r="VY23" s="106"/>
      <c r="VZ23" s="15">
        <v>16</v>
      </c>
      <c r="WA23" s="92"/>
      <c r="WB23" s="79"/>
      <c r="WC23" s="92"/>
      <c r="WD23" s="95"/>
      <c r="WE23" s="71"/>
      <c r="WH23" s="106"/>
      <c r="WI23" s="15">
        <v>16</v>
      </c>
      <c r="WJ23" s="92"/>
      <c r="WK23" s="79"/>
      <c r="WL23" s="92"/>
      <c r="WM23" s="95"/>
      <c r="WN23" s="71"/>
      <c r="WQ23" s="106"/>
      <c r="WR23" s="15">
        <v>16</v>
      </c>
      <c r="WS23" s="92"/>
      <c r="WT23" s="79"/>
      <c r="WU23" s="92"/>
      <c r="WV23" s="95"/>
      <c r="WW23" s="71"/>
      <c r="WZ23" s="106"/>
      <c r="XA23" s="15">
        <v>16</v>
      </c>
      <c r="XB23" s="92"/>
      <c r="XC23" s="79"/>
      <c r="XD23" s="92"/>
      <c r="XE23" s="95"/>
      <c r="XF23" s="71"/>
      <c r="XI23" s="106"/>
      <c r="XJ23" s="15">
        <v>16</v>
      </c>
      <c r="XK23" s="92"/>
      <c r="XL23" s="79"/>
      <c r="XM23" s="92"/>
      <c r="XN23" s="95"/>
      <c r="XO23" s="71"/>
      <c r="XR23" s="106"/>
      <c r="XS23" s="15">
        <v>16</v>
      </c>
      <c r="XT23" s="92"/>
      <c r="XU23" s="79"/>
      <c r="XV23" s="92"/>
      <c r="XW23" s="95"/>
      <c r="XX23" s="71"/>
      <c r="YA23" s="106"/>
      <c r="YB23" s="15">
        <v>16</v>
      </c>
      <c r="YC23" s="92"/>
      <c r="YD23" s="79"/>
      <c r="YE23" s="92"/>
      <c r="YF23" s="95"/>
      <c r="YG23" s="71"/>
      <c r="YJ23" s="106"/>
      <c r="YK23" s="15">
        <v>16</v>
      </c>
      <c r="YL23" s="92"/>
      <c r="YM23" s="79"/>
      <c r="YN23" s="92"/>
      <c r="YO23" s="95"/>
      <c r="YP23" s="71"/>
      <c r="YS23" s="106"/>
      <c r="YT23" s="15">
        <v>16</v>
      </c>
      <c r="YU23" s="92"/>
      <c r="YV23" s="79"/>
      <c r="YW23" s="92"/>
      <c r="YX23" s="95"/>
      <c r="YY23" s="71"/>
      <c r="ZB23" s="106"/>
      <c r="ZC23" s="15">
        <v>16</v>
      </c>
      <c r="ZD23" s="92"/>
      <c r="ZE23" s="79"/>
      <c r="ZF23" s="92"/>
      <c r="ZG23" s="95"/>
      <c r="ZH23" s="71"/>
      <c r="ZK23" s="106"/>
      <c r="ZL23" s="15">
        <v>16</v>
      </c>
      <c r="ZM23" s="92"/>
      <c r="ZN23" s="79"/>
      <c r="ZO23" s="92"/>
      <c r="ZP23" s="95"/>
      <c r="ZQ23" s="71"/>
      <c r="ZT23" s="106"/>
      <c r="ZU23" s="15">
        <v>16</v>
      </c>
      <c r="ZV23" s="92"/>
      <c r="ZW23" s="79"/>
      <c r="ZX23" s="92"/>
      <c r="ZY23" s="95"/>
      <c r="ZZ23" s="71"/>
      <c r="AAC23" s="106"/>
      <c r="AAD23" s="15">
        <v>16</v>
      </c>
      <c r="AAE23" s="92"/>
      <c r="AAF23" s="79"/>
      <c r="AAG23" s="92"/>
      <c r="AAH23" s="95"/>
      <c r="AAI23" s="71"/>
      <c r="AAL23" s="106"/>
      <c r="AAM23" s="15">
        <v>16</v>
      </c>
      <c r="AAN23" s="92"/>
      <c r="AAO23" s="79"/>
      <c r="AAP23" s="92"/>
      <c r="AAQ23" s="95"/>
      <c r="AAR23" s="71"/>
      <c r="AAU23" s="106"/>
      <c r="AAV23" s="15">
        <v>16</v>
      </c>
      <c r="AAW23" s="92"/>
      <c r="AAX23" s="79"/>
      <c r="AAY23" s="92"/>
      <c r="AAZ23" s="95"/>
      <c r="ABA23" s="71"/>
      <c r="ABD23" s="106"/>
      <c r="ABE23" s="15">
        <v>16</v>
      </c>
      <c r="ABF23" s="92"/>
      <c r="ABG23" s="79"/>
      <c r="ABH23" s="92"/>
      <c r="ABI23" s="95"/>
      <c r="ABJ23" s="71"/>
      <c r="ABM23" s="106"/>
      <c r="ABN23" s="15">
        <v>16</v>
      </c>
      <c r="ABO23" s="92"/>
      <c r="ABP23" s="79"/>
      <c r="ABQ23" s="92"/>
      <c r="ABR23" s="95"/>
      <c r="ABS23" s="71"/>
      <c r="ABV23" s="106"/>
      <c r="ABW23" s="15">
        <v>16</v>
      </c>
      <c r="ABX23" s="92"/>
      <c r="ABY23" s="79"/>
      <c r="ABZ23" s="92"/>
      <c r="ACA23" s="95"/>
      <c r="ACB23" s="71"/>
      <c r="ACE23" s="106"/>
      <c r="ACF23" s="15">
        <v>16</v>
      </c>
      <c r="ACG23" s="92"/>
      <c r="ACH23" s="79"/>
      <c r="ACI23" s="92"/>
      <c r="ACJ23" s="95"/>
      <c r="ACK23" s="71"/>
      <c r="ACN23" s="106"/>
      <c r="ACO23" s="15">
        <v>16</v>
      </c>
      <c r="ACP23" s="92"/>
      <c r="ACQ23" s="79"/>
      <c r="ACR23" s="92"/>
      <c r="ACS23" s="95"/>
      <c r="ACT23" s="71"/>
      <c r="ACW23" s="106"/>
      <c r="ACX23" s="15">
        <v>16</v>
      </c>
      <c r="ACY23" s="92"/>
      <c r="ACZ23" s="79"/>
      <c r="ADA23" s="92"/>
      <c r="ADB23" s="95"/>
      <c r="ADC23" s="71"/>
      <c r="ADF23" s="106"/>
      <c r="ADG23" s="15">
        <v>16</v>
      </c>
      <c r="ADH23" s="92"/>
      <c r="ADI23" s="79"/>
      <c r="ADJ23" s="92"/>
      <c r="ADK23" s="95"/>
      <c r="ADL23" s="71"/>
      <c r="ADO23" s="106"/>
      <c r="ADP23" s="15">
        <v>16</v>
      </c>
      <c r="ADQ23" s="92"/>
      <c r="ADR23" s="79"/>
      <c r="ADS23" s="92"/>
      <c r="ADT23" s="95"/>
      <c r="ADU23" s="71"/>
      <c r="ADX23" s="106"/>
      <c r="ADY23" s="15">
        <v>16</v>
      </c>
      <c r="ADZ23" s="92"/>
      <c r="AEA23" s="79"/>
      <c r="AEB23" s="92"/>
      <c r="AEC23" s="95"/>
      <c r="AED23" s="71"/>
      <c r="AEG23" s="106"/>
      <c r="AEH23" s="15">
        <v>16</v>
      </c>
      <c r="AEI23" s="92"/>
      <c r="AEJ23" s="79"/>
      <c r="AEK23" s="92"/>
      <c r="AEL23" s="95"/>
      <c r="AEM23" s="71"/>
      <c r="AEP23" s="106"/>
      <c r="AEQ23" s="15">
        <v>16</v>
      </c>
      <c r="AER23" s="92"/>
      <c r="AES23" s="79"/>
      <c r="AET23" s="92"/>
      <c r="AEU23" s="95"/>
      <c r="AEV23" s="71"/>
      <c r="AEY23" s="106"/>
      <c r="AEZ23" s="15">
        <v>16</v>
      </c>
      <c r="AFA23" s="92"/>
      <c r="AFB23" s="79"/>
      <c r="AFC23" s="92"/>
      <c r="AFD23" s="95"/>
      <c r="AFE23" s="71"/>
    </row>
    <row r="24" spans="1:840" x14ac:dyDescent="0.25">
      <c r="A24" s="137">
        <v>21</v>
      </c>
      <c r="B24" s="75" t="str">
        <f t="shared" ref="B24:I24" si="72">HC5</f>
        <v>TYSON FRESH MEAT</v>
      </c>
      <c r="C24" s="75" t="str">
        <f t="shared" si="72"/>
        <v xml:space="preserve">I B P </v>
      </c>
      <c r="D24" s="102" t="str">
        <f t="shared" si="72"/>
        <v>PED. 910285201</v>
      </c>
      <c r="E24" s="135">
        <f t="shared" si="72"/>
        <v>44909</v>
      </c>
      <c r="F24" s="86">
        <f t="shared" si="72"/>
        <v>18590.849999999999</v>
      </c>
      <c r="G24" s="73">
        <f t="shared" si="72"/>
        <v>20</v>
      </c>
      <c r="H24" s="48">
        <f t="shared" si="72"/>
        <v>18618.48</v>
      </c>
      <c r="I24" s="105">
        <f t="shared" si="72"/>
        <v>-27.630000000001019</v>
      </c>
      <c r="L24" s="94"/>
      <c r="M24" s="15">
        <v>17</v>
      </c>
      <c r="N24" s="69">
        <v>875.4</v>
      </c>
      <c r="O24" s="252">
        <v>44895</v>
      </c>
      <c r="P24" s="69">
        <v>875.4</v>
      </c>
      <c r="Q24" s="70" t="s">
        <v>584</v>
      </c>
      <c r="R24" s="71">
        <v>51</v>
      </c>
      <c r="S24" s="393">
        <f t="shared" si="8"/>
        <v>44645.4</v>
      </c>
      <c r="V24" s="94"/>
      <c r="W24" s="15">
        <v>17</v>
      </c>
      <c r="X24" s="69">
        <v>893.6</v>
      </c>
      <c r="Y24" s="252">
        <v>44895</v>
      </c>
      <c r="Z24" s="69">
        <v>893.6</v>
      </c>
      <c r="AA24" s="695" t="s">
        <v>583</v>
      </c>
      <c r="AB24" s="696">
        <v>51</v>
      </c>
      <c r="AC24" s="393">
        <f t="shared" si="9"/>
        <v>45573.599999999999</v>
      </c>
      <c r="AF24" s="106"/>
      <c r="AG24" s="15">
        <v>17</v>
      </c>
      <c r="AH24" s="92">
        <v>921.24</v>
      </c>
      <c r="AI24" s="244">
        <v>44896</v>
      </c>
      <c r="AJ24" s="92">
        <v>921.24</v>
      </c>
      <c r="AK24" s="95" t="s">
        <v>588</v>
      </c>
      <c r="AL24" s="71">
        <v>51</v>
      </c>
      <c r="AM24" s="393">
        <f t="shared" si="10"/>
        <v>46983.24</v>
      </c>
      <c r="AP24" s="106"/>
      <c r="AQ24" s="15">
        <v>17</v>
      </c>
      <c r="AR24" s="92">
        <v>933.5</v>
      </c>
      <c r="AS24" s="244">
        <v>44897</v>
      </c>
      <c r="AT24" s="92">
        <v>933.5</v>
      </c>
      <c r="AU24" s="95" t="s">
        <v>595</v>
      </c>
      <c r="AV24" s="71">
        <v>51</v>
      </c>
      <c r="AW24" s="393">
        <f t="shared" si="11"/>
        <v>47608.5</v>
      </c>
      <c r="AZ24" s="106"/>
      <c r="BA24" s="15">
        <v>17</v>
      </c>
      <c r="BB24" s="92">
        <v>890.9</v>
      </c>
      <c r="BC24" s="244">
        <v>44897</v>
      </c>
      <c r="BD24" s="92">
        <v>890.9</v>
      </c>
      <c r="BE24" s="95" t="s">
        <v>599</v>
      </c>
      <c r="BF24" s="71">
        <v>51</v>
      </c>
      <c r="BG24" s="393">
        <f t="shared" si="12"/>
        <v>45435.9</v>
      </c>
      <c r="BJ24" s="668"/>
      <c r="BK24" s="15">
        <v>17</v>
      </c>
      <c r="BL24" s="92">
        <v>888.13</v>
      </c>
      <c r="BM24" s="135">
        <v>44898</v>
      </c>
      <c r="BN24" s="92">
        <v>888.13</v>
      </c>
      <c r="BO24" s="95" t="s">
        <v>609</v>
      </c>
      <c r="BP24" s="288">
        <v>51</v>
      </c>
      <c r="BQ24" s="481">
        <f t="shared" si="13"/>
        <v>45294.63</v>
      </c>
      <c r="BR24" s="393"/>
      <c r="BT24" s="106"/>
      <c r="BU24" s="15"/>
      <c r="BV24" s="92"/>
      <c r="BW24" s="289"/>
      <c r="BX24" s="92"/>
      <c r="BY24" s="577"/>
      <c r="BZ24" s="290"/>
      <c r="CA24" s="393">
        <f t="shared" si="5"/>
        <v>0</v>
      </c>
      <c r="CD24" s="213"/>
      <c r="CE24" s="15">
        <v>17</v>
      </c>
      <c r="CF24" s="92">
        <v>866.4</v>
      </c>
      <c r="CG24" s="289">
        <v>44901</v>
      </c>
      <c r="CH24" s="92">
        <v>866.4</v>
      </c>
      <c r="CI24" s="291" t="s">
        <v>620</v>
      </c>
      <c r="CJ24" s="290">
        <v>51</v>
      </c>
      <c r="CK24" s="243">
        <f t="shared" si="14"/>
        <v>44186.400000000001</v>
      </c>
      <c r="CN24" s="411"/>
      <c r="CO24" s="15">
        <v>17</v>
      </c>
      <c r="CP24" s="92">
        <v>876.3</v>
      </c>
      <c r="CQ24" s="289">
        <v>44901</v>
      </c>
      <c r="CR24" s="92">
        <v>876.3</v>
      </c>
      <c r="CS24" s="291" t="s">
        <v>627</v>
      </c>
      <c r="CT24" s="290">
        <v>51</v>
      </c>
      <c r="CU24" s="398">
        <f t="shared" si="58"/>
        <v>44691.299999999996</v>
      </c>
      <c r="CX24" s="106"/>
      <c r="CY24" s="15">
        <v>17</v>
      </c>
      <c r="CZ24" s="92">
        <v>943.01</v>
      </c>
      <c r="DA24" s="244">
        <v>44902</v>
      </c>
      <c r="DB24" s="92">
        <v>943.01</v>
      </c>
      <c r="DC24" s="95" t="s">
        <v>632</v>
      </c>
      <c r="DD24" s="71">
        <v>51</v>
      </c>
      <c r="DE24" s="393">
        <f t="shared" si="15"/>
        <v>48093.51</v>
      </c>
      <c r="DH24" s="106"/>
      <c r="DI24" s="15">
        <v>17</v>
      </c>
      <c r="DJ24" s="694">
        <v>903.6</v>
      </c>
      <c r="DK24" s="720">
        <v>44903</v>
      </c>
      <c r="DL24" s="694">
        <v>903.6</v>
      </c>
      <c r="DM24" s="721" t="s">
        <v>649</v>
      </c>
      <c r="DN24" s="722">
        <v>51</v>
      </c>
      <c r="DO24" s="398">
        <f t="shared" si="16"/>
        <v>46083.6</v>
      </c>
      <c r="DR24" s="106"/>
      <c r="DS24" s="15">
        <v>17</v>
      </c>
      <c r="DT24" s="92">
        <v>936.21</v>
      </c>
      <c r="DU24" s="289">
        <v>44903</v>
      </c>
      <c r="DV24" s="92">
        <v>936.21</v>
      </c>
      <c r="DW24" s="291" t="s">
        <v>645</v>
      </c>
      <c r="DX24" s="290">
        <v>51</v>
      </c>
      <c r="DY24" s="393">
        <f t="shared" si="17"/>
        <v>47746.71</v>
      </c>
      <c r="EB24" s="106"/>
      <c r="EC24" s="15">
        <v>17</v>
      </c>
      <c r="ED24" s="69">
        <v>911.7</v>
      </c>
      <c r="EE24" s="252">
        <v>44904</v>
      </c>
      <c r="EF24" s="69">
        <v>911.7</v>
      </c>
      <c r="EG24" s="70" t="s">
        <v>662</v>
      </c>
      <c r="EH24" s="71">
        <v>51</v>
      </c>
      <c r="EI24" s="393">
        <f t="shared" si="18"/>
        <v>46496.700000000004</v>
      </c>
      <c r="EL24" s="106"/>
      <c r="EM24" s="15">
        <v>17</v>
      </c>
      <c r="EN24" s="69">
        <v>925.3</v>
      </c>
      <c r="EO24" s="252">
        <v>44904</v>
      </c>
      <c r="EP24" s="69">
        <v>925.3</v>
      </c>
      <c r="EQ24" s="70" t="s">
        <v>660</v>
      </c>
      <c r="ER24" s="71">
        <v>51</v>
      </c>
      <c r="ES24" s="393">
        <f t="shared" si="19"/>
        <v>47190.299999999996</v>
      </c>
      <c r="EV24" s="106"/>
      <c r="EW24" s="15">
        <v>17</v>
      </c>
      <c r="EX24" s="92">
        <v>867.3</v>
      </c>
      <c r="EY24" s="244">
        <v>44904</v>
      </c>
      <c r="EZ24" s="92">
        <v>867.3</v>
      </c>
      <c r="FA24" s="70" t="s">
        <v>664</v>
      </c>
      <c r="FB24" s="71">
        <v>51</v>
      </c>
      <c r="FC24" s="393">
        <f t="shared" si="20"/>
        <v>44232.299999999996</v>
      </c>
      <c r="FF24" s="106"/>
      <c r="FG24" s="15">
        <v>17</v>
      </c>
      <c r="FH24" s="92">
        <v>938</v>
      </c>
      <c r="FI24" s="244">
        <v>44905</v>
      </c>
      <c r="FJ24" s="92">
        <v>938</v>
      </c>
      <c r="FK24" s="70" t="s">
        <v>679</v>
      </c>
      <c r="FL24" s="71">
        <v>51</v>
      </c>
      <c r="FM24" s="243">
        <f t="shared" si="21"/>
        <v>47838</v>
      </c>
      <c r="FP24" s="106"/>
      <c r="FQ24" s="15">
        <v>17</v>
      </c>
      <c r="FR24" s="92">
        <v>905.37</v>
      </c>
      <c r="FS24" s="244">
        <v>44905</v>
      </c>
      <c r="FT24" s="92">
        <v>905.37</v>
      </c>
      <c r="FU24" s="70" t="s">
        <v>675</v>
      </c>
      <c r="FV24" s="71">
        <v>51</v>
      </c>
      <c r="FW24" s="393">
        <f t="shared" si="22"/>
        <v>46173.87</v>
      </c>
      <c r="FX24" s="71"/>
      <c r="FZ24" s="106"/>
      <c r="GA24" s="15">
        <v>17</v>
      </c>
      <c r="GB24" s="69">
        <v>920.8</v>
      </c>
      <c r="GC24" s="252">
        <v>44908</v>
      </c>
      <c r="GD24" s="69">
        <v>920.8</v>
      </c>
      <c r="GE24" s="70" t="s">
        <v>688</v>
      </c>
      <c r="GF24" s="71">
        <v>49</v>
      </c>
      <c r="GG24" s="243">
        <f t="shared" si="23"/>
        <v>45119.199999999997</v>
      </c>
      <c r="GJ24" s="106"/>
      <c r="GK24" s="15">
        <v>17</v>
      </c>
      <c r="GL24" s="352">
        <v>910.8</v>
      </c>
      <c r="GM24" s="244">
        <v>44908</v>
      </c>
      <c r="GN24" s="352">
        <v>910.8</v>
      </c>
      <c r="GO24" s="95" t="s">
        <v>697</v>
      </c>
      <c r="GP24" s="71">
        <v>49</v>
      </c>
      <c r="GQ24" s="393">
        <f t="shared" si="24"/>
        <v>44629.2</v>
      </c>
      <c r="GT24" s="106"/>
      <c r="GU24" s="15">
        <v>17</v>
      </c>
      <c r="GV24" s="92">
        <v>910.8</v>
      </c>
      <c r="GW24" s="244">
        <v>44908</v>
      </c>
      <c r="GX24" s="92">
        <v>910.8</v>
      </c>
      <c r="GY24" s="95" t="s">
        <v>695</v>
      </c>
      <c r="GZ24" s="71">
        <v>49</v>
      </c>
      <c r="HA24" s="393">
        <f t="shared" si="25"/>
        <v>44629.2</v>
      </c>
      <c r="HD24" s="106"/>
      <c r="HE24" s="15">
        <v>17</v>
      </c>
      <c r="HF24" s="92">
        <v>922.6</v>
      </c>
      <c r="HG24" s="244">
        <v>44909</v>
      </c>
      <c r="HH24" s="92">
        <v>922.6</v>
      </c>
      <c r="HI24" s="944" t="s">
        <v>706</v>
      </c>
      <c r="HJ24" s="71">
        <v>49</v>
      </c>
      <c r="HK24" s="243">
        <f t="shared" si="26"/>
        <v>45207.4</v>
      </c>
      <c r="HN24" s="106"/>
      <c r="HO24" s="15">
        <v>17</v>
      </c>
      <c r="HP24" s="92">
        <v>943.47</v>
      </c>
      <c r="HQ24" s="244">
        <v>44910</v>
      </c>
      <c r="HR24" s="92">
        <v>943.47</v>
      </c>
      <c r="HS24" s="292" t="s">
        <v>710</v>
      </c>
      <c r="HT24" s="71">
        <v>49</v>
      </c>
      <c r="HU24" s="243">
        <f t="shared" si="27"/>
        <v>46230.03</v>
      </c>
      <c r="HX24" s="106"/>
      <c r="HY24" s="15">
        <v>17</v>
      </c>
      <c r="HZ24" s="69">
        <v>954.35</v>
      </c>
      <c r="IA24" s="252">
        <v>44910</v>
      </c>
      <c r="IB24" s="69">
        <v>954.35</v>
      </c>
      <c r="IC24" s="70" t="s">
        <v>707</v>
      </c>
      <c r="ID24" s="71">
        <v>49</v>
      </c>
      <c r="IE24" s="393">
        <f t="shared" si="6"/>
        <v>46763.15</v>
      </c>
      <c r="IH24" s="106"/>
      <c r="II24" s="15">
        <v>17</v>
      </c>
      <c r="IJ24" s="69">
        <v>898.1</v>
      </c>
      <c r="IK24" s="252">
        <v>44910</v>
      </c>
      <c r="IL24" s="69">
        <v>898.1</v>
      </c>
      <c r="IM24" s="70" t="s">
        <v>716</v>
      </c>
      <c r="IN24" s="71">
        <v>49</v>
      </c>
      <c r="IO24" s="393">
        <f t="shared" si="28"/>
        <v>44006.9</v>
      </c>
      <c r="IR24" s="106"/>
      <c r="IS24" s="15">
        <v>17</v>
      </c>
      <c r="IT24" s="92">
        <v>928</v>
      </c>
      <c r="IU24" s="135">
        <v>44911</v>
      </c>
      <c r="IV24" s="92">
        <v>928</v>
      </c>
      <c r="IW24" s="363" t="s">
        <v>731</v>
      </c>
      <c r="IX24" s="71">
        <v>47</v>
      </c>
      <c r="IY24" s="243">
        <f t="shared" si="29"/>
        <v>43616</v>
      </c>
      <c r="JA24" s="69"/>
      <c r="JB24" s="106"/>
      <c r="JC24" s="15">
        <v>17</v>
      </c>
      <c r="JD24" s="92">
        <v>880</v>
      </c>
      <c r="JE24" s="252">
        <v>44911</v>
      </c>
      <c r="JF24" s="92">
        <v>880</v>
      </c>
      <c r="JG24" s="70" t="s">
        <v>728</v>
      </c>
      <c r="JH24" s="71">
        <v>47</v>
      </c>
      <c r="JI24" s="243">
        <f t="shared" si="30"/>
        <v>41360</v>
      </c>
      <c r="JL24" s="106"/>
      <c r="JM24" s="15">
        <v>17</v>
      </c>
      <c r="JN24" s="92">
        <v>900.8</v>
      </c>
      <c r="JO24" s="244">
        <v>44912</v>
      </c>
      <c r="JP24" s="92">
        <v>900.8</v>
      </c>
      <c r="JQ24" s="70" t="s">
        <v>738</v>
      </c>
      <c r="JR24" s="71">
        <v>48</v>
      </c>
      <c r="JS24" s="393">
        <f t="shared" si="31"/>
        <v>43238.399999999994</v>
      </c>
      <c r="JV24" s="94"/>
      <c r="JW24" s="15">
        <v>17</v>
      </c>
      <c r="JX24" s="69">
        <v>889</v>
      </c>
      <c r="JY24" s="252">
        <v>44912</v>
      </c>
      <c r="JZ24" s="69">
        <v>889</v>
      </c>
      <c r="KA24" s="70" t="s">
        <v>709</v>
      </c>
      <c r="KB24" s="71">
        <v>48</v>
      </c>
      <c r="KC24" s="393">
        <f t="shared" si="32"/>
        <v>42672</v>
      </c>
      <c r="KF24" s="94"/>
      <c r="KG24" s="15">
        <v>17</v>
      </c>
      <c r="KH24" s="69">
        <v>927.1</v>
      </c>
      <c r="KI24" s="252">
        <v>44915</v>
      </c>
      <c r="KJ24" s="69">
        <v>927.1</v>
      </c>
      <c r="KK24" s="70" t="s">
        <v>759</v>
      </c>
      <c r="KL24" s="71">
        <v>49</v>
      </c>
      <c r="KM24" s="393">
        <f t="shared" si="33"/>
        <v>45427.9</v>
      </c>
      <c r="KP24" s="94"/>
      <c r="KQ24" s="15">
        <v>17</v>
      </c>
      <c r="KR24" s="69">
        <v>884.5</v>
      </c>
      <c r="KS24" s="252">
        <v>44915</v>
      </c>
      <c r="KT24" s="69">
        <v>884.5</v>
      </c>
      <c r="KU24" s="695" t="s">
        <v>758</v>
      </c>
      <c r="KV24" s="696">
        <v>49</v>
      </c>
      <c r="KW24" s="393">
        <f t="shared" si="34"/>
        <v>43340.5</v>
      </c>
      <c r="KZ24" s="106"/>
      <c r="LA24" s="15">
        <v>17</v>
      </c>
      <c r="LB24" s="92">
        <v>911.7</v>
      </c>
      <c r="LC24" s="244">
        <v>44916</v>
      </c>
      <c r="LD24" s="92">
        <v>911.7</v>
      </c>
      <c r="LE24" s="95" t="s">
        <v>769</v>
      </c>
      <c r="LF24" s="71">
        <v>51</v>
      </c>
      <c r="LG24" s="393">
        <f t="shared" si="35"/>
        <v>46496.700000000004</v>
      </c>
      <c r="LJ24" s="106"/>
      <c r="LK24" s="15">
        <v>17</v>
      </c>
      <c r="LL24" s="92">
        <v>938.02</v>
      </c>
      <c r="LM24" s="244">
        <v>44916</v>
      </c>
      <c r="LN24" s="92">
        <v>938.02</v>
      </c>
      <c r="LO24" s="95" t="s">
        <v>777</v>
      </c>
      <c r="LP24" s="71">
        <v>51</v>
      </c>
      <c r="LQ24" s="393">
        <f t="shared" si="36"/>
        <v>47839.02</v>
      </c>
      <c r="LT24" s="106"/>
      <c r="LU24" s="15">
        <v>17</v>
      </c>
      <c r="LV24" s="92">
        <v>887.2</v>
      </c>
      <c r="LW24" s="244">
        <v>44917</v>
      </c>
      <c r="LX24" s="92">
        <v>887.2</v>
      </c>
      <c r="LY24" s="95" t="s">
        <v>787</v>
      </c>
      <c r="LZ24" s="71">
        <v>53</v>
      </c>
      <c r="MA24" s="393">
        <f t="shared" si="37"/>
        <v>47021.600000000006</v>
      </c>
      <c r="MB24" s="393"/>
      <c r="MD24" s="106"/>
      <c r="ME24" s="15">
        <v>17</v>
      </c>
      <c r="MF24" s="296">
        <v>888.1</v>
      </c>
      <c r="MG24" s="244">
        <v>44917</v>
      </c>
      <c r="MH24" s="296">
        <v>888.1</v>
      </c>
      <c r="MI24" s="95" t="s">
        <v>767</v>
      </c>
      <c r="MJ24" s="71">
        <v>51</v>
      </c>
      <c r="MK24" s="71">
        <f t="shared" si="38"/>
        <v>45293.1</v>
      </c>
      <c r="MN24" s="106"/>
      <c r="MO24" s="15">
        <v>17</v>
      </c>
      <c r="MP24" s="92">
        <v>939.84</v>
      </c>
      <c r="MQ24" s="244">
        <v>44917</v>
      </c>
      <c r="MR24" s="92">
        <v>939.84</v>
      </c>
      <c r="MS24" s="95" t="s">
        <v>790</v>
      </c>
      <c r="MT24" s="71">
        <v>53</v>
      </c>
      <c r="MU24" s="71">
        <f t="shared" si="39"/>
        <v>49811.520000000004</v>
      </c>
      <c r="MX24" s="106"/>
      <c r="MY24" s="15">
        <v>17</v>
      </c>
      <c r="MZ24" s="92">
        <v>873.6</v>
      </c>
      <c r="NA24" s="244">
        <v>44918</v>
      </c>
      <c r="NB24" s="92">
        <v>873.6</v>
      </c>
      <c r="NC24" s="95" t="s">
        <v>807</v>
      </c>
      <c r="ND24" s="71">
        <v>53</v>
      </c>
      <c r="NE24" s="71">
        <f t="shared" si="40"/>
        <v>46300.800000000003</v>
      </c>
      <c r="NH24" s="106"/>
      <c r="NI24" s="15">
        <v>17</v>
      </c>
      <c r="NJ24" s="92">
        <v>874.5</v>
      </c>
      <c r="NK24" s="244">
        <v>44918</v>
      </c>
      <c r="NL24" s="92">
        <v>874.5</v>
      </c>
      <c r="NM24" s="95" t="s">
        <v>814</v>
      </c>
      <c r="NN24" s="71">
        <v>53</v>
      </c>
      <c r="NO24" s="71">
        <f t="shared" si="41"/>
        <v>46348.5</v>
      </c>
      <c r="NR24" s="106"/>
      <c r="NS24" s="15">
        <v>17</v>
      </c>
      <c r="NT24" s="92">
        <v>920.8</v>
      </c>
      <c r="NU24" s="244">
        <v>44918</v>
      </c>
      <c r="NV24" s="92">
        <v>920.8</v>
      </c>
      <c r="NW24" s="95" t="s">
        <v>818</v>
      </c>
      <c r="NX24" s="71">
        <v>53</v>
      </c>
      <c r="NY24" s="71">
        <f t="shared" si="42"/>
        <v>48802.399999999994</v>
      </c>
      <c r="OB24" s="106"/>
      <c r="OC24" s="15">
        <v>17</v>
      </c>
      <c r="OD24" s="92">
        <v>919</v>
      </c>
      <c r="OE24" s="244">
        <v>44919</v>
      </c>
      <c r="OF24" s="92">
        <v>919</v>
      </c>
      <c r="OG24" s="95" t="s">
        <v>803</v>
      </c>
      <c r="OH24" s="71">
        <v>53</v>
      </c>
      <c r="OI24" s="71">
        <f t="shared" si="43"/>
        <v>48707</v>
      </c>
      <c r="OL24" s="106"/>
      <c r="OM24" s="15">
        <v>17</v>
      </c>
      <c r="ON24" s="92">
        <v>938</v>
      </c>
      <c r="OO24" s="244">
        <v>44919</v>
      </c>
      <c r="OP24" s="92">
        <v>938</v>
      </c>
      <c r="OQ24" s="95" t="s">
        <v>824</v>
      </c>
      <c r="OR24" s="71">
        <v>53</v>
      </c>
      <c r="OS24" s="71">
        <f t="shared" si="44"/>
        <v>49714</v>
      </c>
      <c r="OV24" s="106"/>
      <c r="OW24" s="15">
        <v>17</v>
      </c>
      <c r="OX24" s="92">
        <v>919.9</v>
      </c>
      <c r="OY24" s="244">
        <v>44921</v>
      </c>
      <c r="OZ24" s="92">
        <v>919.9</v>
      </c>
      <c r="PA24" s="95" t="s">
        <v>831</v>
      </c>
      <c r="PB24" s="71">
        <v>53</v>
      </c>
      <c r="PC24" s="71">
        <f t="shared" si="45"/>
        <v>48754.7</v>
      </c>
      <c r="PF24" s="94"/>
      <c r="PG24" s="15">
        <v>17</v>
      </c>
      <c r="PH24" s="92">
        <v>890.9</v>
      </c>
      <c r="PI24" s="244">
        <v>44924</v>
      </c>
      <c r="PJ24" s="92">
        <v>890.9</v>
      </c>
      <c r="PK24" s="95" t="s">
        <v>850</v>
      </c>
      <c r="PL24" s="71">
        <v>53</v>
      </c>
      <c r="PM24" s="71">
        <f t="shared" si="46"/>
        <v>47217.7</v>
      </c>
      <c r="PN24" s="71"/>
      <c r="PQ24" s="106"/>
      <c r="PR24" s="15">
        <v>17</v>
      </c>
      <c r="PS24" s="92">
        <v>904.9</v>
      </c>
      <c r="PT24" s="244">
        <v>44924</v>
      </c>
      <c r="PU24" s="92">
        <v>904.9</v>
      </c>
      <c r="PV24" s="95" t="s">
        <v>848</v>
      </c>
      <c r="PW24" s="71">
        <v>53</v>
      </c>
      <c r="PX24" s="71">
        <f t="shared" si="47"/>
        <v>47959.7</v>
      </c>
      <c r="QA24" s="106"/>
      <c r="QB24" s="15">
        <v>17</v>
      </c>
      <c r="QC24" s="92">
        <v>947.1</v>
      </c>
      <c r="QD24" s="135">
        <v>44924</v>
      </c>
      <c r="QE24" s="92">
        <v>947.1</v>
      </c>
      <c r="QF24" s="95" t="s">
        <v>845</v>
      </c>
      <c r="QG24" s="71">
        <v>53</v>
      </c>
      <c r="QH24" s="71">
        <f t="shared" si="48"/>
        <v>50196.3</v>
      </c>
      <c r="QK24" s="106"/>
      <c r="QL24" s="15">
        <v>17</v>
      </c>
      <c r="QM24" s="92">
        <v>891.8</v>
      </c>
      <c r="QN24" s="244">
        <v>44928</v>
      </c>
      <c r="QO24" s="92">
        <v>891.8</v>
      </c>
      <c r="QP24" s="95" t="s">
        <v>870</v>
      </c>
      <c r="QQ24" s="71">
        <v>53</v>
      </c>
      <c r="QR24" s="71">
        <f t="shared" si="49"/>
        <v>47265.399999999994</v>
      </c>
      <c r="QU24" s="106"/>
      <c r="QV24" s="15">
        <v>17</v>
      </c>
      <c r="QW24" s="92">
        <v>895.8</v>
      </c>
      <c r="QX24" s="244">
        <v>44926</v>
      </c>
      <c r="QY24" s="92">
        <v>895.8</v>
      </c>
      <c r="QZ24" s="95" t="s">
        <v>861</v>
      </c>
      <c r="RA24" s="71">
        <v>53</v>
      </c>
      <c r="RB24" s="71">
        <f t="shared" si="50"/>
        <v>47477.399999999994</v>
      </c>
      <c r="RE24" s="106"/>
      <c r="RF24" s="15">
        <v>17</v>
      </c>
      <c r="RG24" s="92">
        <v>884.5</v>
      </c>
      <c r="RH24" s="244">
        <v>44930</v>
      </c>
      <c r="RI24" s="92">
        <v>884.5</v>
      </c>
      <c r="RJ24" s="95" t="s">
        <v>888</v>
      </c>
      <c r="RK24" s="71">
        <v>47</v>
      </c>
      <c r="RL24" s="71">
        <f t="shared" si="51"/>
        <v>41571.5</v>
      </c>
      <c r="RO24" s="106"/>
      <c r="RP24" s="15">
        <v>17</v>
      </c>
      <c r="RQ24" s="92">
        <v>900.8</v>
      </c>
      <c r="RR24" s="244">
        <v>44930</v>
      </c>
      <c r="RS24" s="92">
        <v>900.8</v>
      </c>
      <c r="RT24" s="95" t="s">
        <v>887</v>
      </c>
      <c r="RU24" s="288">
        <v>47</v>
      </c>
      <c r="RV24" s="71">
        <f t="shared" si="52"/>
        <v>42337.599999999999</v>
      </c>
      <c r="RY24" s="106"/>
      <c r="RZ24" s="15">
        <v>17</v>
      </c>
      <c r="SA24" s="92">
        <v>957.98</v>
      </c>
      <c r="SB24" s="135">
        <v>44931</v>
      </c>
      <c r="SC24" s="92">
        <v>957.98</v>
      </c>
      <c r="SD24" s="95" t="s">
        <v>897</v>
      </c>
      <c r="SE24" s="71">
        <v>47</v>
      </c>
      <c r="SF24" s="71">
        <f t="shared" si="53"/>
        <v>45025.06</v>
      </c>
      <c r="SI24" s="106"/>
      <c r="SJ24" s="15">
        <v>17</v>
      </c>
      <c r="SK24" s="92">
        <v>949.82</v>
      </c>
      <c r="SL24" s="244">
        <v>44932</v>
      </c>
      <c r="SM24" s="92">
        <v>949.82</v>
      </c>
      <c r="SN24" s="95" t="s">
        <v>904</v>
      </c>
      <c r="SO24" s="71">
        <v>47</v>
      </c>
      <c r="SP24" s="71">
        <f t="shared" si="54"/>
        <v>44641.54</v>
      </c>
      <c r="SS24" s="106"/>
      <c r="ST24" s="15">
        <v>17</v>
      </c>
      <c r="SU24" s="92">
        <v>885.4</v>
      </c>
      <c r="SV24" s="244">
        <v>44933</v>
      </c>
      <c r="SW24" s="92">
        <v>885.4</v>
      </c>
      <c r="SX24" s="95" t="s">
        <v>915</v>
      </c>
      <c r="SY24" s="71">
        <v>45</v>
      </c>
      <c r="SZ24" s="71">
        <f t="shared" si="55"/>
        <v>39843</v>
      </c>
      <c r="TC24" s="106"/>
      <c r="TD24" s="15">
        <v>17</v>
      </c>
      <c r="TE24" s="92">
        <v>900.8</v>
      </c>
      <c r="TF24" s="244">
        <v>44933</v>
      </c>
      <c r="TG24" s="92">
        <v>900.8</v>
      </c>
      <c r="TH24" s="95" t="s">
        <v>914</v>
      </c>
      <c r="TI24" s="71">
        <v>45</v>
      </c>
      <c r="TJ24" s="71">
        <f t="shared" si="56"/>
        <v>40536</v>
      </c>
      <c r="TM24" s="106"/>
      <c r="TN24" s="15">
        <v>17</v>
      </c>
      <c r="TO24" s="92"/>
      <c r="TP24" s="295"/>
      <c r="TQ24" s="168"/>
      <c r="TR24" s="291"/>
      <c r="TS24" s="290"/>
      <c r="TT24" s="290"/>
      <c r="TW24" s="106"/>
      <c r="TX24" s="15"/>
      <c r="TY24" s="92"/>
      <c r="TZ24" s="79"/>
      <c r="UA24" s="92"/>
      <c r="UB24" s="95"/>
      <c r="UC24" s="71"/>
      <c r="UF24" s="106"/>
      <c r="UG24" s="15">
        <v>17</v>
      </c>
      <c r="UH24" s="92"/>
      <c r="UI24" s="79"/>
      <c r="UJ24" s="92"/>
      <c r="UK24" s="95"/>
      <c r="UL24" s="71"/>
      <c r="UO24" s="106"/>
      <c r="UP24" s="15"/>
      <c r="UQ24" s="92"/>
      <c r="UR24" s="79"/>
      <c r="US24" s="92"/>
      <c r="UT24" s="95"/>
      <c r="UU24" s="71"/>
      <c r="UX24" s="106"/>
      <c r="UY24" s="15">
        <v>17</v>
      </c>
      <c r="UZ24" s="92"/>
      <c r="VA24" s="79"/>
      <c r="VB24" s="92"/>
      <c r="VC24" s="95"/>
      <c r="VD24" s="71"/>
      <c r="VG24" s="106"/>
      <c r="VH24" s="15">
        <v>17</v>
      </c>
      <c r="VI24" s="92"/>
      <c r="VJ24" s="79"/>
      <c r="VK24" s="92"/>
      <c r="VL24" s="95"/>
      <c r="VM24" s="71"/>
      <c r="VP24" s="106"/>
      <c r="VQ24" s="15">
        <v>17</v>
      </c>
      <c r="VR24" s="92"/>
      <c r="VS24" s="79"/>
      <c r="VT24" s="92"/>
      <c r="VU24" s="95"/>
      <c r="VV24" s="71"/>
      <c r="VY24" s="106"/>
      <c r="VZ24" s="15">
        <v>17</v>
      </c>
      <c r="WA24" s="92"/>
      <c r="WB24" s="79"/>
      <c r="WC24" s="92"/>
      <c r="WD24" s="95"/>
      <c r="WE24" s="71"/>
      <c r="WH24" s="106"/>
      <c r="WI24" s="15">
        <v>17</v>
      </c>
      <c r="WJ24" s="92"/>
      <c r="WK24" s="79"/>
      <c r="WL24" s="92"/>
      <c r="WM24" s="95"/>
      <c r="WN24" s="71"/>
      <c r="WQ24" s="106"/>
      <c r="WR24" s="15">
        <v>17</v>
      </c>
      <c r="WS24" s="92"/>
      <c r="WT24" s="79"/>
      <c r="WU24" s="92"/>
      <c r="WV24" s="95"/>
      <c r="WW24" s="71"/>
      <c r="WZ24" s="106"/>
      <c r="XA24" s="15">
        <v>17</v>
      </c>
      <c r="XB24" s="92"/>
      <c r="XC24" s="79"/>
      <c r="XD24" s="92"/>
      <c r="XE24" s="95"/>
      <c r="XF24" s="71"/>
      <c r="XI24" s="106"/>
      <c r="XJ24" s="15">
        <v>17</v>
      </c>
      <c r="XK24" s="92"/>
      <c r="XL24" s="79"/>
      <c r="XM24" s="92"/>
      <c r="XN24" s="95"/>
      <c r="XO24" s="71"/>
      <c r="XR24" s="106"/>
      <c r="XS24" s="15">
        <v>17</v>
      </c>
      <c r="XT24" s="92"/>
      <c r="XU24" s="79"/>
      <c r="XV24" s="92"/>
      <c r="XW24" s="95"/>
      <c r="XX24" s="71"/>
      <c r="YA24" s="106"/>
      <c r="YB24" s="15">
        <v>17</v>
      </c>
      <c r="YC24" s="92"/>
      <c r="YD24" s="79"/>
      <c r="YE24" s="92"/>
      <c r="YF24" s="95"/>
      <c r="YG24" s="71"/>
      <c r="YJ24" s="106"/>
      <c r="YK24" s="15">
        <v>17</v>
      </c>
      <c r="YL24" s="92"/>
      <c r="YM24" s="79"/>
      <c r="YN24" s="92"/>
      <c r="YO24" s="95"/>
      <c r="YP24" s="71"/>
      <c r="YS24" s="106"/>
      <c r="YT24" s="15">
        <v>17</v>
      </c>
      <c r="YU24" s="92"/>
      <c r="YV24" s="79"/>
      <c r="YW24" s="92"/>
      <c r="YX24" s="95"/>
      <c r="YY24" s="71"/>
      <c r="ZB24" s="106"/>
      <c r="ZC24" s="15">
        <v>17</v>
      </c>
      <c r="ZD24" s="92"/>
      <c r="ZE24" s="79"/>
      <c r="ZF24" s="92"/>
      <c r="ZG24" s="95"/>
      <c r="ZH24" s="71"/>
      <c r="ZK24" s="106"/>
      <c r="ZL24" s="15">
        <v>17</v>
      </c>
      <c r="ZM24" s="92"/>
      <c r="ZN24" s="79"/>
      <c r="ZO24" s="92"/>
      <c r="ZP24" s="95"/>
      <c r="ZQ24" s="71"/>
      <c r="ZT24" s="106"/>
      <c r="ZU24" s="15">
        <v>17</v>
      </c>
      <c r="ZV24" s="92"/>
      <c r="ZW24" s="79"/>
      <c r="ZX24" s="92"/>
      <c r="ZY24" s="95"/>
      <c r="ZZ24" s="71"/>
      <c r="AAC24" s="106"/>
      <c r="AAD24" s="15">
        <v>17</v>
      </c>
      <c r="AAE24" s="92"/>
      <c r="AAF24" s="79"/>
      <c r="AAG24" s="92"/>
      <c r="AAH24" s="95"/>
      <c r="AAI24" s="71"/>
      <c r="AAL24" s="106"/>
      <c r="AAM24" s="15">
        <v>17</v>
      </c>
      <c r="AAN24" s="92"/>
      <c r="AAO24" s="79"/>
      <c r="AAP24" s="92"/>
      <c r="AAQ24" s="95"/>
      <c r="AAR24" s="71"/>
      <c r="AAU24" s="106"/>
      <c r="AAV24" s="15">
        <v>17</v>
      </c>
      <c r="AAW24" s="92"/>
      <c r="AAX24" s="79"/>
      <c r="AAY24" s="92"/>
      <c r="AAZ24" s="95"/>
      <c r="ABA24" s="71"/>
      <c r="ABD24" s="106"/>
      <c r="ABE24" s="15">
        <v>17</v>
      </c>
      <c r="ABF24" s="92"/>
      <c r="ABG24" s="79"/>
      <c r="ABH24" s="92"/>
      <c r="ABI24" s="95"/>
      <c r="ABJ24" s="71"/>
      <c r="ABM24" s="106"/>
      <c r="ABN24" s="15">
        <v>17</v>
      </c>
      <c r="ABO24" s="92"/>
      <c r="ABP24" s="79"/>
      <c r="ABQ24" s="92"/>
      <c r="ABR24" s="95"/>
      <c r="ABS24" s="71"/>
      <c r="ABV24" s="106"/>
      <c r="ABW24" s="15">
        <v>17</v>
      </c>
      <c r="ABX24" s="92"/>
      <c r="ABY24" s="79"/>
      <c r="ABZ24" s="92"/>
      <c r="ACA24" s="95"/>
      <c r="ACB24" s="71"/>
      <c r="ACE24" s="106"/>
      <c r="ACF24" s="15">
        <v>17</v>
      </c>
      <c r="ACG24" s="92"/>
      <c r="ACH24" s="79"/>
      <c r="ACI24" s="92"/>
      <c r="ACJ24" s="95"/>
      <c r="ACK24" s="71"/>
      <c r="ACN24" s="106"/>
      <c r="ACO24" s="15">
        <v>17</v>
      </c>
      <c r="ACP24" s="92"/>
      <c r="ACQ24" s="79"/>
      <c r="ACR24" s="92"/>
      <c r="ACS24" s="95"/>
      <c r="ACT24" s="71"/>
      <c r="ACW24" s="106"/>
      <c r="ACX24" s="15">
        <v>17</v>
      </c>
      <c r="ACY24" s="92"/>
      <c r="ACZ24" s="79"/>
      <c r="ADA24" s="92"/>
      <c r="ADB24" s="95"/>
      <c r="ADC24" s="71"/>
      <c r="ADF24" s="106"/>
      <c r="ADG24" s="15">
        <v>17</v>
      </c>
      <c r="ADH24" s="92"/>
      <c r="ADI24" s="79"/>
      <c r="ADJ24" s="92"/>
      <c r="ADK24" s="95"/>
      <c r="ADL24" s="71"/>
      <c r="ADO24" s="106"/>
      <c r="ADP24" s="15">
        <v>17</v>
      </c>
      <c r="ADQ24" s="92"/>
      <c r="ADR24" s="79"/>
      <c r="ADS24" s="92"/>
      <c r="ADT24" s="95"/>
      <c r="ADU24" s="71"/>
      <c r="ADX24" s="106"/>
      <c r="ADY24" s="15">
        <v>17</v>
      </c>
      <c r="ADZ24" s="92"/>
      <c r="AEA24" s="79"/>
      <c r="AEB24" s="92"/>
      <c r="AEC24" s="95"/>
      <c r="AED24" s="71"/>
      <c r="AEG24" s="106"/>
      <c r="AEH24" s="15">
        <v>17</v>
      </c>
      <c r="AEI24" s="92"/>
      <c r="AEJ24" s="79"/>
      <c r="AEK24" s="92"/>
      <c r="AEL24" s="95"/>
      <c r="AEM24" s="71"/>
      <c r="AEP24" s="106"/>
      <c r="AEQ24" s="15">
        <v>17</v>
      </c>
      <c r="AER24" s="92"/>
      <c r="AES24" s="79"/>
      <c r="AET24" s="92"/>
      <c r="AEU24" s="95"/>
      <c r="AEV24" s="71"/>
      <c r="AEY24" s="106"/>
      <c r="AEZ24" s="15">
        <v>17</v>
      </c>
      <c r="AFA24" s="92"/>
      <c r="AFB24" s="79"/>
      <c r="AFC24" s="92"/>
      <c r="AFD24" s="95"/>
      <c r="AFE24" s="71"/>
    </row>
    <row r="25" spans="1:840" x14ac:dyDescent="0.25">
      <c r="A25" s="137">
        <v>22</v>
      </c>
      <c r="B25" s="75" t="str">
        <f t="shared" ref="B25:I25" si="73">HM5</f>
        <v>TYSON FREHS MEAT</v>
      </c>
      <c r="C25" s="71" t="str">
        <f t="shared" si="73"/>
        <v xml:space="preserve">I B P </v>
      </c>
      <c r="D25" s="102" t="str">
        <f t="shared" si="73"/>
        <v>PED. 91026280</v>
      </c>
      <c r="E25" s="135">
        <f t="shared" si="73"/>
        <v>44909</v>
      </c>
      <c r="F25" s="86">
        <f t="shared" si="73"/>
        <v>18256.88</v>
      </c>
      <c r="G25" s="73">
        <f t="shared" si="73"/>
        <v>20</v>
      </c>
      <c r="H25" s="48">
        <f t="shared" si="73"/>
        <v>18237.5</v>
      </c>
      <c r="I25" s="105">
        <f t="shared" si="73"/>
        <v>19.380000000001019</v>
      </c>
      <c r="L25" s="94"/>
      <c r="M25" s="15">
        <v>18</v>
      </c>
      <c r="N25" s="69">
        <v>925.3</v>
      </c>
      <c r="O25" s="252">
        <v>44895</v>
      </c>
      <c r="P25" s="69">
        <v>925.3</v>
      </c>
      <c r="Q25" s="70" t="s">
        <v>584</v>
      </c>
      <c r="R25" s="71">
        <v>51</v>
      </c>
      <c r="S25" s="393">
        <f t="shared" si="8"/>
        <v>47190.299999999996</v>
      </c>
      <c r="V25" s="94"/>
      <c r="W25" s="15">
        <v>18</v>
      </c>
      <c r="X25" s="69">
        <v>889.9</v>
      </c>
      <c r="Y25" s="252">
        <v>44895</v>
      </c>
      <c r="Z25" s="69">
        <v>889.9</v>
      </c>
      <c r="AA25" s="695" t="s">
        <v>583</v>
      </c>
      <c r="AB25" s="696">
        <v>51</v>
      </c>
      <c r="AC25" s="393">
        <f t="shared" si="9"/>
        <v>45384.9</v>
      </c>
      <c r="AF25" s="94"/>
      <c r="AG25" s="15">
        <v>18</v>
      </c>
      <c r="AH25" s="92">
        <v>930.77</v>
      </c>
      <c r="AI25" s="244">
        <v>44896</v>
      </c>
      <c r="AJ25" s="92">
        <v>930.77</v>
      </c>
      <c r="AK25" s="95" t="s">
        <v>588</v>
      </c>
      <c r="AL25" s="71">
        <v>51</v>
      </c>
      <c r="AM25" s="393">
        <f t="shared" si="10"/>
        <v>47469.27</v>
      </c>
      <c r="AP25" s="94"/>
      <c r="AQ25" s="15">
        <v>18</v>
      </c>
      <c r="AR25" s="92">
        <v>926.2</v>
      </c>
      <c r="AS25" s="244">
        <v>44897</v>
      </c>
      <c r="AT25" s="92">
        <v>926.2</v>
      </c>
      <c r="AU25" s="95" t="s">
        <v>600</v>
      </c>
      <c r="AV25" s="71">
        <v>51</v>
      </c>
      <c r="AW25" s="393">
        <f t="shared" si="11"/>
        <v>47236.200000000004</v>
      </c>
      <c r="AZ25" s="94"/>
      <c r="BA25" s="15">
        <v>18</v>
      </c>
      <c r="BB25" s="92">
        <v>939.8</v>
      </c>
      <c r="BC25" s="244">
        <v>44897</v>
      </c>
      <c r="BD25" s="92">
        <v>939.8</v>
      </c>
      <c r="BE25" s="95" t="s">
        <v>599</v>
      </c>
      <c r="BF25" s="71">
        <v>51</v>
      </c>
      <c r="BG25" s="393">
        <f t="shared" si="12"/>
        <v>47929.799999999996</v>
      </c>
      <c r="BJ25" s="106"/>
      <c r="BK25" s="15">
        <v>18</v>
      </c>
      <c r="BL25" s="92">
        <v>911.26</v>
      </c>
      <c r="BM25" s="135">
        <v>44898</v>
      </c>
      <c r="BN25" s="92">
        <v>911.26</v>
      </c>
      <c r="BO25" s="95" t="s">
        <v>609</v>
      </c>
      <c r="BP25" s="288">
        <v>51</v>
      </c>
      <c r="BQ25" s="481">
        <f t="shared" si="13"/>
        <v>46474.26</v>
      </c>
      <c r="BR25" s="393"/>
      <c r="BT25" s="106"/>
      <c r="BU25" s="15"/>
      <c r="BV25" s="92"/>
      <c r="BW25" s="289"/>
      <c r="BX25" s="92"/>
      <c r="BY25" s="577"/>
      <c r="BZ25" s="290"/>
      <c r="CA25" s="393">
        <f t="shared" si="5"/>
        <v>0</v>
      </c>
      <c r="CD25" s="213"/>
      <c r="CE25" s="15">
        <v>18</v>
      </c>
      <c r="CF25" s="92">
        <v>902.6</v>
      </c>
      <c r="CG25" s="289">
        <v>44901</v>
      </c>
      <c r="CH25" s="92">
        <v>902.6</v>
      </c>
      <c r="CI25" s="291" t="s">
        <v>620</v>
      </c>
      <c r="CJ25" s="290">
        <v>51</v>
      </c>
      <c r="CK25" s="393">
        <f t="shared" si="14"/>
        <v>46032.6</v>
      </c>
      <c r="CN25" s="411"/>
      <c r="CO25" s="15">
        <v>18</v>
      </c>
      <c r="CP25" s="92">
        <v>902.6</v>
      </c>
      <c r="CQ25" s="289">
        <v>44901</v>
      </c>
      <c r="CR25" s="92">
        <v>902.6</v>
      </c>
      <c r="CS25" s="291" t="s">
        <v>627</v>
      </c>
      <c r="CT25" s="290">
        <v>51</v>
      </c>
      <c r="CU25" s="398">
        <f t="shared" si="58"/>
        <v>46032.6</v>
      </c>
      <c r="CX25" s="94"/>
      <c r="CY25" s="15">
        <v>18</v>
      </c>
      <c r="CZ25" s="92">
        <v>902.19</v>
      </c>
      <c r="DA25" s="244">
        <v>44902</v>
      </c>
      <c r="DB25" s="92">
        <v>902.19</v>
      </c>
      <c r="DC25" s="95" t="s">
        <v>632</v>
      </c>
      <c r="DD25" s="71">
        <v>51</v>
      </c>
      <c r="DE25" s="393">
        <f t="shared" si="15"/>
        <v>46011.69</v>
      </c>
      <c r="DH25" s="94"/>
      <c r="DI25" s="15">
        <v>18</v>
      </c>
      <c r="DJ25" s="694">
        <v>885.4</v>
      </c>
      <c r="DK25" s="720">
        <v>44903</v>
      </c>
      <c r="DL25" s="694">
        <v>885.4</v>
      </c>
      <c r="DM25" s="721" t="s">
        <v>649</v>
      </c>
      <c r="DN25" s="722">
        <v>51</v>
      </c>
      <c r="DO25" s="398">
        <f t="shared" si="16"/>
        <v>45155.4</v>
      </c>
      <c r="DR25" s="94"/>
      <c r="DS25" s="15">
        <v>18</v>
      </c>
      <c r="DT25" s="92">
        <v>936.21</v>
      </c>
      <c r="DU25" s="289">
        <v>44903</v>
      </c>
      <c r="DV25" s="92">
        <v>936.21</v>
      </c>
      <c r="DW25" s="291" t="s">
        <v>645</v>
      </c>
      <c r="DX25" s="290">
        <v>51</v>
      </c>
      <c r="DY25" s="393">
        <f t="shared" si="17"/>
        <v>47746.71</v>
      </c>
      <c r="EB25" s="94"/>
      <c r="EC25" s="15">
        <v>18</v>
      </c>
      <c r="ED25" s="69">
        <v>870.9</v>
      </c>
      <c r="EE25" s="252">
        <v>44904</v>
      </c>
      <c r="EF25" s="69">
        <v>870.9</v>
      </c>
      <c r="EG25" s="70" t="s">
        <v>662</v>
      </c>
      <c r="EH25" s="71">
        <v>51</v>
      </c>
      <c r="EI25" s="393">
        <f t="shared" si="18"/>
        <v>44415.9</v>
      </c>
      <c r="EL25" s="94"/>
      <c r="EM25" s="15">
        <v>18</v>
      </c>
      <c r="EN25" s="69">
        <v>924.4</v>
      </c>
      <c r="EO25" s="252">
        <v>44904</v>
      </c>
      <c r="EP25" s="69">
        <v>924.4</v>
      </c>
      <c r="EQ25" s="70" t="s">
        <v>660</v>
      </c>
      <c r="ER25" s="71">
        <v>51</v>
      </c>
      <c r="ES25" s="393">
        <f t="shared" si="19"/>
        <v>47144.4</v>
      </c>
      <c r="EV25" s="94"/>
      <c r="EW25" s="15">
        <v>18</v>
      </c>
      <c r="EX25" s="92">
        <v>915.3</v>
      </c>
      <c r="EY25" s="244">
        <v>44904</v>
      </c>
      <c r="EZ25" s="92">
        <v>915.3</v>
      </c>
      <c r="FA25" s="70" t="s">
        <v>664</v>
      </c>
      <c r="FB25" s="71">
        <v>51</v>
      </c>
      <c r="FC25" s="393">
        <f t="shared" si="20"/>
        <v>46680.299999999996</v>
      </c>
      <c r="FF25" s="94"/>
      <c r="FG25" s="15">
        <v>18</v>
      </c>
      <c r="FH25" s="92">
        <v>863.6</v>
      </c>
      <c r="FI25" s="244">
        <v>44905</v>
      </c>
      <c r="FJ25" s="92">
        <v>863.6</v>
      </c>
      <c r="FK25" s="70" t="s">
        <v>679</v>
      </c>
      <c r="FL25" s="71">
        <v>51</v>
      </c>
      <c r="FM25" s="243">
        <f t="shared" si="21"/>
        <v>44043.6</v>
      </c>
      <c r="FP25" s="94"/>
      <c r="FQ25" s="15">
        <v>18</v>
      </c>
      <c r="FR25" s="92">
        <v>961.61</v>
      </c>
      <c r="FS25" s="244">
        <v>44905</v>
      </c>
      <c r="FT25" s="92">
        <v>961.61</v>
      </c>
      <c r="FU25" s="70" t="s">
        <v>675</v>
      </c>
      <c r="FV25" s="71">
        <v>51</v>
      </c>
      <c r="FW25" s="393">
        <f t="shared" si="22"/>
        <v>49042.11</v>
      </c>
      <c r="FX25" s="71"/>
      <c r="FZ25" s="94"/>
      <c r="GA25" s="15">
        <v>18</v>
      </c>
      <c r="GB25" s="69">
        <v>902.6</v>
      </c>
      <c r="GC25" s="252">
        <v>44908</v>
      </c>
      <c r="GD25" s="69">
        <v>902.6</v>
      </c>
      <c r="GE25" s="70" t="s">
        <v>688</v>
      </c>
      <c r="GF25" s="71">
        <v>49</v>
      </c>
      <c r="GG25" s="243">
        <f t="shared" si="23"/>
        <v>44227.4</v>
      </c>
      <c r="GJ25" s="94"/>
      <c r="GK25" s="15">
        <v>18</v>
      </c>
      <c r="GL25" s="352">
        <v>916.3</v>
      </c>
      <c r="GM25" s="244">
        <v>44908</v>
      </c>
      <c r="GN25" s="352">
        <v>916.3</v>
      </c>
      <c r="GO25" s="95" t="s">
        <v>697</v>
      </c>
      <c r="GP25" s="71">
        <v>49</v>
      </c>
      <c r="GQ25" s="393">
        <f t="shared" si="24"/>
        <v>44898.7</v>
      </c>
      <c r="GT25" s="94"/>
      <c r="GU25" s="15">
        <v>18</v>
      </c>
      <c r="GV25" s="92">
        <v>889.9</v>
      </c>
      <c r="GW25" s="244">
        <v>44908</v>
      </c>
      <c r="GX25" s="92">
        <v>889.9</v>
      </c>
      <c r="GY25" s="95" t="s">
        <v>695</v>
      </c>
      <c r="GZ25" s="71">
        <v>49</v>
      </c>
      <c r="HA25" s="393">
        <f t="shared" si="25"/>
        <v>43605.1</v>
      </c>
      <c r="HD25" s="94"/>
      <c r="HE25" s="15">
        <v>18</v>
      </c>
      <c r="HF25" s="92">
        <v>917.16</v>
      </c>
      <c r="HG25" s="244">
        <v>44909</v>
      </c>
      <c r="HH25" s="92">
        <v>917.16</v>
      </c>
      <c r="HI25" s="944" t="s">
        <v>706</v>
      </c>
      <c r="HJ25" s="71">
        <v>49</v>
      </c>
      <c r="HK25" s="243">
        <f t="shared" si="26"/>
        <v>44940.84</v>
      </c>
      <c r="HN25" s="213"/>
      <c r="HO25" s="15">
        <v>18</v>
      </c>
      <c r="HP25" s="92">
        <v>919.88</v>
      </c>
      <c r="HQ25" s="244">
        <v>44910</v>
      </c>
      <c r="HR25" s="92">
        <v>919.88</v>
      </c>
      <c r="HS25" s="292" t="s">
        <v>710</v>
      </c>
      <c r="HT25" s="71">
        <v>49</v>
      </c>
      <c r="HU25" s="243">
        <f t="shared" si="27"/>
        <v>45074.12</v>
      </c>
      <c r="HX25" s="106"/>
      <c r="HY25" s="15">
        <v>18</v>
      </c>
      <c r="HZ25" s="69">
        <v>927.14</v>
      </c>
      <c r="IA25" s="252">
        <v>44910</v>
      </c>
      <c r="IB25" s="69">
        <v>927.14</v>
      </c>
      <c r="IC25" s="70" t="s">
        <v>707</v>
      </c>
      <c r="ID25" s="71">
        <v>49</v>
      </c>
      <c r="IE25" s="393">
        <f t="shared" si="6"/>
        <v>45429.86</v>
      </c>
      <c r="IH25" s="106"/>
      <c r="II25" s="15">
        <v>18</v>
      </c>
      <c r="IJ25" s="69">
        <v>914.4</v>
      </c>
      <c r="IK25" s="252">
        <v>44910</v>
      </c>
      <c r="IL25" s="69">
        <v>914.4</v>
      </c>
      <c r="IM25" s="70" t="s">
        <v>720</v>
      </c>
      <c r="IN25" s="71">
        <v>49</v>
      </c>
      <c r="IO25" s="393">
        <f t="shared" si="28"/>
        <v>44805.599999999999</v>
      </c>
      <c r="IR25" s="94"/>
      <c r="IS25" s="15">
        <v>18</v>
      </c>
      <c r="IT25" s="92">
        <v>911.7</v>
      </c>
      <c r="IU25" s="135">
        <v>44911</v>
      </c>
      <c r="IV25" s="92">
        <v>911.7</v>
      </c>
      <c r="IW25" s="363" t="s">
        <v>731</v>
      </c>
      <c r="IX25" s="71">
        <v>47</v>
      </c>
      <c r="IY25" s="243">
        <f t="shared" si="29"/>
        <v>42849.9</v>
      </c>
      <c r="JA25" s="69"/>
      <c r="JB25" s="94"/>
      <c r="JC25" s="15">
        <v>18</v>
      </c>
      <c r="JD25" s="92">
        <v>937.1</v>
      </c>
      <c r="JE25" s="252">
        <v>44911</v>
      </c>
      <c r="JF25" s="92">
        <v>937.1</v>
      </c>
      <c r="JG25" s="70" t="s">
        <v>728</v>
      </c>
      <c r="JH25" s="71">
        <v>47</v>
      </c>
      <c r="JI25" s="393">
        <f t="shared" si="30"/>
        <v>44043.700000000004</v>
      </c>
      <c r="JL25" s="94"/>
      <c r="JM25" s="15">
        <v>18</v>
      </c>
      <c r="JN25" s="92">
        <v>861.8</v>
      </c>
      <c r="JO25" s="244">
        <v>44912</v>
      </c>
      <c r="JP25" s="92">
        <v>861.8</v>
      </c>
      <c r="JQ25" s="70" t="s">
        <v>738</v>
      </c>
      <c r="JR25" s="71">
        <v>48</v>
      </c>
      <c r="JS25" s="393">
        <f t="shared" si="31"/>
        <v>41366.399999999994</v>
      </c>
      <c r="JV25" s="94"/>
      <c r="JW25" s="15">
        <v>18</v>
      </c>
      <c r="JX25" s="69">
        <v>888.1</v>
      </c>
      <c r="JY25" s="252">
        <v>44912</v>
      </c>
      <c r="JZ25" s="69">
        <v>888.1</v>
      </c>
      <c r="KA25" s="70" t="s">
        <v>709</v>
      </c>
      <c r="KB25" s="71">
        <v>48</v>
      </c>
      <c r="KC25" s="393">
        <f t="shared" si="32"/>
        <v>42628.800000000003</v>
      </c>
      <c r="KF25" s="94"/>
      <c r="KG25" s="15">
        <v>18</v>
      </c>
      <c r="KH25" s="69">
        <v>908.1</v>
      </c>
      <c r="KI25" s="252">
        <v>44915</v>
      </c>
      <c r="KJ25" s="69">
        <v>908.1</v>
      </c>
      <c r="KK25" s="70" t="s">
        <v>759</v>
      </c>
      <c r="KL25" s="71">
        <v>49</v>
      </c>
      <c r="KM25" s="393">
        <f t="shared" si="33"/>
        <v>44496.9</v>
      </c>
      <c r="KP25" s="94"/>
      <c r="KQ25" s="15">
        <v>18</v>
      </c>
      <c r="KR25" s="69">
        <v>934.4</v>
      </c>
      <c r="KS25" s="252">
        <v>44915</v>
      </c>
      <c r="KT25" s="69">
        <v>934.4</v>
      </c>
      <c r="KU25" s="695" t="s">
        <v>758</v>
      </c>
      <c r="KV25" s="696">
        <v>49</v>
      </c>
      <c r="KW25" s="393">
        <f t="shared" si="34"/>
        <v>45785.599999999999</v>
      </c>
      <c r="KZ25" s="94"/>
      <c r="LA25" s="15">
        <v>18</v>
      </c>
      <c r="LB25" s="92">
        <v>869.1</v>
      </c>
      <c r="LC25" s="244">
        <v>44916</v>
      </c>
      <c r="LD25" s="92">
        <v>869.1</v>
      </c>
      <c r="LE25" s="95" t="s">
        <v>769</v>
      </c>
      <c r="LF25" s="71">
        <v>51</v>
      </c>
      <c r="LG25" s="393">
        <f t="shared" si="35"/>
        <v>44324.1</v>
      </c>
      <c r="LJ25" s="94"/>
      <c r="LK25" s="15">
        <v>18</v>
      </c>
      <c r="LL25" s="92">
        <v>947.1</v>
      </c>
      <c r="LM25" s="244">
        <v>44916</v>
      </c>
      <c r="LN25" s="92">
        <v>947.1</v>
      </c>
      <c r="LO25" s="95" t="s">
        <v>777</v>
      </c>
      <c r="LP25" s="71">
        <v>51</v>
      </c>
      <c r="LQ25" s="393">
        <f t="shared" si="36"/>
        <v>48302.1</v>
      </c>
      <c r="LT25" s="94"/>
      <c r="LU25" s="15">
        <v>18</v>
      </c>
      <c r="LV25" s="92">
        <v>873.2</v>
      </c>
      <c r="LW25" s="244">
        <v>44917</v>
      </c>
      <c r="LX25" s="92">
        <v>873.2</v>
      </c>
      <c r="LY25" s="95" t="s">
        <v>787</v>
      </c>
      <c r="LZ25" s="71">
        <v>53</v>
      </c>
      <c r="MA25" s="393">
        <f t="shared" si="37"/>
        <v>46279.600000000006</v>
      </c>
      <c r="MB25" s="393"/>
      <c r="MD25" s="94"/>
      <c r="ME25" s="15">
        <v>18</v>
      </c>
      <c r="MF25" s="296">
        <v>877.2</v>
      </c>
      <c r="MG25" s="244">
        <v>44917</v>
      </c>
      <c r="MH25" s="296">
        <v>877.2</v>
      </c>
      <c r="MI25" s="95" t="s">
        <v>766</v>
      </c>
      <c r="MJ25" s="71">
        <v>51</v>
      </c>
      <c r="MK25" s="71">
        <f t="shared" si="38"/>
        <v>44737.200000000004</v>
      </c>
      <c r="MN25" s="94"/>
      <c r="MO25" s="15">
        <v>18</v>
      </c>
      <c r="MP25" s="92">
        <v>906.27</v>
      </c>
      <c r="MQ25" s="244">
        <v>44917</v>
      </c>
      <c r="MR25" s="92">
        <v>906.27</v>
      </c>
      <c r="MS25" s="95" t="s">
        <v>790</v>
      </c>
      <c r="MT25" s="71">
        <v>53</v>
      </c>
      <c r="MU25" s="71">
        <f t="shared" si="39"/>
        <v>48032.31</v>
      </c>
      <c r="MX25" s="94"/>
      <c r="MY25" s="15">
        <v>18</v>
      </c>
      <c r="MZ25" s="92">
        <v>899</v>
      </c>
      <c r="NA25" s="244">
        <v>44918</v>
      </c>
      <c r="NB25" s="92">
        <v>899</v>
      </c>
      <c r="NC25" s="95" t="s">
        <v>807</v>
      </c>
      <c r="ND25" s="71">
        <v>53</v>
      </c>
      <c r="NE25" s="71">
        <f t="shared" si="40"/>
        <v>47647</v>
      </c>
      <c r="NH25" s="94"/>
      <c r="NI25" s="15">
        <v>18</v>
      </c>
      <c r="NJ25" s="92">
        <v>931.7</v>
      </c>
      <c r="NK25" s="244">
        <v>44918</v>
      </c>
      <c r="NL25" s="92">
        <v>931.7</v>
      </c>
      <c r="NM25" s="95" t="s">
        <v>814</v>
      </c>
      <c r="NN25" s="71">
        <v>53</v>
      </c>
      <c r="NO25" s="71">
        <f t="shared" si="41"/>
        <v>49380.100000000006</v>
      </c>
      <c r="NR25" s="94"/>
      <c r="NS25" s="15">
        <v>18</v>
      </c>
      <c r="NT25" s="92">
        <v>931.7</v>
      </c>
      <c r="NU25" s="244">
        <v>44918</v>
      </c>
      <c r="NV25" s="92">
        <v>931.7</v>
      </c>
      <c r="NW25" s="95" t="s">
        <v>818</v>
      </c>
      <c r="NX25" s="71">
        <v>53</v>
      </c>
      <c r="NY25" s="71">
        <f t="shared" si="42"/>
        <v>49380.100000000006</v>
      </c>
      <c r="OB25" s="94"/>
      <c r="OC25" s="15">
        <v>18</v>
      </c>
      <c r="OD25" s="92">
        <v>900.8</v>
      </c>
      <c r="OE25" s="244">
        <v>44919</v>
      </c>
      <c r="OF25" s="92">
        <v>900.8</v>
      </c>
      <c r="OG25" s="95" t="s">
        <v>803</v>
      </c>
      <c r="OH25" s="71">
        <v>53</v>
      </c>
      <c r="OI25" s="71">
        <f t="shared" si="43"/>
        <v>47742.399999999994</v>
      </c>
      <c r="OL25" s="94"/>
      <c r="OM25" s="15">
        <v>18</v>
      </c>
      <c r="ON25" s="92">
        <v>877.2</v>
      </c>
      <c r="OO25" s="244">
        <v>44919</v>
      </c>
      <c r="OP25" s="92">
        <v>877.2</v>
      </c>
      <c r="OQ25" s="95" t="s">
        <v>824</v>
      </c>
      <c r="OR25" s="71">
        <v>53</v>
      </c>
      <c r="OS25" s="71">
        <f t="shared" si="44"/>
        <v>46491.600000000006</v>
      </c>
      <c r="OV25" s="94"/>
      <c r="OW25" s="15">
        <v>18</v>
      </c>
      <c r="OX25" s="92">
        <v>909</v>
      </c>
      <c r="OY25" s="244">
        <v>44921</v>
      </c>
      <c r="OZ25" s="92">
        <v>909</v>
      </c>
      <c r="PA25" s="95" t="s">
        <v>831</v>
      </c>
      <c r="PB25" s="71">
        <v>53</v>
      </c>
      <c r="PC25" s="71">
        <f t="shared" si="45"/>
        <v>48177</v>
      </c>
      <c r="PF25" s="94"/>
      <c r="PG25" s="15">
        <v>18</v>
      </c>
      <c r="PH25" s="92">
        <v>877.2</v>
      </c>
      <c r="PI25" s="244">
        <v>44924</v>
      </c>
      <c r="PJ25" s="92">
        <v>877.2</v>
      </c>
      <c r="PK25" s="95" t="s">
        <v>850</v>
      </c>
      <c r="PL25" s="71">
        <v>53</v>
      </c>
      <c r="PM25" s="71">
        <f t="shared" si="46"/>
        <v>46491.600000000006</v>
      </c>
      <c r="PN25" s="71"/>
      <c r="PQ25" s="106"/>
      <c r="PR25" s="15">
        <v>18</v>
      </c>
      <c r="PS25" s="92">
        <v>875.9</v>
      </c>
      <c r="PT25" s="244">
        <v>44924</v>
      </c>
      <c r="PU25" s="92">
        <v>875.9</v>
      </c>
      <c r="PV25" s="95" t="s">
        <v>848</v>
      </c>
      <c r="PW25" s="71">
        <v>53</v>
      </c>
      <c r="PX25" s="71">
        <f t="shared" si="47"/>
        <v>46422.7</v>
      </c>
      <c r="QA25" s="106"/>
      <c r="QB25" s="15">
        <v>18</v>
      </c>
      <c r="QC25" s="92">
        <v>963.88</v>
      </c>
      <c r="QD25" s="135">
        <v>44924</v>
      </c>
      <c r="QE25" s="92">
        <v>963.88</v>
      </c>
      <c r="QF25" s="95" t="s">
        <v>845</v>
      </c>
      <c r="QG25" s="71">
        <v>53</v>
      </c>
      <c r="QH25" s="71">
        <f t="shared" si="48"/>
        <v>51085.64</v>
      </c>
      <c r="QK25" s="106"/>
      <c r="QL25" s="15">
        <v>18</v>
      </c>
      <c r="QM25" s="92">
        <v>894</v>
      </c>
      <c r="QN25" s="244">
        <v>44928</v>
      </c>
      <c r="QO25" s="92">
        <v>894</v>
      </c>
      <c r="QP25" s="95" t="s">
        <v>870</v>
      </c>
      <c r="QQ25" s="71">
        <v>53</v>
      </c>
      <c r="QR25" s="71">
        <f t="shared" si="49"/>
        <v>47382</v>
      </c>
      <c r="QU25" s="106"/>
      <c r="QV25" s="15">
        <v>18</v>
      </c>
      <c r="QW25" s="92">
        <v>930.8</v>
      </c>
      <c r="QX25" s="244">
        <v>44926</v>
      </c>
      <c r="QY25" s="92">
        <v>930.8</v>
      </c>
      <c r="QZ25" s="95" t="s">
        <v>861</v>
      </c>
      <c r="RA25" s="71">
        <v>53</v>
      </c>
      <c r="RB25" s="71">
        <f t="shared" si="50"/>
        <v>49332.399999999994</v>
      </c>
      <c r="RE25" s="106"/>
      <c r="RF25" s="15">
        <v>18</v>
      </c>
      <c r="RG25" s="92">
        <v>909.9</v>
      </c>
      <c r="RH25" s="244">
        <v>44930</v>
      </c>
      <c r="RI25" s="92">
        <v>909.9</v>
      </c>
      <c r="RJ25" s="95" t="s">
        <v>888</v>
      </c>
      <c r="RK25" s="71">
        <v>47</v>
      </c>
      <c r="RL25" s="71">
        <f t="shared" si="51"/>
        <v>42765.299999999996</v>
      </c>
      <c r="RO25" s="106"/>
      <c r="RP25" s="15">
        <v>18</v>
      </c>
      <c r="RQ25" s="92">
        <v>907.2</v>
      </c>
      <c r="RR25" s="244">
        <v>44930</v>
      </c>
      <c r="RS25" s="92">
        <v>907.2</v>
      </c>
      <c r="RT25" s="95" t="s">
        <v>887</v>
      </c>
      <c r="RU25" s="288">
        <v>47</v>
      </c>
      <c r="RV25" s="71">
        <f t="shared" si="52"/>
        <v>42638.400000000001</v>
      </c>
      <c r="RY25" s="106"/>
      <c r="RZ25" s="15">
        <v>18</v>
      </c>
      <c r="SA25" s="92">
        <v>915.34</v>
      </c>
      <c r="SB25" s="135">
        <v>44931</v>
      </c>
      <c r="SC25" s="92">
        <v>915.34</v>
      </c>
      <c r="SD25" s="95" t="s">
        <v>898</v>
      </c>
      <c r="SE25" s="71">
        <v>47</v>
      </c>
      <c r="SF25" s="71">
        <f t="shared" si="53"/>
        <v>43020.98</v>
      </c>
      <c r="SI25" s="106"/>
      <c r="SJ25" s="15">
        <v>18</v>
      </c>
      <c r="SK25" s="92">
        <v>902.64</v>
      </c>
      <c r="SL25" s="244">
        <v>44932</v>
      </c>
      <c r="SM25" s="92">
        <v>902.64</v>
      </c>
      <c r="SN25" s="95" t="s">
        <v>904</v>
      </c>
      <c r="SO25" s="71">
        <v>47</v>
      </c>
      <c r="SP25" s="71">
        <f t="shared" si="54"/>
        <v>42424.08</v>
      </c>
      <c r="SS25" s="106"/>
      <c r="ST25" s="15">
        <v>18</v>
      </c>
      <c r="SU25" s="92">
        <v>907.2</v>
      </c>
      <c r="SV25" s="244"/>
      <c r="SW25" s="92"/>
      <c r="SX25" s="95"/>
      <c r="SY25" s="71"/>
      <c r="SZ25" s="71">
        <f t="shared" si="55"/>
        <v>0</v>
      </c>
      <c r="TC25" s="106"/>
      <c r="TD25" s="15">
        <v>18</v>
      </c>
      <c r="TE25" s="92">
        <v>893.6</v>
      </c>
      <c r="TF25" s="244">
        <v>44933</v>
      </c>
      <c r="TG25" s="92">
        <v>893.6</v>
      </c>
      <c r="TH25" s="95" t="s">
        <v>914</v>
      </c>
      <c r="TI25" s="71">
        <v>45</v>
      </c>
      <c r="TJ25" s="71">
        <f t="shared" si="56"/>
        <v>40212</v>
      </c>
      <c r="TM25" s="106"/>
      <c r="TN25" s="15">
        <v>18</v>
      </c>
      <c r="TO25" s="92"/>
      <c r="TP25" s="295"/>
      <c r="TQ25" s="168"/>
      <c r="TR25" s="291"/>
      <c r="TS25" s="290"/>
      <c r="TT25" s="290"/>
      <c r="TW25" s="106"/>
      <c r="TX25" s="15"/>
      <c r="TY25" s="92"/>
      <c r="TZ25" s="79"/>
      <c r="UA25" s="92"/>
      <c r="UB25" s="95"/>
      <c r="UC25" s="71"/>
      <c r="UF25" s="106"/>
      <c r="UG25" s="15">
        <v>18</v>
      </c>
      <c r="UH25" s="92"/>
      <c r="UI25" s="79"/>
      <c r="UJ25" s="92"/>
      <c r="UK25" s="95"/>
      <c r="UL25" s="71"/>
      <c r="UO25" s="106"/>
      <c r="UP25" s="15"/>
      <c r="UQ25" s="92"/>
      <c r="UR25" s="79"/>
      <c r="US25" s="92"/>
      <c r="UT25" s="95"/>
      <c r="UU25" s="71"/>
      <c r="UX25" s="106"/>
      <c r="UY25" s="15">
        <v>18</v>
      </c>
      <c r="UZ25" s="92"/>
      <c r="VA25" s="79"/>
      <c r="VB25" s="92"/>
      <c r="VC25" s="95"/>
      <c r="VD25" s="71"/>
      <c r="VG25" s="106"/>
      <c r="VH25" s="15">
        <v>18</v>
      </c>
      <c r="VI25" s="92"/>
      <c r="VJ25" s="79"/>
      <c r="VK25" s="92"/>
      <c r="VL25" s="95"/>
      <c r="VM25" s="71"/>
      <c r="VP25" s="106"/>
      <c r="VQ25" s="15">
        <v>18</v>
      </c>
      <c r="VR25" s="92"/>
      <c r="VS25" s="79"/>
      <c r="VT25" s="92"/>
      <c r="VU25" s="95"/>
      <c r="VV25" s="71"/>
      <c r="VY25" s="106"/>
      <c r="VZ25" s="15">
        <v>18</v>
      </c>
      <c r="WA25" s="92"/>
      <c r="WB25" s="79"/>
      <c r="WC25" s="92"/>
      <c r="WD25" s="95"/>
      <c r="WE25" s="71"/>
      <c r="WH25" s="106"/>
      <c r="WI25" s="15">
        <v>18</v>
      </c>
      <c r="WJ25" s="92"/>
      <c r="WK25" s="79"/>
      <c r="WL25" s="92"/>
      <c r="WM25" s="95"/>
      <c r="WN25" s="71"/>
      <c r="WQ25" s="106"/>
      <c r="WR25" s="15">
        <v>18</v>
      </c>
      <c r="WS25" s="92"/>
      <c r="WT25" s="79"/>
      <c r="WU25" s="92"/>
      <c r="WV25" s="95"/>
      <c r="WW25" s="71"/>
      <c r="WZ25" s="106"/>
      <c r="XA25" s="15">
        <v>18</v>
      </c>
      <c r="XB25" s="92"/>
      <c r="XC25" s="79"/>
      <c r="XD25" s="92"/>
      <c r="XE25" s="95"/>
      <c r="XF25" s="71"/>
      <c r="XI25" s="106"/>
      <c r="XJ25" s="15">
        <v>18</v>
      </c>
      <c r="XK25" s="92"/>
      <c r="XL25" s="79"/>
      <c r="XM25" s="92"/>
      <c r="XN25" s="95"/>
      <c r="XO25" s="71"/>
      <c r="XR25" s="106"/>
      <c r="XS25" s="15">
        <v>18</v>
      </c>
      <c r="XT25" s="92"/>
      <c r="XU25" s="79"/>
      <c r="XV25" s="92"/>
      <c r="XW25" s="95"/>
      <c r="XX25" s="71"/>
      <c r="YA25" s="106"/>
      <c r="YB25" s="15">
        <v>18</v>
      </c>
      <c r="YC25" s="92"/>
      <c r="YD25" s="79"/>
      <c r="YE25" s="92"/>
      <c r="YF25" s="95"/>
      <c r="YG25" s="71"/>
      <c r="YJ25" s="106"/>
      <c r="YK25" s="15">
        <v>18</v>
      </c>
      <c r="YL25" s="92"/>
      <c r="YM25" s="79"/>
      <c r="YN25" s="92"/>
      <c r="YO25" s="95"/>
      <c r="YP25" s="71"/>
      <c r="YS25" s="106"/>
      <c r="YT25" s="15">
        <v>18</v>
      </c>
      <c r="YU25" s="92"/>
      <c r="YV25" s="79"/>
      <c r="YW25" s="92"/>
      <c r="YX25" s="95"/>
      <c r="YY25" s="71"/>
      <c r="ZB25" s="106"/>
      <c r="ZC25" s="15">
        <v>18</v>
      </c>
      <c r="ZD25" s="92"/>
      <c r="ZE25" s="79"/>
      <c r="ZF25" s="92"/>
      <c r="ZG25" s="95"/>
      <c r="ZH25" s="71"/>
      <c r="ZK25" s="106"/>
      <c r="ZL25" s="15">
        <v>18</v>
      </c>
      <c r="ZM25" s="92"/>
      <c r="ZN25" s="79"/>
      <c r="ZO25" s="92"/>
      <c r="ZP25" s="95"/>
      <c r="ZQ25" s="71"/>
      <c r="ZT25" s="106"/>
      <c r="ZU25" s="15">
        <v>18</v>
      </c>
      <c r="ZV25" s="92"/>
      <c r="ZW25" s="79"/>
      <c r="ZX25" s="92"/>
      <c r="ZY25" s="95"/>
      <c r="ZZ25" s="71"/>
      <c r="AAC25" s="106"/>
      <c r="AAD25" s="15">
        <v>18</v>
      </c>
      <c r="AAE25" s="92"/>
      <c r="AAF25" s="79"/>
      <c r="AAG25" s="92"/>
      <c r="AAH25" s="95"/>
      <c r="AAI25" s="71"/>
      <c r="AAL25" s="106"/>
      <c r="AAM25" s="15">
        <v>18</v>
      </c>
      <c r="AAN25" s="92"/>
      <c r="AAO25" s="79"/>
      <c r="AAP25" s="92"/>
      <c r="AAQ25" s="95"/>
      <c r="AAR25" s="71"/>
      <c r="AAU25" s="106"/>
      <c r="AAV25" s="15">
        <v>18</v>
      </c>
      <c r="AAW25" s="92"/>
      <c r="AAX25" s="79"/>
      <c r="AAY25" s="92"/>
      <c r="AAZ25" s="95"/>
      <c r="ABA25" s="71"/>
      <c r="ABD25" s="106"/>
      <c r="ABE25" s="15">
        <v>18</v>
      </c>
      <c r="ABF25" s="92"/>
      <c r="ABG25" s="79"/>
      <c r="ABH25" s="92"/>
      <c r="ABI25" s="95"/>
      <c r="ABJ25" s="71"/>
      <c r="ABM25" s="106"/>
      <c r="ABN25" s="15">
        <v>18</v>
      </c>
      <c r="ABO25" s="92"/>
      <c r="ABP25" s="79"/>
      <c r="ABQ25" s="92"/>
      <c r="ABR25" s="95"/>
      <c r="ABS25" s="71"/>
      <c r="ABV25" s="106"/>
      <c r="ABW25" s="15">
        <v>18</v>
      </c>
      <c r="ABX25" s="92"/>
      <c r="ABY25" s="79"/>
      <c r="ABZ25" s="92"/>
      <c r="ACA25" s="95"/>
      <c r="ACB25" s="71"/>
      <c r="ACE25" s="106"/>
      <c r="ACF25" s="15">
        <v>18</v>
      </c>
      <c r="ACG25" s="92"/>
      <c r="ACH25" s="79"/>
      <c r="ACI25" s="92"/>
      <c r="ACJ25" s="95"/>
      <c r="ACK25" s="71"/>
      <c r="ACN25" s="106"/>
      <c r="ACO25" s="15">
        <v>18</v>
      </c>
      <c r="ACP25" s="92"/>
      <c r="ACQ25" s="79"/>
      <c r="ACR25" s="92"/>
      <c r="ACS25" s="95"/>
      <c r="ACT25" s="71"/>
      <c r="ACW25" s="106"/>
      <c r="ACX25" s="15">
        <v>18</v>
      </c>
      <c r="ACY25" s="92"/>
      <c r="ACZ25" s="79"/>
      <c r="ADA25" s="92"/>
      <c r="ADB25" s="95"/>
      <c r="ADC25" s="71"/>
      <c r="ADF25" s="106"/>
      <c r="ADG25" s="15">
        <v>18</v>
      </c>
      <c r="ADH25" s="92"/>
      <c r="ADI25" s="79"/>
      <c r="ADJ25" s="92"/>
      <c r="ADK25" s="95"/>
      <c r="ADL25" s="71"/>
      <c r="ADO25" s="106"/>
      <c r="ADP25" s="15">
        <v>18</v>
      </c>
      <c r="ADQ25" s="92"/>
      <c r="ADR25" s="79"/>
      <c r="ADS25" s="92"/>
      <c r="ADT25" s="95"/>
      <c r="ADU25" s="71"/>
      <c r="ADX25" s="106"/>
      <c r="ADY25" s="15">
        <v>18</v>
      </c>
      <c r="ADZ25" s="92"/>
      <c r="AEA25" s="79"/>
      <c r="AEB25" s="92"/>
      <c r="AEC25" s="95"/>
      <c r="AED25" s="71"/>
      <c r="AEG25" s="106"/>
      <c r="AEH25" s="15">
        <v>18</v>
      </c>
      <c r="AEI25" s="92"/>
      <c r="AEJ25" s="79"/>
      <c r="AEK25" s="92"/>
      <c r="AEL25" s="95"/>
      <c r="AEM25" s="71"/>
      <c r="AEP25" s="106"/>
      <c r="AEQ25" s="15">
        <v>18</v>
      </c>
      <c r="AER25" s="92"/>
      <c r="AES25" s="79"/>
      <c r="AET25" s="92"/>
      <c r="AEU25" s="95"/>
      <c r="AEV25" s="71"/>
      <c r="AEY25" s="106"/>
      <c r="AEZ25" s="15">
        <v>18</v>
      </c>
      <c r="AFA25" s="92"/>
      <c r="AFB25" s="79"/>
      <c r="AFC25" s="92"/>
      <c r="AFD25" s="95"/>
      <c r="AFE25" s="71"/>
    </row>
    <row r="26" spans="1:840" x14ac:dyDescent="0.25">
      <c r="A26" s="137">
        <v>23</v>
      </c>
      <c r="B26" s="75" t="str">
        <f t="shared" ref="B26:I26" si="74">HW5</f>
        <v>TYSON FRESH MEAT</v>
      </c>
      <c r="C26" s="75" t="str">
        <f t="shared" si="74"/>
        <v xml:space="preserve">I B P </v>
      </c>
      <c r="D26" s="102" t="str">
        <f t="shared" si="74"/>
        <v>PED. 91075573</v>
      </c>
      <c r="E26" s="135">
        <f t="shared" si="74"/>
        <v>44910</v>
      </c>
      <c r="F26" s="86">
        <f t="shared" si="74"/>
        <v>18753.78</v>
      </c>
      <c r="G26" s="73">
        <f t="shared" si="74"/>
        <v>20</v>
      </c>
      <c r="H26" s="48">
        <f t="shared" si="74"/>
        <v>18785</v>
      </c>
      <c r="I26" s="105">
        <f t="shared" si="74"/>
        <v>-31.220000000001164</v>
      </c>
      <c r="L26" s="94"/>
      <c r="M26" s="15">
        <v>19</v>
      </c>
      <c r="N26" s="69">
        <v>870.9</v>
      </c>
      <c r="O26" s="252">
        <v>44895</v>
      </c>
      <c r="P26" s="69">
        <v>870.9</v>
      </c>
      <c r="Q26" s="70" t="s">
        <v>584</v>
      </c>
      <c r="R26" s="71">
        <v>51</v>
      </c>
      <c r="S26" s="393">
        <f t="shared" si="8"/>
        <v>44415.9</v>
      </c>
      <c r="V26" s="94"/>
      <c r="W26" s="15">
        <v>19</v>
      </c>
      <c r="X26" s="69">
        <v>890.9</v>
      </c>
      <c r="Y26" s="252">
        <v>44895</v>
      </c>
      <c r="Z26" s="69">
        <v>890.9</v>
      </c>
      <c r="AA26" s="695" t="s">
        <v>583</v>
      </c>
      <c r="AB26" s="696">
        <v>51</v>
      </c>
      <c r="AC26" s="393">
        <f t="shared" si="9"/>
        <v>45435.9</v>
      </c>
      <c r="AF26" s="106"/>
      <c r="AG26" s="15">
        <v>19</v>
      </c>
      <c r="AH26" s="92">
        <v>942.11</v>
      </c>
      <c r="AI26" s="244">
        <v>44896</v>
      </c>
      <c r="AJ26" s="92">
        <v>942.11</v>
      </c>
      <c r="AK26" s="95" t="s">
        <v>588</v>
      </c>
      <c r="AL26" s="71">
        <v>51</v>
      </c>
      <c r="AM26" s="393">
        <f t="shared" si="10"/>
        <v>48047.61</v>
      </c>
      <c r="AP26" s="106"/>
      <c r="AQ26" s="15">
        <v>19</v>
      </c>
      <c r="AR26" s="92">
        <v>926.2</v>
      </c>
      <c r="AS26" s="244">
        <v>44897</v>
      </c>
      <c r="AT26" s="92">
        <v>926.2</v>
      </c>
      <c r="AU26" s="95" t="s">
        <v>595</v>
      </c>
      <c r="AV26" s="71">
        <v>51</v>
      </c>
      <c r="AW26" s="393">
        <f t="shared" si="11"/>
        <v>47236.200000000004</v>
      </c>
      <c r="AZ26" s="106"/>
      <c r="BA26" s="15">
        <v>19</v>
      </c>
      <c r="BB26" s="92">
        <v>869.1</v>
      </c>
      <c r="BC26" s="244">
        <v>44897</v>
      </c>
      <c r="BD26" s="92">
        <v>869.1</v>
      </c>
      <c r="BE26" s="95" t="s">
        <v>599</v>
      </c>
      <c r="BF26" s="71">
        <v>51</v>
      </c>
      <c r="BG26" s="393">
        <f t="shared" si="12"/>
        <v>44324.1</v>
      </c>
      <c r="BJ26" s="106"/>
      <c r="BK26" s="15">
        <v>19</v>
      </c>
      <c r="BL26" s="92">
        <v>872.25</v>
      </c>
      <c r="BM26" s="135">
        <v>44898</v>
      </c>
      <c r="BN26" s="92">
        <v>872.25</v>
      </c>
      <c r="BO26" s="95" t="s">
        <v>609</v>
      </c>
      <c r="BP26" s="288">
        <v>51</v>
      </c>
      <c r="BQ26" s="481">
        <f t="shared" si="13"/>
        <v>44484.75</v>
      </c>
      <c r="BR26" s="393"/>
      <c r="BT26" s="106"/>
      <c r="BU26" s="15"/>
      <c r="BV26" s="92"/>
      <c r="BW26" s="289"/>
      <c r="BX26" s="92"/>
      <c r="BY26" s="577"/>
      <c r="BZ26" s="290"/>
      <c r="CA26" s="393">
        <f t="shared" si="5"/>
        <v>0</v>
      </c>
      <c r="CD26" s="213"/>
      <c r="CE26" s="15">
        <v>19</v>
      </c>
      <c r="CF26" s="92">
        <v>909</v>
      </c>
      <c r="CG26" s="289">
        <v>44901</v>
      </c>
      <c r="CH26" s="92">
        <v>909</v>
      </c>
      <c r="CI26" s="291" t="s">
        <v>620</v>
      </c>
      <c r="CJ26" s="290">
        <v>51</v>
      </c>
      <c r="CK26" s="393">
        <f t="shared" si="14"/>
        <v>46359</v>
      </c>
      <c r="CN26" s="411"/>
      <c r="CO26" s="15">
        <v>19</v>
      </c>
      <c r="CP26" s="92">
        <v>911.7</v>
      </c>
      <c r="CQ26" s="289">
        <v>44901</v>
      </c>
      <c r="CR26" s="92">
        <v>911.7</v>
      </c>
      <c r="CS26" s="291" t="s">
        <v>627</v>
      </c>
      <c r="CT26" s="290">
        <v>51</v>
      </c>
      <c r="CU26" s="398">
        <f t="shared" si="58"/>
        <v>46496.700000000004</v>
      </c>
      <c r="CX26" s="106"/>
      <c r="CY26" s="15">
        <v>19</v>
      </c>
      <c r="CZ26" s="92">
        <v>935.76</v>
      </c>
      <c r="DA26" s="244">
        <v>44902</v>
      </c>
      <c r="DB26" s="92">
        <v>935.76</v>
      </c>
      <c r="DC26" s="95" t="s">
        <v>632</v>
      </c>
      <c r="DD26" s="71">
        <v>51</v>
      </c>
      <c r="DE26" s="393">
        <f t="shared" si="15"/>
        <v>47723.76</v>
      </c>
      <c r="DH26" s="106"/>
      <c r="DI26" s="15">
        <v>19</v>
      </c>
      <c r="DJ26" s="694">
        <v>918.1</v>
      </c>
      <c r="DK26" s="720">
        <v>44903</v>
      </c>
      <c r="DL26" s="694">
        <v>918.1</v>
      </c>
      <c r="DM26" s="721" t="s">
        <v>649</v>
      </c>
      <c r="DN26" s="722">
        <v>51</v>
      </c>
      <c r="DO26" s="398">
        <f t="shared" si="16"/>
        <v>46823.1</v>
      </c>
      <c r="DR26" s="106"/>
      <c r="DS26" s="15">
        <v>19</v>
      </c>
      <c r="DT26" s="92">
        <v>873.16</v>
      </c>
      <c r="DU26" s="289">
        <v>44903</v>
      </c>
      <c r="DV26" s="92">
        <v>873.16</v>
      </c>
      <c r="DW26" s="291" t="s">
        <v>645</v>
      </c>
      <c r="DX26" s="290">
        <v>51</v>
      </c>
      <c r="DY26" s="393">
        <f t="shared" si="17"/>
        <v>44531.159999999996</v>
      </c>
      <c r="EB26" s="106"/>
      <c r="EC26" s="15">
        <v>19</v>
      </c>
      <c r="ED26" s="69">
        <v>898.1</v>
      </c>
      <c r="EE26" s="252">
        <v>44904</v>
      </c>
      <c r="EF26" s="69">
        <v>898.1</v>
      </c>
      <c r="EG26" s="70" t="s">
        <v>662</v>
      </c>
      <c r="EH26" s="71">
        <v>51</v>
      </c>
      <c r="EI26" s="393">
        <f t="shared" si="18"/>
        <v>45803.1</v>
      </c>
      <c r="EL26" s="106"/>
      <c r="EM26" s="15">
        <v>19</v>
      </c>
      <c r="EN26" s="69">
        <v>927.6</v>
      </c>
      <c r="EO26" s="252">
        <v>44904</v>
      </c>
      <c r="EP26" s="69">
        <v>927.6</v>
      </c>
      <c r="EQ26" s="70" t="s">
        <v>660</v>
      </c>
      <c r="ER26" s="71">
        <v>51</v>
      </c>
      <c r="ES26" s="393">
        <f t="shared" si="19"/>
        <v>47307.6</v>
      </c>
      <c r="EV26" s="94"/>
      <c r="EW26" s="15">
        <v>19</v>
      </c>
      <c r="EX26" s="92">
        <v>920.8</v>
      </c>
      <c r="EY26" s="244">
        <v>44904</v>
      </c>
      <c r="EZ26" s="92">
        <v>920.8</v>
      </c>
      <c r="FA26" s="70" t="s">
        <v>664</v>
      </c>
      <c r="FB26" s="71">
        <v>51</v>
      </c>
      <c r="FC26" s="393">
        <f t="shared" si="20"/>
        <v>46960.799999999996</v>
      </c>
      <c r="FF26" s="94"/>
      <c r="FG26" s="15">
        <v>19</v>
      </c>
      <c r="FH26" s="92">
        <v>894.5</v>
      </c>
      <c r="FI26" s="244">
        <v>44905</v>
      </c>
      <c r="FJ26" s="92">
        <v>894.5</v>
      </c>
      <c r="FK26" s="70" t="s">
        <v>679</v>
      </c>
      <c r="FL26" s="71">
        <v>51</v>
      </c>
      <c r="FM26" s="243">
        <f t="shared" si="21"/>
        <v>45619.5</v>
      </c>
      <c r="FP26" s="106"/>
      <c r="FQ26" s="15">
        <v>19</v>
      </c>
      <c r="FR26" s="92">
        <v>933.49</v>
      </c>
      <c r="FS26" s="244">
        <v>44905</v>
      </c>
      <c r="FT26" s="92">
        <v>933.49</v>
      </c>
      <c r="FU26" s="70" t="s">
        <v>675</v>
      </c>
      <c r="FV26" s="71">
        <v>51</v>
      </c>
      <c r="FW26" s="393">
        <f t="shared" si="22"/>
        <v>47607.99</v>
      </c>
      <c r="FX26" s="71"/>
      <c r="FZ26" s="106"/>
      <c r="GA26" s="15">
        <v>19</v>
      </c>
      <c r="GB26" s="69">
        <v>914.4</v>
      </c>
      <c r="GC26" s="252">
        <v>44908</v>
      </c>
      <c r="GD26" s="69">
        <v>914.4</v>
      </c>
      <c r="GE26" s="70" t="s">
        <v>688</v>
      </c>
      <c r="GF26" s="71">
        <v>49</v>
      </c>
      <c r="GG26" s="243">
        <f t="shared" si="23"/>
        <v>44805.599999999999</v>
      </c>
      <c r="GJ26" s="106"/>
      <c r="GK26" s="15">
        <v>19</v>
      </c>
      <c r="GL26" s="352">
        <v>871.8</v>
      </c>
      <c r="GM26" s="244">
        <v>44908</v>
      </c>
      <c r="GN26" s="352">
        <v>871.8</v>
      </c>
      <c r="GO26" s="95" t="s">
        <v>697</v>
      </c>
      <c r="GP26" s="71">
        <v>49</v>
      </c>
      <c r="GQ26" s="393">
        <f t="shared" si="24"/>
        <v>42718.2</v>
      </c>
      <c r="GT26" s="106"/>
      <c r="GU26" s="15">
        <v>19</v>
      </c>
      <c r="GV26" s="92">
        <v>901.7</v>
      </c>
      <c r="GW26" s="244">
        <v>44908</v>
      </c>
      <c r="GX26" s="92">
        <v>901.7</v>
      </c>
      <c r="GY26" s="95" t="s">
        <v>695</v>
      </c>
      <c r="GZ26" s="71">
        <v>49</v>
      </c>
      <c r="HA26" s="393">
        <f t="shared" si="25"/>
        <v>44183.3</v>
      </c>
      <c r="HD26" s="106"/>
      <c r="HE26" s="15">
        <v>19</v>
      </c>
      <c r="HF26" s="92">
        <v>922.6</v>
      </c>
      <c r="HG26" s="244">
        <v>44909</v>
      </c>
      <c r="HH26" s="92">
        <v>922.6</v>
      </c>
      <c r="HI26" s="944" t="s">
        <v>706</v>
      </c>
      <c r="HJ26" s="71">
        <v>49</v>
      </c>
      <c r="HK26" s="243">
        <f t="shared" si="26"/>
        <v>45207.4</v>
      </c>
      <c r="HN26" s="213"/>
      <c r="HO26" s="15">
        <v>19</v>
      </c>
      <c r="HP26" s="92">
        <v>867.26</v>
      </c>
      <c r="HQ26" s="244">
        <v>44910</v>
      </c>
      <c r="HR26" s="92">
        <v>867.26</v>
      </c>
      <c r="HS26" s="292" t="s">
        <v>710</v>
      </c>
      <c r="HT26" s="71">
        <v>49</v>
      </c>
      <c r="HU26" s="243">
        <f t="shared" si="27"/>
        <v>42495.74</v>
      </c>
      <c r="HX26" s="106"/>
      <c r="HY26" s="15">
        <v>19</v>
      </c>
      <c r="HZ26" s="69">
        <v>942.56</v>
      </c>
      <c r="IA26" s="252">
        <v>44910</v>
      </c>
      <c r="IB26" s="69">
        <v>942.56</v>
      </c>
      <c r="IC26" s="70" t="s">
        <v>707</v>
      </c>
      <c r="ID26" s="71">
        <v>49</v>
      </c>
      <c r="IE26" s="393">
        <f t="shared" si="6"/>
        <v>46185.439999999995</v>
      </c>
      <c r="IH26" s="106"/>
      <c r="II26" s="15">
        <v>19</v>
      </c>
      <c r="IJ26" s="69">
        <v>934.4</v>
      </c>
      <c r="IK26" s="252">
        <v>44910</v>
      </c>
      <c r="IL26" s="69">
        <v>934.4</v>
      </c>
      <c r="IM26" s="70" t="s">
        <v>721</v>
      </c>
      <c r="IN26" s="71">
        <v>49</v>
      </c>
      <c r="IO26" s="393">
        <f t="shared" si="28"/>
        <v>45785.599999999999</v>
      </c>
      <c r="IR26" s="106"/>
      <c r="IS26" s="15">
        <v>19</v>
      </c>
      <c r="IT26" s="92">
        <v>879.1</v>
      </c>
      <c r="IU26" s="135">
        <v>44911</v>
      </c>
      <c r="IV26" s="92">
        <v>879.1</v>
      </c>
      <c r="IW26" s="363" t="s">
        <v>731</v>
      </c>
      <c r="IX26" s="71">
        <v>47</v>
      </c>
      <c r="IY26" s="243">
        <f t="shared" si="29"/>
        <v>41317.700000000004</v>
      </c>
      <c r="JA26" s="69"/>
      <c r="JB26" s="106"/>
      <c r="JC26" s="15">
        <v>19</v>
      </c>
      <c r="JD26" s="92">
        <v>889</v>
      </c>
      <c r="JE26" s="252">
        <v>44911</v>
      </c>
      <c r="JF26" s="92">
        <v>889</v>
      </c>
      <c r="JG26" s="70" t="s">
        <v>728</v>
      </c>
      <c r="JH26" s="71">
        <v>47</v>
      </c>
      <c r="JI26" s="393">
        <f t="shared" si="30"/>
        <v>41783</v>
      </c>
      <c r="JL26" s="106"/>
      <c r="JM26" s="15">
        <v>19</v>
      </c>
      <c r="JN26" s="92">
        <v>929</v>
      </c>
      <c r="JO26" s="244">
        <v>44912</v>
      </c>
      <c r="JP26" s="92">
        <v>929</v>
      </c>
      <c r="JQ26" s="70" t="s">
        <v>738</v>
      </c>
      <c r="JR26" s="71">
        <v>48</v>
      </c>
      <c r="JS26" s="393">
        <f t="shared" si="31"/>
        <v>44592</v>
      </c>
      <c r="JV26" s="94"/>
      <c r="JW26" s="15">
        <v>19</v>
      </c>
      <c r="JX26" s="69">
        <v>937.1</v>
      </c>
      <c r="JY26" s="252">
        <v>44912</v>
      </c>
      <c r="JZ26" s="69">
        <v>937.1</v>
      </c>
      <c r="KA26" s="70" t="s">
        <v>709</v>
      </c>
      <c r="KB26" s="71">
        <v>48</v>
      </c>
      <c r="KC26" s="393">
        <f t="shared" si="32"/>
        <v>44980.800000000003</v>
      </c>
      <c r="KF26" s="94"/>
      <c r="KG26" s="15">
        <v>19</v>
      </c>
      <c r="KH26" s="69">
        <v>911.3</v>
      </c>
      <c r="KI26" s="252">
        <v>44915</v>
      </c>
      <c r="KJ26" s="69">
        <v>911.3</v>
      </c>
      <c r="KK26" s="70" t="s">
        <v>759</v>
      </c>
      <c r="KL26" s="71">
        <v>49</v>
      </c>
      <c r="KM26" s="393">
        <f t="shared" si="33"/>
        <v>44653.7</v>
      </c>
      <c r="KP26" s="94"/>
      <c r="KQ26" s="15">
        <v>19</v>
      </c>
      <c r="KR26" s="69">
        <v>933.94</v>
      </c>
      <c r="KS26" s="252">
        <v>44915</v>
      </c>
      <c r="KT26" s="69">
        <v>933.94</v>
      </c>
      <c r="KU26" s="695" t="s">
        <v>758</v>
      </c>
      <c r="KV26" s="696">
        <v>49</v>
      </c>
      <c r="KW26" s="393">
        <f t="shared" si="34"/>
        <v>45763.060000000005</v>
      </c>
      <c r="KZ26" s="106"/>
      <c r="LA26" s="15">
        <v>19</v>
      </c>
      <c r="LB26" s="92">
        <v>884.5</v>
      </c>
      <c r="LC26" s="244">
        <v>44916</v>
      </c>
      <c r="LD26" s="92">
        <v>884.5</v>
      </c>
      <c r="LE26" s="95" t="s">
        <v>769</v>
      </c>
      <c r="LF26" s="71">
        <v>51</v>
      </c>
      <c r="LG26" s="393">
        <f t="shared" si="35"/>
        <v>45109.5</v>
      </c>
      <c r="LJ26" s="106"/>
      <c r="LK26" s="15">
        <v>19</v>
      </c>
      <c r="LL26" s="92">
        <v>964.79</v>
      </c>
      <c r="LM26" s="244">
        <v>44916</v>
      </c>
      <c r="LN26" s="92">
        <v>964.79</v>
      </c>
      <c r="LO26" s="95" t="s">
        <v>777</v>
      </c>
      <c r="LP26" s="71">
        <v>51</v>
      </c>
      <c r="LQ26" s="393">
        <f t="shared" si="36"/>
        <v>49204.29</v>
      </c>
      <c r="LT26" s="106"/>
      <c r="LU26" s="15">
        <v>19</v>
      </c>
      <c r="LV26" s="92">
        <v>930.8</v>
      </c>
      <c r="LW26" s="244">
        <v>44917</v>
      </c>
      <c r="LX26" s="92">
        <v>930.8</v>
      </c>
      <c r="LY26" s="95" t="s">
        <v>787</v>
      </c>
      <c r="LZ26" s="71">
        <v>53</v>
      </c>
      <c r="MA26" s="393">
        <f t="shared" si="37"/>
        <v>49332.399999999994</v>
      </c>
      <c r="MB26" s="393"/>
      <c r="MD26" s="106"/>
      <c r="ME26" s="15">
        <v>19</v>
      </c>
      <c r="MF26" s="296">
        <v>913.5</v>
      </c>
      <c r="MG26" s="244">
        <v>44917</v>
      </c>
      <c r="MH26" s="296">
        <v>913.5</v>
      </c>
      <c r="MI26" s="95" t="s">
        <v>766</v>
      </c>
      <c r="MJ26" s="71">
        <v>51</v>
      </c>
      <c r="MK26" s="71">
        <f t="shared" si="38"/>
        <v>46588.5</v>
      </c>
      <c r="MN26" s="106"/>
      <c r="MO26" s="15">
        <v>19</v>
      </c>
      <c r="MP26" s="92">
        <v>931.67</v>
      </c>
      <c r="MQ26" s="244">
        <v>44917</v>
      </c>
      <c r="MR26" s="92">
        <v>931.67</v>
      </c>
      <c r="MS26" s="95" t="s">
        <v>790</v>
      </c>
      <c r="MT26" s="71">
        <v>53</v>
      </c>
      <c r="MU26" s="71">
        <f t="shared" si="39"/>
        <v>49378.509999999995</v>
      </c>
      <c r="MX26" s="106"/>
      <c r="MY26" s="15">
        <v>19</v>
      </c>
      <c r="MZ26" s="92">
        <v>898.1</v>
      </c>
      <c r="NA26" s="244">
        <v>44918</v>
      </c>
      <c r="NB26" s="92">
        <v>898.1</v>
      </c>
      <c r="NC26" s="95" t="s">
        <v>807</v>
      </c>
      <c r="ND26" s="71">
        <v>53</v>
      </c>
      <c r="NE26" s="71">
        <f t="shared" si="40"/>
        <v>47599.3</v>
      </c>
      <c r="NH26" s="106"/>
      <c r="NI26" s="15">
        <v>19</v>
      </c>
      <c r="NJ26" s="92">
        <v>936.2</v>
      </c>
      <c r="NK26" s="244">
        <v>44918</v>
      </c>
      <c r="NL26" s="92">
        <v>936.2</v>
      </c>
      <c r="NM26" s="95" t="s">
        <v>814</v>
      </c>
      <c r="NN26" s="71">
        <v>53</v>
      </c>
      <c r="NO26" s="71">
        <f t="shared" si="41"/>
        <v>49618.600000000006</v>
      </c>
      <c r="NR26" s="106"/>
      <c r="NS26" s="15">
        <v>19</v>
      </c>
      <c r="NT26" s="92">
        <v>925.3</v>
      </c>
      <c r="NU26" s="244">
        <v>44918</v>
      </c>
      <c r="NV26" s="92">
        <v>925.3</v>
      </c>
      <c r="NW26" s="95" t="s">
        <v>818</v>
      </c>
      <c r="NX26" s="71">
        <v>53</v>
      </c>
      <c r="NY26" s="71">
        <f t="shared" si="42"/>
        <v>49040.899999999994</v>
      </c>
      <c r="OB26" s="106"/>
      <c r="OC26" s="15">
        <v>19</v>
      </c>
      <c r="OD26" s="92">
        <v>875.4</v>
      </c>
      <c r="OE26" s="244">
        <v>44919</v>
      </c>
      <c r="OF26" s="92">
        <v>875.4</v>
      </c>
      <c r="OG26" s="95" t="s">
        <v>803</v>
      </c>
      <c r="OH26" s="71">
        <v>53</v>
      </c>
      <c r="OI26" s="71">
        <f t="shared" si="43"/>
        <v>46396.2</v>
      </c>
      <c r="OL26" s="106"/>
      <c r="OM26" s="15">
        <v>19</v>
      </c>
      <c r="ON26" s="92">
        <v>918.1</v>
      </c>
      <c r="OO26" s="244">
        <v>44919</v>
      </c>
      <c r="OP26" s="92">
        <v>918.1</v>
      </c>
      <c r="OQ26" s="95" t="s">
        <v>824</v>
      </c>
      <c r="OR26" s="71">
        <v>53</v>
      </c>
      <c r="OS26" s="71">
        <f t="shared" si="44"/>
        <v>48659.3</v>
      </c>
      <c r="OV26" s="106"/>
      <c r="OW26" s="15">
        <v>19</v>
      </c>
      <c r="OX26" s="92">
        <v>912.6</v>
      </c>
      <c r="OY26" s="244">
        <v>44921</v>
      </c>
      <c r="OZ26" s="92">
        <v>912.6</v>
      </c>
      <c r="PA26" s="95" t="s">
        <v>831</v>
      </c>
      <c r="PB26" s="71">
        <v>53</v>
      </c>
      <c r="PC26" s="71">
        <f t="shared" si="45"/>
        <v>48367.8</v>
      </c>
      <c r="PF26" s="94"/>
      <c r="PG26" s="15">
        <v>19</v>
      </c>
      <c r="PH26" s="92">
        <v>908.5</v>
      </c>
      <c r="PI26" s="244">
        <v>44924</v>
      </c>
      <c r="PJ26" s="92">
        <v>908.5</v>
      </c>
      <c r="PK26" s="95" t="s">
        <v>850</v>
      </c>
      <c r="PL26" s="71">
        <v>53</v>
      </c>
      <c r="PM26" s="71">
        <f t="shared" si="46"/>
        <v>48150.5</v>
      </c>
      <c r="PN26" s="71"/>
      <c r="PQ26" s="106"/>
      <c r="PR26" s="15">
        <v>19</v>
      </c>
      <c r="PS26" s="92">
        <v>937.1</v>
      </c>
      <c r="PT26" s="244">
        <v>44924</v>
      </c>
      <c r="PU26" s="92">
        <v>937.1</v>
      </c>
      <c r="PV26" s="95" t="s">
        <v>848</v>
      </c>
      <c r="PW26" s="71">
        <v>53</v>
      </c>
      <c r="PX26" s="71">
        <f t="shared" si="47"/>
        <v>49666.3</v>
      </c>
      <c r="QA26" s="106"/>
      <c r="QB26" s="15">
        <v>19</v>
      </c>
      <c r="QC26" s="92">
        <v>914.89</v>
      </c>
      <c r="QD26" s="135">
        <v>44924</v>
      </c>
      <c r="QE26" s="92">
        <v>914.89</v>
      </c>
      <c r="QF26" s="95" t="s">
        <v>845</v>
      </c>
      <c r="QG26" s="71">
        <v>53</v>
      </c>
      <c r="QH26" s="71">
        <f t="shared" si="48"/>
        <v>48489.17</v>
      </c>
      <c r="QK26" s="106"/>
      <c r="QL26" s="15">
        <v>19</v>
      </c>
      <c r="QM26" s="92">
        <v>909.9</v>
      </c>
      <c r="QN26" s="244">
        <v>44928</v>
      </c>
      <c r="QO26" s="92">
        <v>909.9</v>
      </c>
      <c r="QP26" s="95" t="s">
        <v>870</v>
      </c>
      <c r="QQ26" s="71">
        <v>53</v>
      </c>
      <c r="QR26" s="71">
        <f t="shared" si="49"/>
        <v>48224.7</v>
      </c>
      <c r="QU26" s="106"/>
      <c r="QV26" s="15">
        <v>19</v>
      </c>
      <c r="QW26" s="92">
        <v>901.3</v>
      </c>
      <c r="QX26" s="244">
        <v>44926</v>
      </c>
      <c r="QY26" s="92">
        <v>901.3</v>
      </c>
      <c r="QZ26" s="95" t="s">
        <v>861</v>
      </c>
      <c r="RA26" s="71">
        <v>53</v>
      </c>
      <c r="RB26" s="71">
        <f t="shared" si="50"/>
        <v>47768.899999999994</v>
      </c>
      <c r="RE26" s="106"/>
      <c r="RF26" s="15">
        <v>19</v>
      </c>
      <c r="RG26" s="92">
        <v>871.8</v>
      </c>
      <c r="RH26" s="244">
        <v>44930</v>
      </c>
      <c r="RI26" s="92">
        <v>871.8</v>
      </c>
      <c r="RJ26" s="95" t="s">
        <v>888</v>
      </c>
      <c r="RK26" s="71">
        <v>47</v>
      </c>
      <c r="RL26" s="71">
        <f t="shared" si="51"/>
        <v>40974.6</v>
      </c>
      <c r="RO26" s="106"/>
      <c r="RP26" s="15">
        <v>19</v>
      </c>
      <c r="RQ26" s="92">
        <v>895.4</v>
      </c>
      <c r="RR26" s="244">
        <v>44930</v>
      </c>
      <c r="RS26" s="92">
        <v>895.4</v>
      </c>
      <c r="RT26" s="95" t="s">
        <v>887</v>
      </c>
      <c r="RU26" s="288">
        <v>47</v>
      </c>
      <c r="RV26" s="71">
        <f t="shared" si="52"/>
        <v>42083.799999999996</v>
      </c>
      <c r="RY26" s="106"/>
      <c r="RZ26" s="15">
        <v>19</v>
      </c>
      <c r="SA26" s="92">
        <v>945.28</v>
      </c>
      <c r="SB26" s="135">
        <v>44931</v>
      </c>
      <c r="SC26" s="92">
        <v>945.28</v>
      </c>
      <c r="SD26" s="95" t="s">
        <v>893</v>
      </c>
      <c r="SE26" s="71">
        <v>47</v>
      </c>
      <c r="SF26" s="71">
        <f t="shared" si="53"/>
        <v>44428.159999999996</v>
      </c>
      <c r="SI26" s="106"/>
      <c r="SJ26" s="15">
        <v>19</v>
      </c>
      <c r="SK26" s="92">
        <v>950.72</v>
      </c>
      <c r="SL26" s="244">
        <v>44932</v>
      </c>
      <c r="SM26" s="92">
        <v>950.72</v>
      </c>
      <c r="SN26" s="95" t="s">
        <v>904</v>
      </c>
      <c r="SO26" s="71">
        <v>47</v>
      </c>
      <c r="SP26" s="71">
        <f t="shared" si="54"/>
        <v>44683.840000000004</v>
      </c>
      <c r="SS26" s="106"/>
      <c r="ST26" s="15">
        <v>19</v>
      </c>
      <c r="SU26" s="92">
        <v>863.6</v>
      </c>
      <c r="SV26" s="244">
        <v>44933</v>
      </c>
      <c r="SW26" s="92">
        <v>863.6</v>
      </c>
      <c r="SX26" s="95" t="s">
        <v>916</v>
      </c>
      <c r="SY26" s="71">
        <v>45</v>
      </c>
      <c r="SZ26" s="71">
        <f t="shared" si="55"/>
        <v>38862</v>
      </c>
      <c r="TC26" s="106"/>
      <c r="TD26" s="15">
        <v>19</v>
      </c>
      <c r="TE26" s="92">
        <v>880</v>
      </c>
      <c r="TF26" s="244">
        <v>44933</v>
      </c>
      <c r="TG26" s="92">
        <v>880</v>
      </c>
      <c r="TH26" s="95" t="s">
        <v>914</v>
      </c>
      <c r="TI26" s="71">
        <v>45</v>
      </c>
      <c r="TJ26" s="71">
        <f t="shared" si="56"/>
        <v>39600</v>
      </c>
      <c r="TM26" s="106"/>
      <c r="TN26" s="15">
        <v>19</v>
      </c>
      <c r="TO26" s="92"/>
      <c r="TP26" s="295"/>
      <c r="TQ26" s="168"/>
      <c r="TR26" s="291"/>
      <c r="TS26" s="290"/>
      <c r="TT26" s="290"/>
      <c r="TW26" s="106"/>
      <c r="TX26" s="15"/>
      <c r="TY26" s="92"/>
      <c r="TZ26" s="79"/>
      <c r="UA26" s="92"/>
      <c r="UB26" s="95"/>
      <c r="UC26" s="71"/>
      <c r="UF26" s="106"/>
      <c r="UG26" s="15">
        <v>19</v>
      </c>
      <c r="UH26" s="92"/>
      <c r="UI26" s="79"/>
      <c r="UJ26" s="92"/>
      <c r="UK26" s="95"/>
      <c r="UL26" s="71"/>
      <c r="UO26" s="106"/>
      <c r="UP26" s="15"/>
      <c r="UQ26" s="92"/>
      <c r="UR26" s="79"/>
      <c r="US26" s="92"/>
      <c r="UT26" s="95"/>
      <c r="UU26" s="71"/>
      <c r="UX26" s="106"/>
      <c r="UY26" s="15">
        <v>19</v>
      </c>
      <c r="UZ26" s="92"/>
      <c r="VA26" s="79"/>
      <c r="VB26" s="92"/>
      <c r="VC26" s="95"/>
      <c r="VD26" s="71"/>
      <c r="VG26" s="106"/>
      <c r="VH26" s="15">
        <v>19</v>
      </c>
      <c r="VI26" s="92"/>
      <c r="VJ26" s="79"/>
      <c r="VK26" s="92"/>
      <c r="VL26" s="95"/>
      <c r="VM26" s="71"/>
      <c r="VP26" s="106"/>
      <c r="VQ26" s="15">
        <v>19</v>
      </c>
      <c r="VR26" s="92"/>
      <c r="VS26" s="79"/>
      <c r="VT26" s="92"/>
      <c r="VU26" s="95"/>
      <c r="VV26" s="71"/>
      <c r="VY26" s="106"/>
      <c r="VZ26" s="15">
        <v>19</v>
      </c>
      <c r="WA26" s="92"/>
      <c r="WB26" s="79"/>
      <c r="WC26" s="92"/>
      <c r="WD26" s="95"/>
      <c r="WE26" s="71"/>
      <c r="WH26" s="106"/>
      <c r="WI26" s="15">
        <v>19</v>
      </c>
      <c r="WJ26" s="92"/>
      <c r="WK26" s="79"/>
      <c r="WL26" s="92"/>
      <c r="WM26" s="95"/>
      <c r="WN26" s="71"/>
      <c r="WQ26" s="106"/>
      <c r="WR26" s="15">
        <v>19</v>
      </c>
      <c r="WS26" s="92"/>
      <c r="WT26" s="79"/>
      <c r="WU26" s="92"/>
      <c r="WV26" s="95"/>
      <c r="WW26" s="71"/>
      <c r="WZ26" s="106"/>
      <c r="XA26" s="15">
        <v>19</v>
      </c>
      <c r="XB26" s="92"/>
      <c r="XC26" s="79"/>
      <c r="XD26" s="92"/>
      <c r="XE26" s="95"/>
      <c r="XF26" s="71"/>
      <c r="XI26" s="106"/>
      <c r="XJ26" s="15">
        <v>19</v>
      </c>
      <c r="XK26" s="92"/>
      <c r="XL26" s="79"/>
      <c r="XM26" s="92"/>
      <c r="XN26" s="95"/>
      <c r="XO26" s="71"/>
      <c r="XR26" s="106"/>
      <c r="XS26" s="15">
        <v>19</v>
      </c>
      <c r="XT26" s="92"/>
      <c r="XU26" s="79"/>
      <c r="XV26" s="92"/>
      <c r="XW26" s="95"/>
      <c r="XX26" s="71"/>
      <c r="YA26" s="106"/>
      <c r="YB26" s="15">
        <v>19</v>
      </c>
      <c r="YC26" s="92"/>
      <c r="YD26" s="79"/>
      <c r="YE26" s="92"/>
      <c r="YF26" s="95"/>
      <c r="YG26" s="71"/>
      <c r="YJ26" s="106"/>
      <c r="YK26" s="15">
        <v>19</v>
      </c>
      <c r="YL26" s="92"/>
      <c r="YM26" s="79"/>
      <c r="YN26" s="92"/>
      <c r="YO26" s="95"/>
      <c r="YP26" s="71"/>
      <c r="YS26" s="106"/>
      <c r="YT26" s="15">
        <v>19</v>
      </c>
      <c r="YU26" s="92"/>
      <c r="YV26" s="79"/>
      <c r="YW26" s="92"/>
      <c r="YX26" s="95"/>
      <c r="YY26" s="71"/>
      <c r="ZB26" s="106"/>
      <c r="ZC26" s="15">
        <v>19</v>
      </c>
      <c r="ZD26" s="92"/>
      <c r="ZE26" s="79"/>
      <c r="ZF26" s="92"/>
      <c r="ZG26" s="95"/>
      <c r="ZH26" s="71"/>
      <c r="ZK26" s="106"/>
      <c r="ZL26" s="15">
        <v>19</v>
      </c>
      <c r="ZM26" s="92"/>
      <c r="ZN26" s="79"/>
      <c r="ZO26" s="92"/>
      <c r="ZP26" s="95"/>
      <c r="ZQ26" s="71"/>
      <c r="ZT26" s="106"/>
      <c r="ZU26" s="15">
        <v>19</v>
      </c>
      <c r="ZV26" s="92"/>
      <c r="ZW26" s="79"/>
      <c r="ZX26" s="92"/>
      <c r="ZY26" s="95"/>
      <c r="ZZ26" s="71"/>
      <c r="AAC26" s="106"/>
      <c r="AAD26" s="15">
        <v>19</v>
      </c>
      <c r="AAE26" s="92"/>
      <c r="AAF26" s="79"/>
      <c r="AAG26" s="92"/>
      <c r="AAH26" s="95"/>
      <c r="AAI26" s="71"/>
      <c r="AAL26" s="106"/>
      <c r="AAM26" s="15">
        <v>19</v>
      </c>
      <c r="AAN26" s="92"/>
      <c r="AAO26" s="79"/>
      <c r="AAP26" s="92"/>
      <c r="AAQ26" s="95"/>
      <c r="AAR26" s="71"/>
      <c r="AAU26" s="106"/>
      <c r="AAV26" s="15">
        <v>19</v>
      </c>
      <c r="AAW26" s="92"/>
      <c r="AAX26" s="79"/>
      <c r="AAY26" s="92"/>
      <c r="AAZ26" s="95"/>
      <c r="ABA26" s="71"/>
      <c r="ABD26" s="106"/>
      <c r="ABE26" s="15">
        <v>19</v>
      </c>
      <c r="ABF26" s="92"/>
      <c r="ABG26" s="79"/>
      <c r="ABH26" s="92"/>
      <c r="ABI26" s="95"/>
      <c r="ABJ26" s="71"/>
      <c r="ABM26" s="106"/>
      <c r="ABN26" s="15">
        <v>19</v>
      </c>
      <c r="ABO26" s="92"/>
      <c r="ABP26" s="79"/>
      <c r="ABQ26" s="92"/>
      <c r="ABR26" s="95"/>
      <c r="ABS26" s="71"/>
      <c r="ABV26" s="106"/>
      <c r="ABW26" s="15">
        <v>19</v>
      </c>
      <c r="ABX26" s="92"/>
      <c r="ABY26" s="79"/>
      <c r="ABZ26" s="92"/>
      <c r="ACA26" s="95"/>
      <c r="ACB26" s="71"/>
      <c r="ACE26" s="106"/>
      <c r="ACF26" s="15">
        <v>19</v>
      </c>
      <c r="ACG26" s="92"/>
      <c r="ACH26" s="79"/>
      <c r="ACI26" s="92"/>
      <c r="ACJ26" s="95"/>
      <c r="ACK26" s="71"/>
      <c r="ACN26" s="106"/>
      <c r="ACO26" s="15">
        <v>19</v>
      </c>
      <c r="ACP26" s="92"/>
      <c r="ACQ26" s="79"/>
      <c r="ACR26" s="92"/>
      <c r="ACS26" s="95"/>
      <c r="ACT26" s="71"/>
      <c r="ACW26" s="106"/>
      <c r="ACX26" s="15">
        <v>19</v>
      </c>
      <c r="ACY26" s="92"/>
      <c r="ACZ26" s="79"/>
      <c r="ADA26" s="92"/>
      <c r="ADB26" s="95"/>
      <c r="ADC26" s="71"/>
      <c r="ADF26" s="106"/>
      <c r="ADG26" s="15">
        <v>19</v>
      </c>
      <c r="ADH26" s="92"/>
      <c r="ADI26" s="79"/>
      <c r="ADJ26" s="92"/>
      <c r="ADK26" s="95"/>
      <c r="ADL26" s="71"/>
      <c r="ADO26" s="106"/>
      <c r="ADP26" s="15">
        <v>19</v>
      </c>
      <c r="ADQ26" s="92"/>
      <c r="ADR26" s="79"/>
      <c r="ADS26" s="92"/>
      <c r="ADT26" s="95"/>
      <c r="ADU26" s="71"/>
      <c r="ADX26" s="106"/>
      <c r="ADY26" s="15">
        <v>19</v>
      </c>
      <c r="ADZ26" s="92"/>
      <c r="AEA26" s="79"/>
      <c r="AEB26" s="92"/>
      <c r="AEC26" s="95"/>
      <c r="AED26" s="71"/>
      <c r="AEG26" s="106"/>
      <c r="AEH26" s="15">
        <v>19</v>
      </c>
      <c r="AEI26" s="92"/>
      <c r="AEJ26" s="79"/>
      <c r="AEK26" s="92"/>
      <c r="AEL26" s="95"/>
      <c r="AEM26" s="71"/>
      <c r="AEP26" s="106"/>
      <c r="AEQ26" s="15">
        <v>19</v>
      </c>
      <c r="AER26" s="92"/>
      <c r="AES26" s="79"/>
      <c r="AET26" s="92"/>
      <c r="AEU26" s="95"/>
      <c r="AEV26" s="71"/>
      <c r="AEY26" s="106"/>
      <c r="AEZ26" s="15">
        <v>19</v>
      </c>
      <c r="AFA26" s="92"/>
      <c r="AFB26" s="79"/>
      <c r="AFC26" s="92"/>
      <c r="AFD26" s="95"/>
      <c r="AFE26" s="71"/>
    </row>
    <row r="27" spans="1:840" ht="20.25" customHeight="1" x14ac:dyDescent="0.25">
      <c r="A27" s="137">
        <v>24</v>
      </c>
      <c r="B27" s="75" t="str">
        <f t="shared" ref="B27:I27" si="75">IG5</f>
        <v>SEABOARD FOODS</v>
      </c>
      <c r="C27" s="225" t="str">
        <f t="shared" si="75"/>
        <v>Seaboard</v>
      </c>
      <c r="D27" s="102" t="str">
        <f t="shared" si="75"/>
        <v>PED. 91025870</v>
      </c>
      <c r="E27" s="135">
        <f t="shared" si="75"/>
        <v>44910</v>
      </c>
      <c r="F27" s="86">
        <f t="shared" si="75"/>
        <v>19116.189999999999</v>
      </c>
      <c r="G27" s="73">
        <f t="shared" si="75"/>
        <v>21</v>
      </c>
      <c r="H27" s="48">
        <f t="shared" si="75"/>
        <v>19114.3</v>
      </c>
      <c r="I27" s="105">
        <f t="shared" si="75"/>
        <v>1.8899999999994179</v>
      </c>
      <c r="L27" s="94"/>
      <c r="M27" s="15">
        <v>20</v>
      </c>
      <c r="N27" s="69">
        <v>893.6</v>
      </c>
      <c r="O27" s="252">
        <v>44895</v>
      </c>
      <c r="P27" s="69">
        <v>893.6</v>
      </c>
      <c r="Q27" s="70" t="s">
        <v>584</v>
      </c>
      <c r="R27" s="71">
        <v>51</v>
      </c>
      <c r="S27" s="393">
        <f t="shared" si="8"/>
        <v>45573.599999999999</v>
      </c>
      <c r="V27" s="94"/>
      <c r="W27" s="15">
        <v>20</v>
      </c>
      <c r="X27" s="69">
        <v>892.7</v>
      </c>
      <c r="Y27" s="252">
        <v>44895</v>
      </c>
      <c r="Z27" s="69">
        <v>892.7</v>
      </c>
      <c r="AA27" s="695" t="s">
        <v>583</v>
      </c>
      <c r="AB27" s="696">
        <v>51</v>
      </c>
      <c r="AC27" s="393">
        <f t="shared" si="9"/>
        <v>45527.700000000004</v>
      </c>
      <c r="AF27" s="106"/>
      <c r="AG27" s="15">
        <v>20</v>
      </c>
      <c r="AH27" s="92">
        <v>962.97</v>
      </c>
      <c r="AI27" s="244">
        <v>44896</v>
      </c>
      <c r="AJ27" s="92">
        <v>962.97</v>
      </c>
      <c r="AK27" s="95" t="s">
        <v>588</v>
      </c>
      <c r="AL27" s="71">
        <v>51</v>
      </c>
      <c r="AM27" s="393">
        <f t="shared" si="10"/>
        <v>49111.47</v>
      </c>
      <c r="AP27" s="106"/>
      <c r="AQ27" s="15">
        <v>20</v>
      </c>
      <c r="AR27" s="92">
        <v>880.9</v>
      </c>
      <c r="AS27" s="244">
        <v>44897</v>
      </c>
      <c r="AT27" s="92">
        <v>880.9</v>
      </c>
      <c r="AU27" s="95" t="s">
        <v>600</v>
      </c>
      <c r="AV27" s="71">
        <v>51</v>
      </c>
      <c r="AW27" s="393">
        <f t="shared" si="11"/>
        <v>44925.9</v>
      </c>
      <c r="AZ27" s="106"/>
      <c r="BA27" s="15">
        <v>20</v>
      </c>
      <c r="BB27" s="92">
        <v>910.8</v>
      </c>
      <c r="BC27" s="244">
        <v>44897</v>
      </c>
      <c r="BD27" s="92">
        <v>910.8</v>
      </c>
      <c r="BE27" s="95" t="s">
        <v>599</v>
      </c>
      <c r="BF27" s="71">
        <v>51</v>
      </c>
      <c r="BG27" s="393">
        <f t="shared" si="12"/>
        <v>46450.799999999996</v>
      </c>
      <c r="BJ27" s="106"/>
      <c r="BK27" s="15">
        <v>20</v>
      </c>
      <c r="BL27" s="92">
        <v>913.53</v>
      </c>
      <c r="BM27" s="135">
        <v>44898</v>
      </c>
      <c r="BN27" s="92">
        <v>913.53</v>
      </c>
      <c r="BO27" s="95" t="s">
        <v>609</v>
      </c>
      <c r="BP27" s="288">
        <v>51</v>
      </c>
      <c r="BQ27" s="481">
        <f t="shared" si="13"/>
        <v>46590.03</v>
      </c>
      <c r="BR27" s="393"/>
      <c r="BT27" s="106"/>
      <c r="BU27" s="15"/>
      <c r="BV27" s="92"/>
      <c r="BW27" s="289"/>
      <c r="BX27" s="92"/>
      <c r="BY27" s="577"/>
      <c r="BZ27" s="290"/>
      <c r="CA27" s="393">
        <f t="shared" si="5"/>
        <v>0</v>
      </c>
      <c r="CD27" s="213"/>
      <c r="CE27" s="15">
        <v>20</v>
      </c>
      <c r="CF27" s="92">
        <v>915.3</v>
      </c>
      <c r="CG27" s="289">
        <v>44901</v>
      </c>
      <c r="CH27" s="92">
        <v>915.3</v>
      </c>
      <c r="CI27" s="291" t="s">
        <v>620</v>
      </c>
      <c r="CJ27" s="290">
        <v>51</v>
      </c>
      <c r="CK27" s="393">
        <f t="shared" si="14"/>
        <v>46680.299999999996</v>
      </c>
      <c r="CN27" s="411"/>
      <c r="CO27" s="15">
        <v>20</v>
      </c>
      <c r="CP27" s="92">
        <v>938</v>
      </c>
      <c r="CQ27" s="289">
        <v>44901</v>
      </c>
      <c r="CR27" s="92">
        <v>938</v>
      </c>
      <c r="CS27" s="291" t="s">
        <v>627</v>
      </c>
      <c r="CT27" s="290">
        <v>51</v>
      </c>
      <c r="CU27" s="398">
        <f t="shared" si="58"/>
        <v>47838</v>
      </c>
      <c r="CX27" s="106"/>
      <c r="CY27" s="15">
        <v>20</v>
      </c>
      <c r="CZ27" s="92">
        <v>933.49</v>
      </c>
      <c r="DA27" s="244">
        <v>44902</v>
      </c>
      <c r="DB27" s="92">
        <v>933.49</v>
      </c>
      <c r="DC27" s="95" t="s">
        <v>632</v>
      </c>
      <c r="DD27" s="71">
        <v>51</v>
      </c>
      <c r="DE27" s="393">
        <f t="shared" si="15"/>
        <v>47607.99</v>
      </c>
      <c r="DH27" s="106"/>
      <c r="DI27" s="15">
        <v>20</v>
      </c>
      <c r="DJ27" s="694">
        <v>869.1</v>
      </c>
      <c r="DK27" s="720">
        <v>44903</v>
      </c>
      <c r="DL27" s="694">
        <v>869.1</v>
      </c>
      <c r="DM27" s="721" t="s">
        <v>649</v>
      </c>
      <c r="DN27" s="722">
        <v>51</v>
      </c>
      <c r="DO27" s="398">
        <f t="shared" si="16"/>
        <v>44324.1</v>
      </c>
      <c r="DR27" s="106"/>
      <c r="DS27" s="15">
        <v>20</v>
      </c>
      <c r="DT27" s="92">
        <v>874.07</v>
      </c>
      <c r="DU27" s="289">
        <v>44903</v>
      </c>
      <c r="DV27" s="92">
        <v>874.07</v>
      </c>
      <c r="DW27" s="291" t="s">
        <v>645</v>
      </c>
      <c r="DX27" s="290">
        <v>51</v>
      </c>
      <c r="DY27" s="393">
        <f t="shared" si="17"/>
        <v>44577.57</v>
      </c>
      <c r="EB27" s="106"/>
      <c r="EC27" s="15">
        <v>20</v>
      </c>
      <c r="ED27" s="69">
        <v>893.6</v>
      </c>
      <c r="EE27" s="252">
        <v>44904</v>
      </c>
      <c r="EF27" s="69">
        <v>893.6</v>
      </c>
      <c r="EG27" s="70" t="s">
        <v>662</v>
      </c>
      <c r="EH27" s="71">
        <v>51</v>
      </c>
      <c r="EI27" s="393">
        <f t="shared" si="18"/>
        <v>45573.599999999999</v>
      </c>
      <c r="EL27" s="106"/>
      <c r="EM27" s="15">
        <v>20</v>
      </c>
      <c r="EN27" s="69">
        <v>909.9</v>
      </c>
      <c r="EO27" s="252">
        <v>44904</v>
      </c>
      <c r="EP27" s="69">
        <v>909.9</v>
      </c>
      <c r="EQ27" s="70" t="s">
        <v>660</v>
      </c>
      <c r="ER27" s="71">
        <v>51</v>
      </c>
      <c r="ES27" s="393">
        <f t="shared" si="19"/>
        <v>46404.9</v>
      </c>
      <c r="EV27" s="94"/>
      <c r="EW27" s="15">
        <v>20</v>
      </c>
      <c r="EX27" s="92">
        <v>900.8</v>
      </c>
      <c r="EY27" s="244">
        <v>44904</v>
      </c>
      <c r="EZ27" s="92">
        <v>900.8</v>
      </c>
      <c r="FA27" s="70" t="s">
        <v>664</v>
      </c>
      <c r="FB27" s="71">
        <v>51</v>
      </c>
      <c r="FC27" s="393">
        <f t="shared" si="20"/>
        <v>45940.799999999996</v>
      </c>
      <c r="FF27" s="94"/>
      <c r="FG27" s="15">
        <v>20</v>
      </c>
      <c r="FH27" s="92">
        <v>895.4</v>
      </c>
      <c r="FI27" s="244">
        <v>44905</v>
      </c>
      <c r="FJ27" s="92">
        <v>895.4</v>
      </c>
      <c r="FK27" s="70" t="s">
        <v>679</v>
      </c>
      <c r="FL27" s="71">
        <v>51</v>
      </c>
      <c r="FM27" s="243">
        <f t="shared" si="21"/>
        <v>45665.4</v>
      </c>
      <c r="FP27" s="106"/>
      <c r="FQ27" s="15">
        <v>20</v>
      </c>
      <c r="FR27" s="92">
        <v>966.15</v>
      </c>
      <c r="FS27" s="244">
        <v>44905</v>
      </c>
      <c r="FT27" s="92">
        <v>966.15</v>
      </c>
      <c r="FU27" s="70" t="s">
        <v>675</v>
      </c>
      <c r="FV27" s="71">
        <v>51</v>
      </c>
      <c r="FW27" s="393">
        <f t="shared" si="22"/>
        <v>49273.65</v>
      </c>
      <c r="FX27" s="71"/>
      <c r="FZ27" s="106"/>
      <c r="GA27" s="15">
        <v>20</v>
      </c>
      <c r="GB27" s="69">
        <v>899.9</v>
      </c>
      <c r="GC27" s="252">
        <v>44908</v>
      </c>
      <c r="GD27" s="69">
        <v>899.9</v>
      </c>
      <c r="GE27" s="70" t="s">
        <v>688</v>
      </c>
      <c r="GF27" s="71">
        <v>49</v>
      </c>
      <c r="GG27" s="243">
        <f t="shared" si="23"/>
        <v>44095.1</v>
      </c>
      <c r="GJ27" s="106"/>
      <c r="GK27" s="15">
        <v>20</v>
      </c>
      <c r="GL27" s="352">
        <v>917.6</v>
      </c>
      <c r="GM27" s="244">
        <v>44908</v>
      </c>
      <c r="GN27" s="352">
        <v>917.6</v>
      </c>
      <c r="GO27" s="95" t="s">
        <v>697</v>
      </c>
      <c r="GP27" s="71">
        <v>49</v>
      </c>
      <c r="GQ27" s="393">
        <f t="shared" si="24"/>
        <v>44962.400000000001</v>
      </c>
      <c r="GT27" s="106"/>
      <c r="GU27" s="15">
        <v>20</v>
      </c>
      <c r="GV27" s="92">
        <v>914.4</v>
      </c>
      <c r="GW27" s="244">
        <v>44908</v>
      </c>
      <c r="GX27" s="92">
        <v>914.4</v>
      </c>
      <c r="GY27" s="95" t="s">
        <v>695</v>
      </c>
      <c r="GZ27" s="71">
        <v>49</v>
      </c>
      <c r="HA27" s="393">
        <f t="shared" si="25"/>
        <v>44805.599999999999</v>
      </c>
      <c r="HD27" s="106"/>
      <c r="HE27" s="15">
        <v>20</v>
      </c>
      <c r="HF27" s="92">
        <v>964.33</v>
      </c>
      <c r="HG27" s="244">
        <v>44909</v>
      </c>
      <c r="HH27" s="92">
        <v>964.33</v>
      </c>
      <c r="HI27" s="944" t="s">
        <v>706</v>
      </c>
      <c r="HJ27" s="71">
        <v>49</v>
      </c>
      <c r="HK27" s="243">
        <f t="shared" si="26"/>
        <v>47252.170000000006</v>
      </c>
      <c r="HN27" s="213"/>
      <c r="HO27" s="15">
        <v>20</v>
      </c>
      <c r="HP27" s="92">
        <v>901.74</v>
      </c>
      <c r="HQ27" s="244">
        <v>44910</v>
      </c>
      <c r="HR27" s="92">
        <v>901.74</v>
      </c>
      <c r="HS27" s="292" t="s">
        <v>710</v>
      </c>
      <c r="HT27" s="71">
        <v>49</v>
      </c>
      <c r="HU27" s="243">
        <f t="shared" si="27"/>
        <v>44185.26</v>
      </c>
      <c r="HX27" s="106"/>
      <c r="HY27" s="15">
        <v>20</v>
      </c>
      <c r="HZ27" s="69">
        <v>911.72</v>
      </c>
      <c r="IA27" s="252">
        <v>44910</v>
      </c>
      <c r="IB27" s="69">
        <v>911.72</v>
      </c>
      <c r="IC27" s="70" t="s">
        <v>707</v>
      </c>
      <c r="ID27" s="71">
        <v>49</v>
      </c>
      <c r="IE27" s="393">
        <f t="shared" si="6"/>
        <v>44674.28</v>
      </c>
      <c r="IH27" s="106"/>
      <c r="II27" s="15">
        <v>20</v>
      </c>
      <c r="IJ27" s="69">
        <v>916.3</v>
      </c>
      <c r="IK27" s="252">
        <v>44910</v>
      </c>
      <c r="IL27" s="69">
        <v>916.3</v>
      </c>
      <c r="IM27" s="70" t="s">
        <v>716</v>
      </c>
      <c r="IN27" s="71">
        <v>49</v>
      </c>
      <c r="IO27" s="393">
        <f t="shared" si="28"/>
        <v>44898.7</v>
      </c>
      <c r="IR27" s="106"/>
      <c r="IS27" s="15">
        <v>20</v>
      </c>
      <c r="IT27" s="92">
        <v>889</v>
      </c>
      <c r="IU27" s="135">
        <v>44911</v>
      </c>
      <c r="IV27" s="92">
        <v>889</v>
      </c>
      <c r="IW27" s="363" t="s">
        <v>731</v>
      </c>
      <c r="IX27" s="71">
        <v>47</v>
      </c>
      <c r="IY27" s="243">
        <f t="shared" si="29"/>
        <v>41783</v>
      </c>
      <c r="JA27" s="69"/>
      <c r="JB27" s="106"/>
      <c r="JC27" s="15">
        <v>20</v>
      </c>
      <c r="JD27" s="92">
        <v>862.7</v>
      </c>
      <c r="JE27" s="252">
        <v>44911</v>
      </c>
      <c r="JF27" s="92">
        <v>862.7</v>
      </c>
      <c r="JG27" s="70" t="s">
        <v>728</v>
      </c>
      <c r="JH27" s="71">
        <v>47</v>
      </c>
      <c r="JI27" s="393">
        <f t="shared" si="30"/>
        <v>40546.9</v>
      </c>
      <c r="JL27" s="106"/>
      <c r="JM27" s="15">
        <v>20</v>
      </c>
      <c r="JN27" s="92">
        <v>902.6</v>
      </c>
      <c r="JO27" s="244">
        <v>44912</v>
      </c>
      <c r="JP27" s="92">
        <v>902.6</v>
      </c>
      <c r="JQ27" s="70" t="s">
        <v>738</v>
      </c>
      <c r="JR27" s="71">
        <v>48</v>
      </c>
      <c r="JS27" s="393">
        <f t="shared" si="31"/>
        <v>43324.800000000003</v>
      </c>
      <c r="JV27" s="94"/>
      <c r="JW27" s="15">
        <v>20</v>
      </c>
      <c r="JX27" s="69">
        <v>903.6</v>
      </c>
      <c r="JY27" s="252">
        <v>44912</v>
      </c>
      <c r="JZ27" s="69">
        <v>903.6</v>
      </c>
      <c r="KA27" s="70" t="s">
        <v>709</v>
      </c>
      <c r="KB27" s="71">
        <v>48</v>
      </c>
      <c r="KC27" s="393">
        <f t="shared" si="32"/>
        <v>43372.800000000003</v>
      </c>
      <c r="KF27" s="94"/>
      <c r="KG27" s="15">
        <v>20</v>
      </c>
      <c r="KH27" s="69">
        <v>902.3</v>
      </c>
      <c r="KI27" s="252">
        <v>44915</v>
      </c>
      <c r="KJ27" s="69">
        <v>902.3</v>
      </c>
      <c r="KK27" s="70" t="s">
        <v>759</v>
      </c>
      <c r="KL27" s="71">
        <v>49</v>
      </c>
      <c r="KM27" s="393">
        <f t="shared" si="33"/>
        <v>44212.7</v>
      </c>
      <c r="KP27" s="94"/>
      <c r="KQ27" s="15">
        <v>20</v>
      </c>
      <c r="KR27" s="69">
        <v>967.05</v>
      </c>
      <c r="KS27" s="252">
        <v>44915</v>
      </c>
      <c r="KT27" s="69">
        <v>967.05</v>
      </c>
      <c r="KU27" s="695" t="s">
        <v>758</v>
      </c>
      <c r="KV27" s="696">
        <v>49</v>
      </c>
      <c r="KW27" s="393">
        <f t="shared" si="34"/>
        <v>47385.45</v>
      </c>
      <c r="KZ27" s="106"/>
      <c r="LA27" s="15">
        <v>20</v>
      </c>
      <c r="LB27" s="92">
        <v>897.2</v>
      </c>
      <c r="LC27" s="244">
        <v>44916</v>
      </c>
      <c r="LD27" s="92">
        <v>897.2</v>
      </c>
      <c r="LE27" s="95" t="s">
        <v>769</v>
      </c>
      <c r="LF27" s="71">
        <v>51</v>
      </c>
      <c r="LG27" s="393">
        <f t="shared" si="35"/>
        <v>45757.200000000004</v>
      </c>
      <c r="LJ27" s="106"/>
      <c r="LK27" s="15">
        <v>20</v>
      </c>
      <c r="LL27" s="92">
        <v>926.68</v>
      </c>
      <c r="LM27" s="244">
        <v>44916</v>
      </c>
      <c r="LN27" s="92">
        <v>926.68</v>
      </c>
      <c r="LO27" s="95" t="s">
        <v>777</v>
      </c>
      <c r="LP27" s="71">
        <v>51</v>
      </c>
      <c r="LQ27" s="393">
        <f t="shared" si="36"/>
        <v>47260.68</v>
      </c>
      <c r="LT27" s="106"/>
      <c r="LU27" s="15">
        <v>20</v>
      </c>
      <c r="LV27" s="92">
        <v>873.2</v>
      </c>
      <c r="LW27" s="244">
        <v>44917</v>
      </c>
      <c r="LX27" s="92">
        <v>873.2</v>
      </c>
      <c r="LY27" s="95" t="s">
        <v>787</v>
      </c>
      <c r="LZ27" s="71">
        <v>53</v>
      </c>
      <c r="MA27" s="393">
        <f t="shared" si="37"/>
        <v>46279.600000000006</v>
      </c>
      <c r="MB27" s="393"/>
      <c r="MD27" s="106"/>
      <c r="ME27" s="15">
        <v>20</v>
      </c>
      <c r="MF27" s="296">
        <v>940.7</v>
      </c>
      <c r="MG27" s="244">
        <v>44917</v>
      </c>
      <c r="MH27" s="296">
        <v>940.7</v>
      </c>
      <c r="MI27" s="95" t="s">
        <v>766</v>
      </c>
      <c r="MJ27" s="71">
        <v>51</v>
      </c>
      <c r="MK27" s="71">
        <f t="shared" si="38"/>
        <v>47975.700000000004</v>
      </c>
      <c r="MN27" s="106"/>
      <c r="MO27" s="15">
        <v>20</v>
      </c>
      <c r="MP27" s="92">
        <v>891.76</v>
      </c>
      <c r="MQ27" s="244">
        <v>44917</v>
      </c>
      <c r="MR27" s="92">
        <v>891.76</v>
      </c>
      <c r="MS27" s="95" t="s">
        <v>790</v>
      </c>
      <c r="MT27" s="71">
        <v>53</v>
      </c>
      <c r="MU27" s="71">
        <f t="shared" si="39"/>
        <v>47263.28</v>
      </c>
      <c r="MX27" s="106"/>
      <c r="MY27" s="15">
        <v>20</v>
      </c>
      <c r="MZ27" s="92">
        <v>912.6</v>
      </c>
      <c r="NA27" s="244">
        <v>44918</v>
      </c>
      <c r="NB27" s="92">
        <v>912.6</v>
      </c>
      <c r="NC27" s="95" t="s">
        <v>816</v>
      </c>
      <c r="ND27" s="71">
        <v>53</v>
      </c>
      <c r="NE27" s="71">
        <f t="shared" si="40"/>
        <v>48367.8</v>
      </c>
      <c r="NH27" s="106"/>
      <c r="NI27" s="15">
        <v>20</v>
      </c>
      <c r="NJ27" s="92">
        <v>937.1</v>
      </c>
      <c r="NK27" s="244">
        <v>44918</v>
      </c>
      <c r="NL27" s="92">
        <v>937.1</v>
      </c>
      <c r="NM27" s="95" t="s">
        <v>814</v>
      </c>
      <c r="NN27" s="71">
        <v>53</v>
      </c>
      <c r="NO27" s="71">
        <f t="shared" si="41"/>
        <v>49666.3</v>
      </c>
      <c r="NR27" s="106"/>
      <c r="NS27" s="15">
        <v>20</v>
      </c>
      <c r="NT27" s="92">
        <v>916.3</v>
      </c>
      <c r="NU27" s="244">
        <v>44918</v>
      </c>
      <c r="NV27" s="92">
        <v>916.3</v>
      </c>
      <c r="NW27" s="95" t="s">
        <v>818</v>
      </c>
      <c r="NX27" s="71">
        <v>53</v>
      </c>
      <c r="NY27" s="71">
        <f t="shared" si="42"/>
        <v>48563.899999999994</v>
      </c>
      <c r="OB27" s="106"/>
      <c r="OC27" s="15">
        <v>20</v>
      </c>
      <c r="OD27" s="92">
        <v>898.1</v>
      </c>
      <c r="OE27" s="244">
        <v>44919</v>
      </c>
      <c r="OF27" s="92">
        <v>898.1</v>
      </c>
      <c r="OG27" s="95" t="s">
        <v>803</v>
      </c>
      <c r="OH27" s="71">
        <v>53</v>
      </c>
      <c r="OI27" s="71">
        <f t="shared" si="43"/>
        <v>47599.3</v>
      </c>
      <c r="OL27" s="106"/>
      <c r="OM27" s="15">
        <v>20</v>
      </c>
      <c r="ON27" s="92">
        <v>916.3</v>
      </c>
      <c r="OO27" s="244">
        <v>44919</v>
      </c>
      <c r="OP27" s="92">
        <v>916.3</v>
      </c>
      <c r="OQ27" s="95" t="s">
        <v>824</v>
      </c>
      <c r="OR27" s="71">
        <v>53</v>
      </c>
      <c r="OS27" s="71">
        <f t="shared" si="44"/>
        <v>48563.899999999994</v>
      </c>
      <c r="OV27" s="106"/>
      <c r="OW27" s="15">
        <v>20</v>
      </c>
      <c r="OX27" s="92">
        <v>890.9</v>
      </c>
      <c r="OY27" s="244">
        <v>44921</v>
      </c>
      <c r="OZ27" s="92">
        <v>890.9</v>
      </c>
      <c r="PA27" s="95" t="s">
        <v>831</v>
      </c>
      <c r="PB27" s="71">
        <v>53</v>
      </c>
      <c r="PC27" s="71">
        <f t="shared" si="45"/>
        <v>47217.7</v>
      </c>
      <c r="PF27" s="106"/>
      <c r="PG27" s="15">
        <v>20</v>
      </c>
      <c r="PH27" s="92">
        <v>922.6</v>
      </c>
      <c r="PI27" s="244">
        <v>44924</v>
      </c>
      <c r="PJ27" s="92">
        <v>922.6</v>
      </c>
      <c r="PK27" s="95" t="s">
        <v>850</v>
      </c>
      <c r="PL27" s="71">
        <v>53</v>
      </c>
      <c r="PM27" s="71">
        <f t="shared" si="46"/>
        <v>48897.8</v>
      </c>
      <c r="PN27" s="71"/>
      <c r="PQ27" s="106"/>
      <c r="PR27" s="15">
        <v>20</v>
      </c>
      <c r="PS27" s="92">
        <v>929.4</v>
      </c>
      <c r="PT27" s="244">
        <v>44924</v>
      </c>
      <c r="PU27" s="92">
        <v>929.4</v>
      </c>
      <c r="PV27" s="95" t="s">
        <v>847</v>
      </c>
      <c r="PW27" s="71">
        <v>53</v>
      </c>
      <c r="PX27" s="71">
        <f t="shared" si="47"/>
        <v>49258.2</v>
      </c>
      <c r="QA27" s="106"/>
      <c r="QB27" s="15">
        <v>20</v>
      </c>
      <c r="QC27" s="92">
        <v>948</v>
      </c>
      <c r="QD27" s="135">
        <v>44924</v>
      </c>
      <c r="QE27" s="92">
        <v>948</v>
      </c>
      <c r="QF27" s="95" t="s">
        <v>845</v>
      </c>
      <c r="QG27" s="71">
        <v>53</v>
      </c>
      <c r="QH27" s="71">
        <f t="shared" si="48"/>
        <v>50244</v>
      </c>
      <c r="QK27" s="106"/>
      <c r="QL27" s="15">
        <v>20</v>
      </c>
      <c r="QM27" s="92">
        <v>885.9</v>
      </c>
      <c r="QN27" s="244">
        <v>44928</v>
      </c>
      <c r="QO27" s="92">
        <v>885.9</v>
      </c>
      <c r="QP27" s="95" t="s">
        <v>870</v>
      </c>
      <c r="QQ27" s="71">
        <v>53</v>
      </c>
      <c r="QR27" s="71">
        <f t="shared" si="49"/>
        <v>46952.7</v>
      </c>
      <c r="QU27" s="106"/>
      <c r="QV27" s="15">
        <v>20</v>
      </c>
      <c r="QW27" s="92">
        <v>902.2</v>
      </c>
      <c r="QX27" s="244">
        <v>44926</v>
      </c>
      <c r="QY27" s="92">
        <v>902.2</v>
      </c>
      <c r="QZ27" s="95" t="s">
        <v>861</v>
      </c>
      <c r="RA27" s="71">
        <v>53</v>
      </c>
      <c r="RB27" s="71">
        <f t="shared" si="50"/>
        <v>47816.600000000006</v>
      </c>
      <c r="RE27" s="106"/>
      <c r="RF27" s="15">
        <v>20</v>
      </c>
      <c r="RG27" s="92">
        <v>895.4</v>
      </c>
      <c r="RH27" s="244">
        <v>44930</v>
      </c>
      <c r="RI27" s="92">
        <v>895.4</v>
      </c>
      <c r="RJ27" s="95" t="s">
        <v>888</v>
      </c>
      <c r="RK27" s="71">
        <v>47</v>
      </c>
      <c r="RL27" s="71">
        <f t="shared" si="51"/>
        <v>42083.799999999996</v>
      </c>
      <c r="RO27" s="106"/>
      <c r="RP27" s="15">
        <v>20</v>
      </c>
      <c r="RQ27" s="92">
        <v>907.2</v>
      </c>
      <c r="RR27" s="244">
        <v>44930</v>
      </c>
      <c r="RS27" s="92">
        <v>907.2</v>
      </c>
      <c r="RT27" s="95" t="s">
        <v>887</v>
      </c>
      <c r="RU27" s="288">
        <v>47</v>
      </c>
      <c r="RV27" s="71">
        <f t="shared" si="52"/>
        <v>42638.400000000001</v>
      </c>
      <c r="RY27" s="106"/>
      <c r="RZ27" s="15">
        <v>20</v>
      </c>
      <c r="SA27" s="92">
        <v>904.46</v>
      </c>
      <c r="SB27" s="135">
        <v>44931</v>
      </c>
      <c r="SC27" s="92">
        <v>904.46</v>
      </c>
      <c r="SD27" s="95" t="s">
        <v>894</v>
      </c>
      <c r="SE27" s="71">
        <v>47</v>
      </c>
      <c r="SF27" s="71">
        <f t="shared" si="53"/>
        <v>42509.62</v>
      </c>
      <c r="SI27" s="106"/>
      <c r="SJ27" s="15">
        <v>20</v>
      </c>
      <c r="SK27" s="92">
        <v>916.25</v>
      </c>
      <c r="SL27" s="244">
        <v>44932</v>
      </c>
      <c r="SM27" s="92">
        <v>916.25</v>
      </c>
      <c r="SN27" s="95" t="s">
        <v>904</v>
      </c>
      <c r="SO27" s="71">
        <v>47</v>
      </c>
      <c r="SP27" s="71">
        <f t="shared" si="54"/>
        <v>43063.75</v>
      </c>
      <c r="SS27" s="106"/>
      <c r="ST27" s="15">
        <v>20</v>
      </c>
      <c r="SU27" s="92">
        <v>926.2</v>
      </c>
      <c r="SV27" s="244">
        <v>44933</v>
      </c>
      <c r="SW27" s="92">
        <v>926.2</v>
      </c>
      <c r="SX27" s="95" t="s">
        <v>912</v>
      </c>
      <c r="SY27" s="71">
        <v>45</v>
      </c>
      <c r="SZ27" s="71">
        <f t="shared" si="55"/>
        <v>41679</v>
      </c>
      <c r="TC27" s="106"/>
      <c r="TD27" s="15">
        <v>20</v>
      </c>
      <c r="TE27" s="92">
        <v>869.1</v>
      </c>
      <c r="TF27" s="244">
        <v>44933</v>
      </c>
      <c r="TG27" s="92">
        <v>869.1</v>
      </c>
      <c r="TH27" s="95" t="s">
        <v>914</v>
      </c>
      <c r="TI27" s="71">
        <v>45</v>
      </c>
      <c r="TJ27" s="71">
        <f t="shared" si="56"/>
        <v>39109.5</v>
      </c>
      <c r="TM27" s="106"/>
      <c r="TN27" s="15">
        <v>20</v>
      </c>
      <c r="TO27" s="92"/>
      <c r="TP27" s="295"/>
      <c r="TQ27" s="168"/>
      <c r="TR27" s="291"/>
      <c r="TS27" s="290"/>
      <c r="TT27" s="290"/>
      <c r="TW27" s="106"/>
      <c r="TX27" s="15"/>
      <c r="TY27" s="92"/>
      <c r="TZ27" s="79"/>
      <c r="UA27" s="92"/>
      <c r="UB27" s="95"/>
      <c r="UC27" s="71"/>
      <c r="UF27" s="106"/>
      <c r="UG27" s="15">
        <v>20</v>
      </c>
      <c r="UH27" s="92"/>
      <c r="UI27" s="79"/>
      <c r="UJ27" s="92"/>
      <c r="UK27" s="95"/>
      <c r="UL27" s="71"/>
      <c r="UO27" s="106"/>
      <c r="UP27" s="15"/>
      <c r="UQ27" s="92"/>
      <c r="UR27" s="79"/>
      <c r="US27" s="92"/>
      <c r="UT27" s="95"/>
      <c r="UU27" s="71"/>
      <c r="UX27" s="106"/>
      <c r="UY27" s="15">
        <v>20</v>
      </c>
      <c r="UZ27" s="92"/>
      <c r="VA27" s="79"/>
      <c r="VB27" s="92"/>
      <c r="VC27" s="95"/>
      <c r="VD27" s="71"/>
      <c r="VG27" s="106"/>
      <c r="VH27" s="15">
        <v>20</v>
      </c>
      <c r="VI27" s="92"/>
      <c r="VJ27" s="79"/>
      <c r="VK27" s="92"/>
      <c r="VL27" s="95"/>
      <c r="VM27" s="71"/>
      <c r="VP27" s="106"/>
      <c r="VQ27" s="15">
        <v>20</v>
      </c>
      <c r="VR27" s="92"/>
      <c r="VS27" s="79"/>
      <c r="VT27" s="92"/>
      <c r="VU27" s="95"/>
      <c r="VV27" s="71"/>
      <c r="VY27" s="106"/>
      <c r="VZ27" s="15">
        <v>20</v>
      </c>
      <c r="WA27" s="92"/>
      <c r="WB27" s="79"/>
      <c r="WC27" s="92"/>
      <c r="WD27" s="95"/>
      <c r="WE27" s="71"/>
      <c r="WH27" s="106"/>
      <c r="WI27" s="15">
        <v>20</v>
      </c>
      <c r="WJ27" s="92"/>
      <c r="WK27" s="79"/>
      <c r="WL27" s="92"/>
      <c r="WM27" s="95"/>
      <c r="WN27" s="71"/>
      <c r="WQ27" s="106"/>
      <c r="WR27" s="15">
        <v>20</v>
      </c>
      <c r="WS27" s="92"/>
      <c r="WT27" s="79"/>
      <c r="WU27" s="92"/>
      <c r="WV27" s="95"/>
      <c r="WW27" s="71"/>
      <c r="WZ27" s="106"/>
      <c r="XA27" s="15">
        <v>20</v>
      </c>
      <c r="XB27" s="92"/>
      <c r="XC27" s="79"/>
      <c r="XD27" s="92"/>
      <c r="XE27" s="95"/>
      <c r="XF27" s="71"/>
      <c r="XI27" s="106"/>
      <c r="XJ27" s="15">
        <v>20</v>
      </c>
      <c r="XK27" s="92"/>
      <c r="XL27" s="79"/>
      <c r="XM27" s="92"/>
      <c r="XN27" s="95"/>
      <c r="XO27" s="71"/>
      <c r="XR27" s="106"/>
      <c r="XS27" s="15">
        <v>20</v>
      </c>
      <c r="XT27" s="92"/>
      <c r="XU27" s="79"/>
      <c r="XV27" s="92"/>
      <c r="XW27" s="95"/>
      <c r="XX27" s="71"/>
      <c r="YA27" s="106"/>
      <c r="YB27" s="15">
        <v>20</v>
      </c>
      <c r="YC27" s="92"/>
      <c r="YD27" s="79"/>
      <c r="YE27" s="92"/>
      <c r="YF27" s="95"/>
      <c r="YG27" s="71"/>
      <c r="YJ27" s="106"/>
      <c r="YK27" s="15">
        <v>20</v>
      </c>
      <c r="YL27" s="92"/>
      <c r="YM27" s="79"/>
      <c r="YN27" s="92"/>
      <c r="YO27" s="95"/>
      <c r="YP27" s="71"/>
      <c r="YS27" s="106"/>
      <c r="YT27" s="15">
        <v>20</v>
      </c>
      <c r="YU27" s="92"/>
      <c r="YV27" s="79"/>
      <c r="YW27" s="92"/>
      <c r="YX27" s="95"/>
      <c r="YY27" s="71"/>
      <c r="ZB27" s="106"/>
      <c r="ZC27" s="15">
        <v>20</v>
      </c>
      <c r="ZD27" s="92"/>
      <c r="ZE27" s="79"/>
      <c r="ZF27" s="92"/>
      <c r="ZG27" s="95"/>
      <c r="ZH27" s="71"/>
      <c r="ZK27" s="106"/>
      <c r="ZL27" s="15">
        <v>20</v>
      </c>
      <c r="ZM27" s="92"/>
      <c r="ZN27" s="79"/>
      <c r="ZO27" s="92"/>
      <c r="ZP27" s="95"/>
      <c r="ZQ27" s="71"/>
      <c r="ZT27" s="106"/>
      <c r="ZU27" s="15">
        <v>20</v>
      </c>
      <c r="ZV27" s="92"/>
      <c r="ZW27" s="79"/>
      <c r="ZX27" s="92"/>
      <c r="ZY27" s="95"/>
      <c r="ZZ27" s="71"/>
      <c r="AAC27" s="106"/>
      <c r="AAD27" s="15">
        <v>20</v>
      </c>
      <c r="AAE27" s="92"/>
      <c r="AAF27" s="79"/>
      <c r="AAG27" s="92"/>
      <c r="AAH27" s="95"/>
      <c r="AAI27" s="71"/>
      <c r="AAL27" s="106"/>
      <c r="AAM27" s="15">
        <v>20</v>
      </c>
      <c r="AAN27" s="92"/>
      <c r="AAO27" s="79"/>
      <c r="AAP27" s="92"/>
      <c r="AAQ27" s="95"/>
      <c r="AAR27" s="71"/>
      <c r="AAU27" s="106"/>
      <c r="AAV27" s="15">
        <v>20</v>
      </c>
      <c r="AAW27" s="92"/>
      <c r="AAX27" s="79"/>
      <c r="AAY27" s="92"/>
      <c r="AAZ27" s="95"/>
      <c r="ABA27" s="71"/>
      <c r="ABD27" s="106"/>
      <c r="ABE27" s="15">
        <v>20</v>
      </c>
      <c r="ABF27" s="92"/>
      <c r="ABG27" s="79"/>
      <c r="ABH27" s="92"/>
      <c r="ABI27" s="95"/>
      <c r="ABJ27" s="71"/>
      <c r="ABM27" s="106"/>
      <c r="ABN27" s="15">
        <v>20</v>
      </c>
      <c r="ABO27" s="92"/>
      <c r="ABP27" s="79"/>
      <c r="ABQ27" s="92"/>
      <c r="ABR27" s="95"/>
      <c r="ABS27" s="71"/>
      <c r="ABV27" s="106"/>
      <c r="ABW27" s="15">
        <v>20</v>
      </c>
      <c r="ABX27" s="92"/>
      <c r="ABY27" s="79"/>
      <c r="ABZ27" s="92"/>
      <c r="ACA27" s="95"/>
      <c r="ACB27" s="71"/>
      <c r="ACE27" s="106"/>
      <c r="ACF27" s="15">
        <v>20</v>
      </c>
      <c r="ACG27" s="92"/>
      <c r="ACH27" s="79"/>
      <c r="ACI27" s="92"/>
      <c r="ACJ27" s="95"/>
      <c r="ACK27" s="71"/>
      <c r="ACN27" s="106"/>
      <c r="ACO27" s="15">
        <v>20</v>
      </c>
      <c r="ACP27" s="92"/>
      <c r="ACQ27" s="79"/>
      <c r="ACR27" s="92"/>
      <c r="ACS27" s="95"/>
      <c r="ACT27" s="71"/>
      <c r="ACW27" s="106"/>
      <c r="ACX27" s="15">
        <v>20</v>
      </c>
      <c r="ACY27" s="92"/>
      <c r="ACZ27" s="79"/>
      <c r="ADA27" s="92"/>
      <c r="ADB27" s="95"/>
      <c r="ADC27" s="71"/>
      <c r="ADF27" s="106"/>
      <c r="ADG27" s="15">
        <v>20</v>
      </c>
      <c r="ADH27" s="92"/>
      <c r="ADI27" s="79"/>
      <c r="ADJ27" s="92"/>
      <c r="ADK27" s="95"/>
      <c r="ADL27" s="71"/>
      <c r="ADO27" s="106"/>
      <c r="ADP27" s="15">
        <v>20</v>
      </c>
      <c r="ADQ27" s="92"/>
      <c r="ADR27" s="79"/>
      <c r="ADS27" s="92"/>
      <c r="ADT27" s="95"/>
      <c r="ADU27" s="71"/>
      <c r="ADX27" s="106"/>
      <c r="ADY27" s="15">
        <v>20</v>
      </c>
      <c r="ADZ27" s="92"/>
      <c r="AEA27" s="79"/>
      <c r="AEB27" s="92"/>
      <c r="AEC27" s="95"/>
      <c r="AED27" s="71"/>
      <c r="AEG27" s="106"/>
      <c r="AEH27" s="15">
        <v>20</v>
      </c>
      <c r="AEI27" s="92"/>
      <c r="AEJ27" s="79"/>
      <c r="AEK27" s="92"/>
      <c r="AEL27" s="95"/>
      <c r="AEM27" s="71"/>
      <c r="AEP27" s="106"/>
      <c r="AEQ27" s="15">
        <v>20</v>
      </c>
      <c r="AER27" s="92"/>
      <c r="AES27" s="79"/>
      <c r="AET27" s="92"/>
      <c r="AEU27" s="95"/>
      <c r="AEV27" s="71"/>
      <c r="AEY27" s="106"/>
      <c r="AEZ27" s="15">
        <v>20</v>
      </c>
      <c r="AFA27" s="92"/>
      <c r="AFB27" s="79"/>
      <c r="AFC27" s="92"/>
      <c r="AFD27" s="95"/>
      <c r="AFE27" s="71"/>
    </row>
    <row r="28" spans="1:840" x14ac:dyDescent="0.25">
      <c r="A28" s="137">
        <v>25</v>
      </c>
      <c r="B28" s="75" t="str">
        <f t="shared" ref="B28:I28" si="76">IQ5</f>
        <v>SEABOARD FOODS</v>
      </c>
      <c r="C28" s="75" t="str">
        <f t="shared" si="76"/>
        <v>Seaboard</v>
      </c>
      <c r="D28" s="102" t="str">
        <f t="shared" si="76"/>
        <v>PED. 9102497</v>
      </c>
      <c r="E28" s="135">
        <f t="shared" si="76"/>
        <v>44911</v>
      </c>
      <c r="F28" s="86">
        <f t="shared" si="76"/>
        <v>19165.84</v>
      </c>
      <c r="G28" s="73">
        <f t="shared" si="76"/>
        <v>21</v>
      </c>
      <c r="H28" s="48">
        <f t="shared" si="76"/>
        <v>19125.2</v>
      </c>
      <c r="I28" s="105">
        <f t="shared" si="76"/>
        <v>40.639999999999418</v>
      </c>
      <c r="L28" s="94"/>
      <c r="M28" s="15">
        <v>21</v>
      </c>
      <c r="N28" s="69">
        <v>898.1</v>
      </c>
      <c r="O28" s="252">
        <v>44895</v>
      </c>
      <c r="P28" s="69">
        <v>898.1</v>
      </c>
      <c r="Q28" s="70" t="s">
        <v>584</v>
      </c>
      <c r="R28" s="71">
        <v>51</v>
      </c>
      <c r="S28" s="393">
        <f t="shared" si="8"/>
        <v>45803.1</v>
      </c>
      <c r="V28" s="94"/>
      <c r="W28" s="15">
        <v>21</v>
      </c>
      <c r="X28" s="69">
        <v>927.1</v>
      </c>
      <c r="Y28" s="252">
        <v>44895</v>
      </c>
      <c r="Z28" s="69">
        <v>927.1</v>
      </c>
      <c r="AA28" s="695" t="s">
        <v>583</v>
      </c>
      <c r="AB28" s="696">
        <v>51</v>
      </c>
      <c r="AC28" s="393">
        <f t="shared" si="9"/>
        <v>47282.1</v>
      </c>
      <c r="AF28" s="106"/>
      <c r="AG28" s="15">
        <v>21</v>
      </c>
      <c r="AH28" s="92"/>
      <c r="AI28" s="244"/>
      <c r="AJ28" s="92"/>
      <c r="AK28" s="95"/>
      <c r="AL28" s="71"/>
      <c r="AM28" s="393">
        <f t="shared" si="10"/>
        <v>0</v>
      </c>
      <c r="AP28" s="106"/>
      <c r="AQ28" s="15">
        <v>21</v>
      </c>
      <c r="AR28" s="92">
        <v>920.8</v>
      </c>
      <c r="AS28" s="244">
        <v>44897</v>
      </c>
      <c r="AT28" s="92">
        <v>920.8</v>
      </c>
      <c r="AU28" s="95" t="s">
        <v>595</v>
      </c>
      <c r="AV28" s="71">
        <v>51</v>
      </c>
      <c r="AW28" s="393">
        <f t="shared" si="11"/>
        <v>46960.799999999996</v>
      </c>
      <c r="AZ28" s="106"/>
      <c r="BA28" s="15">
        <v>21</v>
      </c>
      <c r="BB28" s="92"/>
      <c r="BC28" s="244"/>
      <c r="BD28" s="92"/>
      <c r="BE28" s="95"/>
      <c r="BF28" s="71"/>
      <c r="BG28" s="393">
        <f t="shared" si="12"/>
        <v>0</v>
      </c>
      <c r="BJ28" s="106"/>
      <c r="BK28" s="15">
        <v>21</v>
      </c>
      <c r="BL28" s="92"/>
      <c r="BM28" s="135"/>
      <c r="BN28" s="92"/>
      <c r="BO28" s="95"/>
      <c r="BP28" s="288"/>
      <c r="BQ28" s="403">
        <f t="shared" si="13"/>
        <v>0</v>
      </c>
      <c r="BR28" s="393"/>
      <c r="BT28" s="106"/>
      <c r="BU28" s="15"/>
      <c r="BV28" s="92"/>
      <c r="BW28" s="289"/>
      <c r="BX28" s="92"/>
      <c r="BY28" s="577"/>
      <c r="BZ28" s="290"/>
      <c r="CA28" s="393">
        <f t="shared" si="5"/>
        <v>0</v>
      </c>
      <c r="CD28" s="491"/>
      <c r="CE28" s="15">
        <v>21</v>
      </c>
      <c r="CF28" s="92"/>
      <c r="CG28" s="289"/>
      <c r="CH28" s="92"/>
      <c r="CI28" s="291"/>
      <c r="CJ28" s="290"/>
      <c r="CK28" s="393">
        <f t="shared" si="14"/>
        <v>0</v>
      </c>
      <c r="CN28" s="411"/>
      <c r="CO28" s="15">
        <v>21</v>
      </c>
      <c r="CP28" s="92">
        <v>925.3</v>
      </c>
      <c r="CQ28" s="289">
        <v>44901</v>
      </c>
      <c r="CR28" s="92">
        <v>925.3</v>
      </c>
      <c r="CS28" s="291" t="s">
        <v>627</v>
      </c>
      <c r="CT28" s="290">
        <v>51</v>
      </c>
      <c r="CU28" s="398">
        <f t="shared" si="58"/>
        <v>47190.299999999996</v>
      </c>
      <c r="CX28" s="106"/>
      <c r="CY28" s="15">
        <v>21</v>
      </c>
      <c r="CZ28" s="92"/>
      <c r="DA28" s="244"/>
      <c r="DB28" s="92"/>
      <c r="DC28" s="95"/>
      <c r="DD28" s="71"/>
      <c r="DE28" s="393">
        <f t="shared" si="15"/>
        <v>0</v>
      </c>
      <c r="DH28" s="106"/>
      <c r="DI28" s="15">
        <v>21</v>
      </c>
      <c r="DJ28" s="694">
        <v>871.8</v>
      </c>
      <c r="DK28" s="720">
        <v>44903</v>
      </c>
      <c r="DL28" s="694">
        <v>871.8</v>
      </c>
      <c r="DM28" s="721" t="s">
        <v>649</v>
      </c>
      <c r="DN28" s="722">
        <v>51</v>
      </c>
      <c r="DO28" s="398">
        <f t="shared" si="16"/>
        <v>44461.799999999996</v>
      </c>
      <c r="DR28" s="106"/>
      <c r="DS28" s="15">
        <v>21</v>
      </c>
      <c r="DT28" s="92"/>
      <c r="DU28" s="289"/>
      <c r="DV28" s="92"/>
      <c r="DW28" s="291"/>
      <c r="DX28" s="290"/>
      <c r="DY28" s="393">
        <f t="shared" si="17"/>
        <v>0</v>
      </c>
      <c r="EB28" s="106"/>
      <c r="EC28" s="15">
        <v>21</v>
      </c>
      <c r="ED28" s="69">
        <v>940.7</v>
      </c>
      <c r="EE28" s="252">
        <v>44904</v>
      </c>
      <c r="EF28" s="69">
        <v>940.7</v>
      </c>
      <c r="EG28" s="70" t="s">
        <v>662</v>
      </c>
      <c r="EH28" s="71">
        <v>51</v>
      </c>
      <c r="EI28" s="393">
        <f t="shared" si="18"/>
        <v>47975.700000000004</v>
      </c>
      <c r="EL28" s="106"/>
      <c r="EM28" s="15">
        <v>21</v>
      </c>
      <c r="EN28" s="69">
        <v>911.7</v>
      </c>
      <c r="EO28" s="252">
        <v>44904</v>
      </c>
      <c r="EP28" s="69">
        <v>911.7</v>
      </c>
      <c r="EQ28" s="70" t="s">
        <v>660</v>
      </c>
      <c r="ER28" s="71">
        <v>51</v>
      </c>
      <c r="ES28" s="393">
        <f t="shared" si="19"/>
        <v>46496.700000000004</v>
      </c>
      <c r="EV28" s="94"/>
      <c r="EW28" s="15">
        <v>21</v>
      </c>
      <c r="EX28" s="92">
        <v>888.1</v>
      </c>
      <c r="EY28" s="244">
        <v>44904</v>
      </c>
      <c r="EZ28" s="92">
        <v>888.1</v>
      </c>
      <c r="FA28" s="70" t="s">
        <v>664</v>
      </c>
      <c r="FB28" s="71">
        <v>51</v>
      </c>
      <c r="FC28" s="393">
        <f t="shared" si="20"/>
        <v>45293.1</v>
      </c>
      <c r="FF28" s="94"/>
      <c r="FG28" s="15">
        <v>21</v>
      </c>
      <c r="FH28" s="92">
        <v>903.6</v>
      </c>
      <c r="FI28" s="244">
        <v>44905</v>
      </c>
      <c r="FJ28" s="92">
        <v>903.6</v>
      </c>
      <c r="FK28" s="70" t="s">
        <v>679</v>
      </c>
      <c r="FL28" s="71">
        <v>51</v>
      </c>
      <c r="FM28" s="243">
        <f t="shared" si="21"/>
        <v>46083.6</v>
      </c>
      <c r="FP28" s="106"/>
      <c r="FQ28" s="15">
        <v>21</v>
      </c>
      <c r="FR28" s="92"/>
      <c r="FS28" s="244"/>
      <c r="FT28" s="92"/>
      <c r="FU28" s="70"/>
      <c r="FV28" s="71"/>
      <c r="FW28" s="393">
        <f t="shared" si="22"/>
        <v>0</v>
      </c>
      <c r="FX28" s="71"/>
      <c r="FZ28" s="106"/>
      <c r="GA28" s="15">
        <v>21</v>
      </c>
      <c r="GB28" s="69">
        <v>899</v>
      </c>
      <c r="GC28" s="252">
        <v>44908</v>
      </c>
      <c r="GD28" s="69">
        <v>899</v>
      </c>
      <c r="GE28" s="70" t="s">
        <v>688</v>
      </c>
      <c r="GF28" s="71">
        <v>49</v>
      </c>
      <c r="GG28" s="243">
        <f t="shared" si="23"/>
        <v>44051</v>
      </c>
      <c r="GJ28" s="106"/>
      <c r="GK28" s="15">
        <v>21</v>
      </c>
      <c r="GL28" s="352">
        <v>879.1</v>
      </c>
      <c r="GM28" s="244">
        <v>44908</v>
      </c>
      <c r="GN28" s="352">
        <v>879.1</v>
      </c>
      <c r="GO28" s="95" t="s">
        <v>697</v>
      </c>
      <c r="GP28" s="71">
        <v>49</v>
      </c>
      <c r="GQ28" s="393">
        <f t="shared" si="24"/>
        <v>43075.9</v>
      </c>
      <c r="GT28" s="106"/>
      <c r="GU28" s="15">
        <v>21</v>
      </c>
      <c r="GV28" s="92">
        <v>927.1</v>
      </c>
      <c r="GW28" s="244">
        <v>44908</v>
      </c>
      <c r="GX28" s="92">
        <v>927.1</v>
      </c>
      <c r="GY28" s="95" t="s">
        <v>695</v>
      </c>
      <c r="GZ28" s="71">
        <v>49</v>
      </c>
      <c r="HA28" s="393">
        <f t="shared" si="25"/>
        <v>45427.9</v>
      </c>
      <c r="HD28" s="106"/>
      <c r="HE28" s="15">
        <v>21</v>
      </c>
      <c r="HF28" s="92"/>
      <c r="HG28" s="244"/>
      <c r="HH28" s="694"/>
      <c r="HI28" s="944"/>
      <c r="HJ28" s="71"/>
      <c r="HK28" s="243">
        <f t="shared" si="26"/>
        <v>0</v>
      </c>
      <c r="HN28" s="106"/>
      <c r="HO28" s="15">
        <v>21</v>
      </c>
      <c r="HP28" s="92"/>
      <c r="HQ28" s="244"/>
      <c r="HR28" s="92"/>
      <c r="HS28" s="292"/>
      <c r="HT28" s="71"/>
      <c r="HU28" s="393">
        <f t="shared" si="27"/>
        <v>0</v>
      </c>
      <c r="HX28" s="106"/>
      <c r="HY28" s="15">
        <v>21</v>
      </c>
      <c r="HZ28" s="69"/>
      <c r="IA28" s="252"/>
      <c r="IB28" s="69"/>
      <c r="IC28" s="70"/>
      <c r="ID28" s="71"/>
      <c r="IE28" s="393">
        <f t="shared" si="6"/>
        <v>0</v>
      </c>
      <c r="IH28" s="106"/>
      <c r="II28" s="15">
        <v>21</v>
      </c>
      <c r="IJ28" s="69">
        <v>902.6</v>
      </c>
      <c r="IK28" s="252">
        <v>44910</v>
      </c>
      <c r="IL28" s="69">
        <v>902.6</v>
      </c>
      <c r="IM28" s="70" t="s">
        <v>721</v>
      </c>
      <c r="IN28" s="71">
        <v>49</v>
      </c>
      <c r="IO28" s="393">
        <f t="shared" si="28"/>
        <v>44227.4</v>
      </c>
      <c r="IR28" s="106"/>
      <c r="IS28" s="15">
        <v>21</v>
      </c>
      <c r="IT28" s="92">
        <v>886.3</v>
      </c>
      <c r="IU28" s="135">
        <v>44911</v>
      </c>
      <c r="IV28" s="92">
        <v>886.3</v>
      </c>
      <c r="IW28" s="363" t="s">
        <v>731</v>
      </c>
      <c r="IX28" s="71">
        <v>47</v>
      </c>
      <c r="IY28" s="243">
        <f t="shared" si="29"/>
        <v>41656.1</v>
      </c>
      <c r="JA28" s="69"/>
      <c r="JB28" s="106"/>
      <c r="JC28" s="15">
        <v>21</v>
      </c>
      <c r="JD28" s="69">
        <v>926.2</v>
      </c>
      <c r="JE28" s="252">
        <v>44911</v>
      </c>
      <c r="JF28" s="69">
        <v>926.2</v>
      </c>
      <c r="JG28" s="70" t="s">
        <v>728</v>
      </c>
      <c r="JH28" s="71">
        <v>47</v>
      </c>
      <c r="JI28" s="393">
        <f t="shared" si="30"/>
        <v>43531.4</v>
      </c>
      <c r="JL28" s="106"/>
      <c r="JM28" s="15">
        <v>21</v>
      </c>
      <c r="JN28" s="92">
        <v>909</v>
      </c>
      <c r="JO28" s="244">
        <v>44912</v>
      </c>
      <c r="JP28" s="92">
        <v>909</v>
      </c>
      <c r="JQ28" s="70" t="s">
        <v>738</v>
      </c>
      <c r="JR28" s="71">
        <v>48</v>
      </c>
      <c r="JS28" s="393">
        <f>JR28*JP28</f>
        <v>43632</v>
      </c>
      <c r="JV28" s="94"/>
      <c r="JW28" s="15">
        <v>21</v>
      </c>
      <c r="JX28" s="69">
        <v>916.3</v>
      </c>
      <c r="JY28" s="252">
        <v>44912</v>
      </c>
      <c r="JZ28" s="69">
        <v>916.3</v>
      </c>
      <c r="KA28" s="70" t="s">
        <v>709</v>
      </c>
      <c r="KB28" s="71">
        <v>48</v>
      </c>
      <c r="KC28" s="393">
        <f t="shared" si="32"/>
        <v>43982.399999999994</v>
      </c>
      <c r="KF28" s="94"/>
      <c r="KG28" s="15">
        <v>21</v>
      </c>
      <c r="KH28" s="69">
        <v>906.3</v>
      </c>
      <c r="KI28" s="252">
        <v>44915</v>
      </c>
      <c r="KJ28" s="69">
        <v>906.3</v>
      </c>
      <c r="KK28" s="70" t="s">
        <v>759</v>
      </c>
      <c r="KL28" s="71">
        <v>49</v>
      </c>
      <c r="KM28" s="393">
        <f t="shared" si="33"/>
        <v>44408.7</v>
      </c>
      <c r="KP28" s="94"/>
      <c r="KQ28" s="15">
        <v>21</v>
      </c>
      <c r="KR28" s="69"/>
      <c r="KS28" s="252"/>
      <c r="KT28" s="697"/>
      <c r="KU28" s="695"/>
      <c r="KV28" s="696"/>
      <c r="KW28" s="393">
        <f t="shared" si="34"/>
        <v>0</v>
      </c>
      <c r="KZ28" s="106"/>
      <c r="LA28" s="15">
        <v>21</v>
      </c>
      <c r="LB28" s="92">
        <v>868.2</v>
      </c>
      <c r="LC28" s="244">
        <v>44916</v>
      </c>
      <c r="LD28" s="92">
        <v>868.2</v>
      </c>
      <c r="LE28" s="95" t="s">
        <v>769</v>
      </c>
      <c r="LF28" s="71">
        <v>51</v>
      </c>
      <c r="LG28" s="393">
        <f t="shared" si="35"/>
        <v>44278.200000000004</v>
      </c>
      <c r="LJ28" s="106"/>
      <c r="LK28" s="15">
        <v>21</v>
      </c>
      <c r="LL28" s="92"/>
      <c r="LM28" s="244"/>
      <c r="LN28" s="92"/>
      <c r="LO28" s="95"/>
      <c r="LP28" s="71"/>
      <c r="LQ28" s="393">
        <f t="shared" si="36"/>
        <v>0</v>
      </c>
      <c r="LT28" s="106"/>
      <c r="LU28" s="15">
        <v>21</v>
      </c>
      <c r="LV28" s="92">
        <v>879.1</v>
      </c>
      <c r="LW28" s="244">
        <v>44917</v>
      </c>
      <c r="LX28" s="92">
        <v>879.1</v>
      </c>
      <c r="LY28" s="95" t="s">
        <v>787</v>
      </c>
      <c r="LZ28" s="71">
        <v>53</v>
      </c>
      <c r="MA28" s="393">
        <f t="shared" si="37"/>
        <v>46592.3</v>
      </c>
      <c r="MB28" s="393"/>
      <c r="MD28" s="106"/>
      <c r="ME28" s="15">
        <v>21</v>
      </c>
      <c r="MF28" s="296">
        <v>940.7</v>
      </c>
      <c r="MG28" s="244">
        <v>44917</v>
      </c>
      <c r="MH28" s="296">
        <v>940.7</v>
      </c>
      <c r="MI28" s="95" t="s">
        <v>766</v>
      </c>
      <c r="MJ28" s="71">
        <v>51</v>
      </c>
      <c r="MK28" s="71">
        <f t="shared" si="38"/>
        <v>47975.700000000004</v>
      </c>
      <c r="MN28" s="106"/>
      <c r="MO28" s="15">
        <v>21</v>
      </c>
      <c r="MP28" s="92"/>
      <c r="MQ28" s="244"/>
      <c r="MR28" s="92"/>
      <c r="MS28" s="95"/>
      <c r="MT28" s="71"/>
      <c r="MU28" s="71">
        <f t="shared" si="39"/>
        <v>0</v>
      </c>
      <c r="MX28" s="106"/>
      <c r="MY28" s="15">
        <v>21</v>
      </c>
      <c r="MZ28" s="92">
        <v>889.9</v>
      </c>
      <c r="NA28" s="244">
        <v>44918</v>
      </c>
      <c r="NB28" s="92">
        <v>889.9</v>
      </c>
      <c r="NC28" s="95" t="s">
        <v>807</v>
      </c>
      <c r="ND28" s="71">
        <v>53</v>
      </c>
      <c r="NE28" s="71">
        <f t="shared" si="40"/>
        <v>47164.7</v>
      </c>
      <c r="NH28" s="106"/>
      <c r="NI28" s="15">
        <v>21</v>
      </c>
      <c r="NJ28" s="92">
        <v>935.3</v>
      </c>
      <c r="NK28" s="244">
        <v>44918</v>
      </c>
      <c r="NL28" s="92">
        <v>935.3</v>
      </c>
      <c r="NM28" s="95" t="s">
        <v>814</v>
      </c>
      <c r="NN28" s="71">
        <v>53</v>
      </c>
      <c r="NO28" s="71">
        <f t="shared" si="41"/>
        <v>49570.899999999994</v>
      </c>
      <c r="NR28" s="106"/>
      <c r="NS28" s="15">
        <v>21</v>
      </c>
      <c r="NT28" s="92">
        <v>922.6</v>
      </c>
      <c r="NU28" s="244">
        <v>44918</v>
      </c>
      <c r="NV28" s="92">
        <v>922.6</v>
      </c>
      <c r="NW28" s="95" t="s">
        <v>818</v>
      </c>
      <c r="NX28" s="71">
        <v>53</v>
      </c>
      <c r="NY28" s="71">
        <f t="shared" si="42"/>
        <v>48897.8</v>
      </c>
      <c r="OB28" s="106"/>
      <c r="OC28" s="15">
        <v>21</v>
      </c>
      <c r="OD28" s="92">
        <v>898.1</v>
      </c>
      <c r="OE28" s="244">
        <v>44919</v>
      </c>
      <c r="OF28" s="92">
        <v>898.1</v>
      </c>
      <c r="OG28" s="95" t="s">
        <v>803</v>
      </c>
      <c r="OH28" s="71">
        <v>53</v>
      </c>
      <c r="OI28" s="71">
        <f t="shared" si="43"/>
        <v>47599.3</v>
      </c>
      <c r="OL28" s="106"/>
      <c r="OM28" s="15">
        <v>21</v>
      </c>
      <c r="ON28" s="92">
        <v>931.7</v>
      </c>
      <c r="OO28" s="244">
        <v>44919</v>
      </c>
      <c r="OP28" s="92">
        <v>931.7</v>
      </c>
      <c r="OQ28" s="95" t="s">
        <v>824</v>
      </c>
      <c r="OR28" s="71">
        <v>53</v>
      </c>
      <c r="OS28" s="71">
        <f t="shared" si="44"/>
        <v>49380.100000000006</v>
      </c>
      <c r="OV28" s="106"/>
      <c r="OW28" s="15">
        <v>21</v>
      </c>
      <c r="OX28" s="92">
        <v>891.8</v>
      </c>
      <c r="OY28" s="244">
        <v>44921</v>
      </c>
      <c r="OZ28" s="92">
        <v>891.8</v>
      </c>
      <c r="PA28" s="95" t="s">
        <v>831</v>
      </c>
      <c r="PB28" s="71">
        <v>53</v>
      </c>
      <c r="PC28" s="71">
        <f t="shared" si="45"/>
        <v>47265.399999999994</v>
      </c>
      <c r="PF28" s="106"/>
      <c r="PG28" s="15">
        <v>21</v>
      </c>
      <c r="PH28" s="92">
        <v>918.1</v>
      </c>
      <c r="PI28" s="244">
        <v>44924</v>
      </c>
      <c r="PJ28" s="92">
        <v>918.1</v>
      </c>
      <c r="PK28" s="95" t="s">
        <v>850</v>
      </c>
      <c r="PL28" s="71">
        <v>53</v>
      </c>
      <c r="PM28" s="71">
        <f t="shared" si="46"/>
        <v>48659.3</v>
      </c>
      <c r="PN28" s="71"/>
      <c r="PQ28" s="106"/>
      <c r="PR28" s="15">
        <v>21</v>
      </c>
      <c r="PS28" s="92">
        <v>916.3</v>
      </c>
      <c r="PT28" s="244">
        <v>44924</v>
      </c>
      <c r="PU28" s="92">
        <v>916.3</v>
      </c>
      <c r="PV28" s="95" t="s">
        <v>848</v>
      </c>
      <c r="PW28" s="71">
        <v>53</v>
      </c>
      <c r="PX28" s="71">
        <f t="shared" si="47"/>
        <v>48563.899999999994</v>
      </c>
      <c r="QA28" s="106"/>
      <c r="QB28" s="15">
        <v>21</v>
      </c>
      <c r="QC28" s="92"/>
      <c r="QD28" s="135"/>
      <c r="QE28" s="92"/>
      <c r="QF28" s="95"/>
      <c r="QG28" s="71"/>
      <c r="QH28" s="71">
        <f t="shared" si="48"/>
        <v>0</v>
      </c>
      <c r="QK28" s="106"/>
      <c r="QL28" s="15">
        <v>21</v>
      </c>
      <c r="QM28" s="92"/>
      <c r="QN28" s="244"/>
      <c r="QO28" s="92"/>
      <c r="QP28" s="95"/>
      <c r="QQ28" s="71"/>
      <c r="QR28" s="71">
        <f t="shared" si="49"/>
        <v>0</v>
      </c>
      <c r="QU28" s="106"/>
      <c r="QV28" s="15">
        <v>21</v>
      </c>
      <c r="QW28" s="92"/>
      <c r="QX28" s="244"/>
      <c r="QY28" s="92"/>
      <c r="QZ28" s="95"/>
      <c r="RA28" s="71"/>
      <c r="RB28" s="71">
        <f t="shared" si="50"/>
        <v>0</v>
      </c>
      <c r="RE28" s="106"/>
      <c r="RF28" s="15">
        <v>21</v>
      </c>
      <c r="RG28" s="92">
        <v>884.5</v>
      </c>
      <c r="RH28" s="244">
        <v>44930</v>
      </c>
      <c r="RI28" s="92">
        <v>884.5</v>
      </c>
      <c r="RJ28" s="95" t="s">
        <v>888</v>
      </c>
      <c r="RK28" s="71">
        <v>47</v>
      </c>
      <c r="RL28" s="71">
        <f t="shared" si="51"/>
        <v>41571.5</v>
      </c>
      <c r="RO28" s="106"/>
      <c r="RP28" s="15">
        <v>21</v>
      </c>
      <c r="RQ28" s="92">
        <v>895.4</v>
      </c>
      <c r="RR28" s="244">
        <v>44930</v>
      </c>
      <c r="RS28" s="92">
        <v>895.4</v>
      </c>
      <c r="RT28" s="95" t="s">
        <v>887</v>
      </c>
      <c r="RU28" s="288">
        <v>47</v>
      </c>
      <c r="RV28" s="71">
        <f t="shared" si="52"/>
        <v>42083.799999999996</v>
      </c>
      <c r="RY28" s="106"/>
      <c r="RZ28" s="15">
        <v>21</v>
      </c>
      <c r="SA28" s="92"/>
      <c r="SB28" s="135"/>
      <c r="SC28" s="92"/>
      <c r="SD28" s="95"/>
      <c r="SE28" s="71"/>
      <c r="SF28" s="71">
        <f t="shared" si="53"/>
        <v>0</v>
      </c>
      <c r="SI28" s="106"/>
      <c r="SJ28" s="15">
        <v>21</v>
      </c>
      <c r="SK28" s="92"/>
      <c r="SL28" s="244"/>
      <c r="SM28" s="92"/>
      <c r="SN28" s="95"/>
      <c r="SO28" s="71"/>
      <c r="SP28" s="71">
        <f t="shared" si="54"/>
        <v>0</v>
      </c>
      <c r="SS28" s="106"/>
      <c r="ST28" s="15">
        <v>21</v>
      </c>
      <c r="SU28" s="92">
        <v>910.8</v>
      </c>
      <c r="SV28" s="244">
        <v>44933</v>
      </c>
      <c r="SW28" s="92">
        <v>910.8</v>
      </c>
      <c r="SX28" s="95" t="s">
        <v>916</v>
      </c>
      <c r="SY28" s="71">
        <v>45</v>
      </c>
      <c r="SZ28" s="71">
        <f t="shared" si="55"/>
        <v>40986</v>
      </c>
      <c r="TC28" s="106"/>
      <c r="TD28" s="15">
        <v>21</v>
      </c>
      <c r="TE28" s="92">
        <v>938</v>
      </c>
      <c r="TF28" s="244">
        <v>44933</v>
      </c>
      <c r="TG28" s="92">
        <v>938</v>
      </c>
      <c r="TH28" s="95" t="s">
        <v>914</v>
      </c>
      <c r="TI28" s="71">
        <v>45</v>
      </c>
      <c r="TJ28" s="71">
        <f t="shared" si="56"/>
        <v>42210</v>
      </c>
      <c r="TM28" s="106"/>
      <c r="TN28" s="15"/>
      <c r="TO28" s="92"/>
      <c r="TP28" s="79"/>
      <c r="TQ28" s="92"/>
      <c r="TR28" s="95"/>
      <c r="TS28" s="71"/>
      <c r="TT28" s="71"/>
      <c r="TW28" s="106"/>
      <c r="TX28" s="15"/>
      <c r="TY28" s="92"/>
      <c r="TZ28" s="79"/>
      <c r="UA28" s="92"/>
      <c r="UB28" s="95"/>
      <c r="UC28" s="71"/>
      <c r="UF28" s="106"/>
      <c r="UG28" s="15">
        <v>21</v>
      </c>
      <c r="UH28" s="92"/>
      <c r="UI28" s="79"/>
      <c r="UJ28" s="92"/>
      <c r="UK28" s="95"/>
      <c r="UL28" s="71"/>
      <c r="UO28" s="106"/>
      <c r="UP28" s="15"/>
      <c r="UQ28" s="92"/>
      <c r="UR28" s="79"/>
      <c r="US28" s="92"/>
      <c r="UT28" s="95"/>
      <c r="UU28" s="71"/>
      <c r="UX28" s="106"/>
      <c r="UY28" s="15">
        <v>21</v>
      </c>
      <c r="UZ28" s="92"/>
      <c r="VA28" s="79"/>
      <c r="VB28" s="92"/>
      <c r="VC28" s="95"/>
      <c r="VD28" s="71"/>
      <c r="VG28" s="106"/>
      <c r="VH28" s="15"/>
      <c r="VI28" s="92"/>
      <c r="VJ28" s="79"/>
      <c r="VK28" s="92"/>
      <c r="VL28" s="95"/>
      <c r="VM28" s="71"/>
      <c r="VP28" s="106"/>
      <c r="VQ28" s="15">
        <v>21</v>
      </c>
      <c r="VR28" s="92"/>
      <c r="VS28" s="79"/>
      <c r="VT28" s="92"/>
      <c r="VU28" s="95"/>
      <c r="VV28" s="71"/>
      <c r="VY28" s="106"/>
      <c r="VZ28" s="15">
        <v>21</v>
      </c>
      <c r="WA28" s="92"/>
      <c r="WB28" s="79"/>
      <c r="WC28" s="92"/>
      <c r="WD28" s="95"/>
      <c r="WE28" s="71"/>
      <c r="WH28" s="106"/>
      <c r="WI28" s="15">
        <v>21</v>
      </c>
      <c r="WJ28" s="92"/>
      <c r="WK28" s="79"/>
      <c r="WL28" s="92"/>
      <c r="WM28" s="95"/>
      <c r="WN28" s="71"/>
      <c r="WQ28" s="106"/>
      <c r="WR28" s="15">
        <v>21</v>
      </c>
      <c r="WS28" s="92"/>
      <c r="WT28" s="79"/>
      <c r="WU28" s="92"/>
      <c r="WV28" s="95"/>
      <c r="WW28" s="71"/>
      <c r="WZ28" s="106"/>
      <c r="XA28" s="15">
        <v>21</v>
      </c>
      <c r="XB28" s="92"/>
      <c r="XC28" s="79"/>
      <c r="XD28" s="92"/>
      <c r="XE28" s="95"/>
      <c r="XF28" s="71"/>
      <c r="XI28" s="106"/>
      <c r="XJ28" s="15">
        <v>21</v>
      </c>
      <c r="XK28" s="92"/>
      <c r="XL28" s="79"/>
      <c r="XM28" s="92"/>
      <c r="XN28" s="95"/>
      <c r="XO28" s="71"/>
      <c r="XR28" s="106"/>
      <c r="XS28" s="15">
        <v>21</v>
      </c>
      <c r="XT28" s="92"/>
      <c r="XU28" s="79"/>
      <c r="XV28" s="92"/>
      <c r="XW28" s="95"/>
      <c r="XX28" s="71"/>
      <c r="YA28" s="106"/>
      <c r="YB28" s="15">
        <v>21</v>
      </c>
      <c r="YC28" s="92"/>
      <c r="YD28" s="79"/>
      <c r="YE28" s="92"/>
      <c r="YF28" s="95"/>
      <c r="YG28" s="71"/>
      <c r="YJ28" s="106"/>
      <c r="YK28" s="15">
        <v>21</v>
      </c>
      <c r="YL28" s="92"/>
      <c r="YM28" s="79"/>
      <c r="YN28" s="92"/>
      <c r="YO28" s="95"/>
      <c r="YP28" s="71"/>
      <c r="YS28" s="106"/>
      <c r="YT28" s="15">
        <v>21</v>
      </c>
      <c r="YU28" s="92"/>
      <c r="YV28" s="79"/>
      <c r="YW28" s="92"/>
      <c r="YX28" s="95"/>
      <c r="YY28" s="71"/>
      <c r="ZB28" s="106"/>
      <c r="ZC28" s="15">
        <v>21</v>
      </c>
      <c r="ZD28" s="92"/>
      <c r="ZE28" s="79"/>
      <c r="ZF28" s="92"/>
      <c r="ZG28" s="95"/>
      <c r="ZH28" s="71"/>
      <c r="ZK28" s="106"/>
      <c r="ZL28" s="15">
        <v>21</v>
      </c>
      <c r="ZM28" s="92"/>
      <c r="ZN28" s="79"/>
      <c r="ZO28" s="92"/>
      <c r="ZP28" s="95"/>
      <c r="ZQ28" s="71"/>
      <c r="ZT28" s="106"/>
      <c r="ZU28" s="15">
        <v>21</v>
      </c>
      <c r="ZV28" s="92"/>
      <c r="ZW28" s="79"/>
      <c r="ZX28" s="92"/>
      <c r="ZY28" s="95"/>
      <c r="ZZ28" s="71"/>
      <c r="AAC28" s="106"/>
      <c r="AAD28" s="15">
        <v>21</v>
      </c>
      <c r="AAE28" s="92"/>
      <c r="AAF28" s="79"/>
      <c r="AAG28" s="92"/>
      <c r="AAH28" s="95"/>
      <c r="AAI28" s="71"/>
      <c r="AAL28" s="106"/>
      <c r="AAM28" s="15">
        <v>21</v>
      </c>
      <c r="AAN28" s="92"/>
      <c r="AAO28" s="79"/>
      <c r="AAP28" s="92"/>
      <c r="AAQ28" s="95"/>
      <c r="AAR28" s="71"/>
      <c r="AAU28" s="106"/>
      <c r="AAV28" s="15">
        <v>21</v>
      </c>
      <c r="AAW28" s="92"/>
      <c r="AAX28" s="79"/>
      <c r="AAY28" s="92"/>
      <c r="AAZ28" s="95"/>
      <c r="ABA28" s="71"/>
      <c r="ABD28" s="106"/>
      <c r="ABE28" s="15">
        <v>21</v>
      </c>
      <c r="ABF28" s="92"/>
      <c r="ABG28" s="79"/>
      <c r="ABH28" s="92"/>
      <c r="ABI28" s="95"/>
      <c r="ABJ28" s="71"/>
      <c r="ABM28" s="106"/>
      <c r="ABN28" s="15">
        <v>21</v>
      </c>
      <c r="ABO28" s="92"/>
      <c r="ABP28" s="79"/>
      <c r="ABQ28" s="92"/>
      <c r="ABR28" s="95"/>
      <c r="ABS28" s="71"/>
      <c r="ABV28" s="106"/>
      <c r="ABW28" s="15">
        <v>21</v>
      </c>
      <c r="ABX28" s="92"/>
      <c r="ABY28" s="79"/>
      <c r="ABZ28" s="92"/>
      <c r="ACA28" s="95"/>
      <c r="ACB28" s="71"/>
      <c r="ACE28" s="106"/>
      <c r="ACF28" s="15">
        <v>21</v>
      </c>
      <c r="ACG28" s="92"/>
      <c r="ACH28" s="79"/>
      <c r="ACI28" s="92"/>
      <c r="ACJ28" s="95"/>
      <c r="ACK28" s="71"/>
      <c r="ACN28" s="106"/>
      <c r="ACO28" s="15">
        <v>21</v>
      </c>
      <c r="ACP28" s="92"/>
      <c r="ACQ28" s="79"/>
      <c r="ACR28" s="92"/>
      <c r="ACS28" s="95"/>
      <c r="ACT28" s="71"/>
      <c r="ACW28" s="106"/>
      <c r="ACX28" s="15">
        <v>21</v>
      </c>
      <c r="ACY28" s="92"/>
      <c r="ACZ28" s="79"/>
      <c r="ADA28" s="92"/>
      <c r="ADB28" s="95"/>
      <c r="ADC28" s="71"/>
      <c r="ADF28" s="106"/>
      <c r="ADG28" s="15">
        <v>21</v>
      </c>
      <c r="ADH28" s="92"/>
      <c r="ADI28" s="79"/>
      <c r="ADJ28" s="92"/>
      <c r="ADK28" s="95"/>
      <c r="ADL28" s="71"/>
      <c r="ADO28" s="106"/>
      <c r="ADP28" s="15">
        <v>21</v>
      </c>
      <c r="ADQ28" s="92"/>
      <c r="ADR28" s="79"/>
      <c r="ADS28" s="92"/>
      <c r="ADT28" s="95"/>
      <c r="ADU28" s="71"/>
      <c r="ADX28" s="106"/>
      <c r="ADY28" s="15">
        <v>21</v>
      </c>
      <c r="ADZ28" s="92"/>
      <c r="AEA28" s="79"/>
      <c r="AEB28" s="92"/>
      <c r="AEC28" s="95"/>
      <c r="AED28" s="71"/>
      <c r="AEG28" s="106"/>
      <c r="AEH28" s="15">
        <v>21</v>
      </c>
      <c r="AEI28" s="92"/>
      <c r="AEJ28" s="79"/>
      <c r="AEK28" s="92"/>
      <c r="AEL28" s="95"/>
      <c r="AEM28" s="71"/>
      <c r="AEP28" s="106"/>
      <c r="AEQ28" s="15">
        <v>21</v>
      </c>
      <c r="AER28" s="92"/>
      <c r="AES28" s="79"/>
      <c r="AET28" s="92"/>
      <c r="AEU28" s="95"/>
      <c r="AEV28" s="71"/>
      <c r="AEY28" s="106"/>
      <c r="AEZ28" s="15">
        <v>21</v>
      </c>
      <c r="AFA28" s="92"/>
      <c r="AFB28" s="79"/>
      <c r="AFC28" s="92"/>
      <c r="AFD28" s="95"/>
      <c r="AFE28" s="71"/>
    </row>
    <row r="29" spans="1:840" x14ac:dyDescent="0.25">
      <c r="A29" s="137">
        <v>26</v>
      </c>
      <c r="B29" s="75" t="str">
        <f t="shared" ref="B29:I29" si="77">JA5</f>
        <v>SEABOARD FOODS</v>
      </c>
      <c r="C29" s="75" t="str">
        <f t="shared" si="77"/>
        <v>Seaboard</v>
      </c>
      <c r="D29" s="102" t="str">
        <f t="shared" si="77"/>
        <v>PED. 91179969</v>
      </c>
      <c r="E29" s="135">
        <f t="shared" si="77"/>
        <v>44911</v>
      </c>
      <c r="F29" s="86">
        <f t="shared" si="77"/>
        <v>19052.3</v>
      </c>
      <c r="G29" s="73">
        <f t="shared" si="77"/>
        <v>21</v>
      </c>
      <c r="H29" s="48">
        <f t="shared" si="77"/>
        <v>19018.2</v>
      </c>
      <c r="I29" s="105">
        <f t="shared" si="77"/>
        <v>34.099999999998545</v>
      </c>
      <c r="L29" s="106"/>
      <c r="M29" s="15"/>
      <c r="N29" s="69"/>
      <c r="O29" s="252"/>
      <c r="P29" s="69"/>
      <c r="Q29" s="70"/>
      <c r="R29" s="71"/>
      <c r="S29" s="393">
        <f>SUM(S8:S28)</f>
        <v>956739.60000000009</v>
      </c>
      <c r="V29" s="106"/>
      <c r="W29" s="15"/>
      <c r="X29" s="69"/>
      <c r="Y29" s="252"/>
      <c r="Z29" s="697"/>
      <c r="AA29" s="695"/>
      <c r="AB29" s="696"/>
      <c r="AC29" s="393">
        <f>SUM(AC8:AC28)</f>
        <v>960957.29999999993</v>
      </c>
      <c r="AF29" s="106"/>
      <c r="AG29" s="15"/>
      <c r="AH29" s="92"/>
      <c r="AI29" s="244"/>
      <c r="AJ29" s="92"/>
      <c r="AK29" s="95"/>
      <c r="AL29" s="71"/>
      <c r="AM29" s="393">
        <f>AL29*AJ29</f>
        <v>0</v>
      </c>
      <c r="AP29" s="106"/>
      <c r="AQ29" s="15"/>
      <c r="AR29" s="92"/>
      <c r="AS29" s="244"/>
      <c r="AT29" s="92"/>
      <c r="AU29" s="95"/>
      <c r="AV29" s="71"/>
      <c r="AW29" s="393">
        <f t="shared" si="11"/>
        <v>0</v>
      </c>
      <c r="AZ29" s="106"/>
      <c r="BA29" s="15"/>
      <c r="BB29" s="92"/>
      <c r="BC29" s="244"/>
      <c r="BD29" s="92"/>
      <c r="BE29" s="95"/>
      <c r="BF29" s="71"/>
      <c r="BG29" s="393">
        <f t="shared" si="12"/>
        <v>0</v>
      </c>
      <c r="BJ29" s="106"/>
      <c r="BK29" s="15">
        <v>22</v>
      </c>
      <c r="BL29" s="92"/>
      <c r="BM29" s="135"/>
      <c r="BN29" s="92"/>
      <c r="BO29" s="95"/>
      <c r="BP29" s="288"/>
      <c r="BQ29" s="403">
        <f t="shared" si="13"/>
        <v>0</v>
      </c>
      <c r="BT29" s="106"/>
      <c r="BU29" s="15"/>
      <c r="BV29" s="92"/>
      <c r="BW29" s="79"/>
      <c r="BX29" s="92"/>
      <c r="BY29" s="95"/>
      <c r="BZ29" s="71"/>
      <c r="CA29" s="393">
        <v>0</v>
      </c>
      <c r="CD29" s="106"/>
      <c r="CE29" s="15">
        <v>22</v>
      </c>
      <c r="CF29" s="92"/>
      <c r="CG29" s="289"/>
      <c r="CH29" s="92"/>
      <c r="CI29" s="298"/>
      <c r="CJ29" s="290"/>
      <c r="CK29" s="393">
        <f t="shared" si="14"/>
        <v>0</v>
      </c>
      <c r="CN29" s="411"/>
      <c r="CO29" s="15">
        <v>22</v>
      </c>
      <c r="CP29" s="92"/>
      <c r="CQ29" s="289"/>
      <c r="CR29" s="92"/>
      <c r="CS29" s="291"/>
      <c r="CT29" s="290"/>
      <c r="CU29" s="398">
        <f t="shared" si="58"/>
        <v>0</v>
      </c>
      <c r="CX29" s="106"/>
      <c r="CY29" s="15"/>
      <c r="CZ29" s="92"/>
      <c r="DA29" s="244"/>
      <c r="DB29" s="92"/>
      <c r="DC29" s="95"/>
      <c r="DD29" s="71"/>
      <c r="DE29" s="393">
        <f t="shared" si="15"/>
        <v>0</v>
      </c>
      <c r="DH29" s="106"/>
      <c r="DI29" s="15"/>
      <c r="DJ29" s="92"/>
      <c r="DK29" s="244"/>
      <c r="DL29" s="92"/>
      <c r="DM29" s="95"/>
      <c r="DN29" s="71"/>
      <c r="DO29" s="398">
        <f t="shared" si="16"/>
        <v>0</v>
      </c>
      <c r="DR29" s="94"/>
      <c r="DS29" s="15">
        <v>22</v>
      </c>
      <c r="DT29" s="92"/>
      <c r="DU29" s="244"/>
      <c r="DV29" s="92"/>
      <c r="DW29" s="95"/>
      <c r="DX29" s="71"/>
      <c r="DY29" s="393">
        <f t="shared" si="17"/>
        <v>0</v>
      </c>
      <c r="EB29" s="106"/>
      <c r="EC29" s="15">
        <v>22</v>
      </c>
      <c r="ED29" s="69"/>
      <c r="EE29" s="252"/>
      <c r="EF29" s="69"/>
      <c r="EG29" s="70"/>
      <c r="EH29" s="71"/>
      <c r="EI29" s="393">
        <f>SUM(EI8:EI28)</f>
        <v>962436.29999999981</v>
      </c>
      <c r="EL29" s="106"/>
      <c r="EM29" s="15">
        <v>22</v>
      </c>
      <c r="EN29" s="69"/>
      <c r="EO29" s="252"/>
      <c r="EP29" s="69"/>
      <c r="EQ29" s="70"/>
      <c r="ER29" s="71"/>
      <c r="ES29" s="393">
        <f>SUM(ES8:ES28)</f>
        <v>978460.49999999988</v>
      </c>
      <c r="EV29" s="94"/>
      <c r="EW29" s="15">
        <v>22</v>
      </c>
      <c r="EX29" s="92"/>
      <c r="EY29" s="244"/>
      <c r="EZ29" s="92"/>
      <c r="FA29" s="70"/>
      <c r="FB29" s="71"/>
      <c r="FC29" s="393">
        <f t="shared" si="20"/>
        <v>0</v>
      </c>
      <c r="FF29" s="94"/>
      <c r="FG29" s="15">
        <v>22</v>
      </c>
      <c r="FH29" s="92"/>
      <c r="FI29" s="244"/>
      <c r="FJ29" s="92"/>
      <c r="FK29" s="70"/>
      <c r="FL29" s="71"/>
      <c r="FM29" s="393">
        <f t="shared" si="21"/>
        <v>0</v>
      </c>
      <c r="FP29" s="106"/>
      <c r="FQ29" s="15">
        <v>22</v>
      </c>
      <c r="FR29" s="92"/>
      <c r="FS29" s="244"/>
      <c r="FT29" s="92"/>
      <c r="FU29" s="70"/>
      <c r="FV29" s="71"/>
      <c r="FW29" s="393">
        <f t="shared" si="22"/>
        <v>0</v>
      </c>
      <c r="FZ29" s="106"/>
      <c r="GA29" s="15"/>
      <c r="GB29" s="69"/>
      <c r="GC29" s="252"/>
      <c r="GD29" s="69"/>
      <c r="GE29" s="70"/>
      <c r="GF29" s="71"/>
      <c r="GG29" s="243">
        <f t="shared" si="23"/>
        <v>0</v>
      </c>
      <c r="GJ29" s="106"/>
      <c r="GK29" s="15"/>
      <c r="GL29" s="352"/>
      <c r="GM29" s="244"/>
      <c r="GN29" s="92"/>
      <c r="GO29" s="95"/>
      <c r="GP29" s="71"/>
      <c r="GQ29" s="393">
        <f t="shared" si="24"/>
        <v>0</v>
      </c>
      <c r="GT29" s="106" t="s">
        <v>40</v>
      </c>
      <c r="GU29" s="15">
        <v>22</v>
      </c>
      <c r="GV29" s="92"/>
      <c r="GW29" s="244"/>
      <c r="GX29" s="92"/>
      <c r="GY29" s="95"/>
      <c r="GZ29" s="71"/>
      <c r="HA29" s="393">
        <f>SUM(HA8:HA28)</f>
        <v>933876.3</v>
      </c>
      <c r="HD29" s="106"/>
      <c r="HE29" s="15"/>
      <c r="HF29" s="92"/>
      <c r="HG29" s="244"/>
      <c r="HH29" s="694"/>
      <c r="HI29" s="944"/>
      <c r="HJ29" s="71"/>
      <c r="HK29" s="393">
        <f>SUM(HK8:HK28)</f>
        <v>912305.52</v>
      </c>
      <c r="HN29" s="106"/>
      <c r="HO29" s="15">
        <v>22</v>
      </c>
      <c r="HP29" s="92"/>
      <c r="HQ29" s="244"/>
      <c r="HR29" s="92"/>
      <c r="HS29" s="70"/>
      <c r="HT29" s="71"/>
      <c r="HU29" s="393">
        <f t="shared" si="27"/>
        <v>0</v>
      </c>
      <c r="HX29" s="106"/>
      <c r="HY29" s="15">
        <v>22</v>
      </c>
      <c r="HZ29" s="69"/>
      <c r="IA29" s="252"/>
      <c r="IB29" s="69"/>
      <c r="IC29" s="70"/>
      <c r="ID29" s="71"/>
      <c r="IE29" s="393">
        <f>ID29*IB29</f>
        <v>0</v>
      </c>
      <c r="IH29" s="106"/>
      <c r="II29" s="15">
        <v>22</v>
      </c>
      <c r="IJ29" s="69"/>
      <c r="IK29" s="252"/>
      <c r="IL29" s="69"/>
      <c r="IM29" s="70"/>
      <c r="IN29" s="71"/>
      <c r="IO29" s="393">
        <f t="shared" si="28"/>
        <v>0</v>
      </c>
      <c r="IR29" s="106"/>
      <c r="IS29" s="15">
        <v>22</v>
      </c>
      <c r="IT29" s="92"/>
      <c r="IU29" s="135"/>
      <c r="IV29" s="92"/>
      <c r="IW29" s="95"/>
      <c r="IX29" s="71"/>
      <c r="IY29" s="243">
        <f t="shared" si="29"/>
        <v>0</v>
      </c>
      <c r="JA29" s="105"/>
      <c r="JB29" s="106"/>
      <c r="JC29" s="15">
        <v>22</v>
      </c>
      <c r="JD29" s="69"/>
      <c r="JE29" s="252"/>
      <c r="JF29" s="69"/>
      <c r="JG29" s="70"/>
      <c r="JH29" s="71"/>
      <c r="JI29" s="393">
        <f t="shared" si="30"/>
        <v>0</v>
      </c>
      <c r="JL29" s="106"/>
      <c r="JM29" s="15"/>
      <c r="JN29" s="92"/>
      <c r="JO29" s="244"/>
      <c r="JP29" s="92"/>
      <c r="JQ29" s="70"/>
      <c r="JR29" s="71"/>
      <c r="JS29" s="393">
        <f>SUM(JS8:JS28)</f>
        <v>914692.80000000016</v>
      </c>
      <c r="JV29" s="106"/>
      <c r="JW29" s="15"/>
      <c r="JX29" s="69"/>
      <c r="JY29" s="252"/>
      <c r="JZ29" s="69"/>
      <c r="KA29" s="70"/>
      <c r="KB29" s="71"/>
      <c r="KC29" s="393">
        <f>SUM(KC8:KC28)</f>
        <v>910699.20000000019</v>
      </c>
      <c r="KF29" s="106"/>
      <c r="KG29" s="15"/>
      <c r="KH29" s="69"/>
      <c r="KI29" s="252"/>
      <c r="KJ29" s="69"/>
      <c r="KK29" s="70"/>
      <c r="KL29" s="71"/>
      <c r="KM29" s="393">
        <f>SUM(KM8:KM28)</f>
        <v>931710.49999999988</v>
      </c>
      <c r="KP29" s="106"/>
      <c r="KQ29" s="15"/>
      <c r="KR29" s="69"/>
      <c r="KS29" s="252"/>
      <c r="KT29" s="697"/>
      <c r="KU29" s="695"/>
      <c r="KV29" s="696"/>
      <c r="KW29" s="393">
        <f>SUM(KW8:KW28)</f>
        <v>919018.52000000014</v>
      </c>
      <c r="KZ29" s="106"/>
      <c r="LA29" s="15"/>
      <c r="LB29" s="92"/>
      <c r="LC29" s="244"/>
      <c r="LD29" s="92"/>
      <c r="LE29" s="95"/>
      <c r="LF29" s="71"/>
      <c r="LG29" s="393">
        <f>LF29*LD29</f>
        <v>0</v>
      </c>
      <c r="LJ29" s="106"/>
      <c r="LK29" s="15"/>
      <c r="LL29" s="92"/>
      <c r="LM29" s="244"/>
      <c r="LN29" s="92"/>
      <c r="LO29" s="95"/>
      <c r="LP29" s="71"/>
      <c r="LQ29" s="393">
        <f t="shared" si="36"/>
        <v>0</v>
      </c>
      <c r="LT29" s="106"/>
      <c r="LU29" s="15"/>
      <c r="LV29" s="92"/>
      <c r="LW29" s="244"/>
      <c r="LX29" s="92"/>
      <c r="LY29" s="95"/>
      <c r="LZ29" s="71"/>
      <c r="MA29" s="393">
        <f t="shared" si="37"/>
        <v>0</v>
      </c>
      <c r="MB29" s="393"/>
      <c r="MD29" s="106"/>
      <c r="ME29" s="15">
        <v>22</v>
      </c>
      <c r="MF29" s="296"/>
      <c r="MG29" s="244"/>
      <c r="MH29" s="296"/>
      <c r="MI29" s="95"/>
      <c r="MJ29" s="71"/>
      <c r="MK29" s="71">
        <f>SUM(MK8:MK28)</f>
        <v>969729.29999999981</v>
      </c>
      <c r="MN29" s="94"/>
      <c r="MO29" s="15"/>
      <c r="MP29" s="92"/>
      <c r="MQ29" s="244"/>
      <c r="MR29" s="92"/>
      <c r="MS29" s="95"/>
      <c r="MT29" s="71"/>
      <c r="MU29" s="71">
        <f>SUM(MU8:MU28)</f>
        <v>974712.92999999993</v>
      </c>
      <c r="MX29" s="94"/>
      <c r="MY29" s="15"/>
      <c r="MZ29" s="92"/>
      <c r="NA29" s="244"/>
      <c r="NB29" s="92"/>
      <c r="NC29" s="95"/>
      <c r="ND29" s="71"/>
      <c r="NE29" s="71">
        <f>SUM(NE8:NE28)</f>
        <v>1010413.2000000001</v>
      </c>
      <c r="NF29" s="71"/>
      <c r="NG29" s="71"/>
      <c r="NH29" s="71"/>
      <c r="NK29" s="106"/>
      <c r="NL29" s="15"/>
      <c r="NM29" s="92"/>
      <c r="NN29" s="244"/>
      <c r="NO29" s="92"/>
      <c r="NP29" s="95"/>
      <c r="NQ29" s="71"/>
      <c r="NR29" s="71">
        <v>0</v>
      </c>
      <c r="NU29" s="106"/>
      <c r="NV29" s="15"/>
      <c r="NW29" s="92"/>
      <c r="NX29" s="244"/>
      <c r="NY29" s="92">
        <v>0</v>
      </c>
      <c r="NZ29" s="95"/>
      <c r="OA29" s="71"/>
      <c r="OB29" s="71">
        <f>SUM(NY8:NY28)</f>
        <v>1018877.3</v>
      </c>
      <c r="OE29" s="106"/>
      <c r="OF29" s="15"/>
      <c r="OG29" s="92"/>
      <c r="OH29" s="244"/>
      <c r="OI29" s="71">
        <f t="shared" si="43"/>
        <v>0</v>
      </c>
      <c r="OJ29" s="92"/>
      <c r="OK29" s="95"/>
      <c r="OL29" s="71"/>
      <c r="OO29" s="106"/>
      <c r="OP29" s="15"/>
      <c r="OQ29" s="92"/>
      <c r="OR29" s="244"/>
      <c r="OS29" s="393">
        <v>0</v>
      </c>
      <c r="OT29" s="92"/>
      <c r="OU29" s="95"/>
      <c r="OV29" s="71"/>
      <c r="OY29" s="106"/>
      <c r="OZ29" s="15"/>
      <c r="PA29" s="92"/>
      <c r="PB29" s="244"/>
      <c r="PC29" s="243">
        <v>0</v>
      </c>
      <c r="PD29" s="92"/>
      <c r="PE29" s="95"/>
      <c r="PF29" s="71"/>
      <c r="PI29" s="106"/>
      <c r="PJ29" s="15"/>
      <c r="PK29" s="92"/>
      <c r="PL29" s="244"/>
      <c r="PM29" s="393">
        <v>0</v>
      </c>
      <c r="PN29" s="244"/>
      <c r="PO29" s="92"/>
      <c r="PP29" s="95"/>
      <c r="PQ29" s="71"/>
      <c r="PT29" s="106"/>
      <c r="PU29" s="15"/>
      <c r="PV29" s="92"/>
      <c r="PW29" s="244"/>
      <c r="PX29" s="1198">
        <f>SUM(PX8:PX28)</f>
        <v>1019460.2999999999</v>
      </c>
      <c r="PY29" s="92"/>
      <c r="PZ29" s="95"/>
      <c r="QA29" s="71"/>
      <c r="QD29" s="106"/>
      <c r="QE29" s="15"/>
      <c r="QF29" s="92"/>
      <c r="QG29" s="135"/>
      <c r="QH29" s="393">
        <f>SUM(QH8:QH28)</f>
        <v>996036.42000000016</v>
      </c>
      <c r="QI29" s="92"/>
      <c r="QJ29" s="95"/>
      <c r="QK29" s="71"/>
      <c r="QN29" s="106"/>
      <c r="QO29" s="15"/>
      <c r="QP29" s="92"/>
      <c r="QQ29" s="244"/>
      <c r="QR29" s="244"/>
      <c r="QS29" s="92"/>
      <c r="QT29" s="95"/>
      <c r="QU29" s="71"/>
      <c r="QX29" s="106"/>
      <c r="QY29" s="15"/>
      <c r="QZ29" s="92"/>
      <c r="RA29" s="244"/>
      <c r="RB29" s="71">
        <f>SUM(RB8:RB28)</f>
        <v>959321.2</v>
      </c>
      <c r="RC29" s="92"/>
      <c r="RD29" s="95"/>
      <c r="RE29" s="71"/>
      <c r="RH29" s="106"/>
      <c r="RI29" s="15"/>
      <c r="RJ29" s="92"/>
      <c r="RK29" s="244"/>
      <c r="RL29" s="71">
        <f>SUM(RL8:RL28)</f>
        <v>882598.89999999991</v>
      </c>
      <c r="RM29" s="92"/>
      <c r="RN29" s="95"/>
      <c r="RO29" s="71"/>
      <c r="RR29" s="106"/>
      <c r="RS29" s="15"/>
      <c r="RT29" s="92"/>
      <c r="RU29" s="244"/>
      <c r="RV29" s="71">
        <f>SUM(RV8:RV28)</f>
        <v>906928.30000000016</v>
      </c>
      <c r="RW29" s="92"/>
      <c r="RX29" s="95"/>
      <c r="RY29" s="288"/>
      <c r="SB29" s="106"/>
      <c r="SC29" s="15"/>
      <c r="SD29" s="92"/>
      <c r="SE29" s="135"/>
      <c r="SF29" s="71">
        <f>SUM(SF8:SF28)</f>
        <v>878800.3600000001</v>
      </c>
      <c r="SG29" s="92"/>
      <c r="SH29" s="95"/>
      <c r="SI29" s="71"/>
      <c r="SL29" s="106"/>
      <c r="SM29" s="15"/>
      <c r="SN29" s="92"/>
      <c r="SO29" s="79"/>
      <c r="SP29" s="71">
        <f>SUM(SP8:SP28)</f>
        <v>870486.53</v>
      </c>
      <c r="SQ29" s="92"/>
      <c r="SR29" s="95"/>
      <c r="SS29" s="71"/>
      <c r="SV29" s="252"/>
      <c r="SW29" s="15"/>
      <c r="SX29" s="92"/>
      <c r="SY29" s="79"/>
      <c r="SZ29" s="71">
        <f>SUM(SZ8:SZ28)</f>
        <v>570330</v>
      </c>
      <c r="TA29" s="92"/>
      <c r="TB29" s="95"/>
      <c r="TC29" s="71"/>
      <c r="TD29" s="15">
        <v>22</v>
      </c>
      <c r="TF29" s="252"/>
      <c r="TG29" s="15"/>
      <c r="TH29" s="92"/>
      <c r="TI29" s="79"/>
      <c r="TJ29" s="71">
        <f>SUM(TJ8:TJ28)</f>
        <v>856224</v>
      </c>
      <c r="TK29" s="92"/>
      <c r="TL29" s="95"/>
      <c r="TM29" s="71"/>
      <c r="TP29" s="106"/>
      <c r="TQ29" s="15"/>
      <c r="TR29" s="92"/>
      <c r="TS29" s="79"/>
      <c r="TT29" s="79"/>
      <c r="TU29" s="92"/>
      <c r="TV29" s="95"/>
      <c r="TW29" s="71"/>
      <c r="TZ29" s="106"/>
      <c r="UA29" s="15"/>
      <c r="UB29" s="92"/>
      <c r="UC29" s="79"/>
      <c r="UD29" s="92"/>
      <c r="UE29" s="95"/>
      <c r="UF29" s="71"/>
      <c r="UI29" s="106"/>
      <c r="UJ29" s="15"/>
      <c r="UK29" s="92"/>
      <c r="UL29" s="79"/>
      <c r="UM29" s="92"/>
      <c r="UN29" s="95"/>
      <c r="UO29" s="71"/>
      <c r="UR29" s="106"/>
      <c r="US29" s="15"/>
      <c r="UT29" s="92"/>
      <c r="UU29" s="79"/>
      <c r="UV29" s="92"/>
      <c r="UW29" s="95"/>
      <c r="UX29" s="71"/>
      <c r="VA29" s="106"/>
      <c r="VB29" s="15"/>
      <c r="VC29" s="92"/>
      <c r="VD29" s="79"/>
      <c r="VE29" s="92"/>
      <c r="VF29" s="95"/>
      <c r="VG29" s="71"/>
      <c r="VJ29" s="106"/>
      <c r="VK29" s="15"/>
      <c r="VL29" s="92"/>
      <c r="VM29" s="79"/>
      <c r="VN29" s="92"/>
      <c r="VO29" s="95"/>
      <c r="VP29" s="71"/>
      <c r="VS29" s="106"/>
      <c r="VT29" s="15">
        <v>22</v>
      </c>
      <c r="VU29" s="92"/>
      <c r="VV29" s="79"/>
      <c r="VW29" s="92"/>
      <c r="VX29" s="95"/>
      <c r="VY29" s="71"/>
      <c r="WB29" s="106"/>
      <c r="WC29" s="15">
        <v>22</v>
      </c>
      <c r="WD29" s="92"/>
      <c r="WE29" s="79"/>
      <c r="WF29" s="92"/>
      <c r="WG29" s="95"/>
      <c r="WH29" s="71"/>
      <c r="WK29" s="106"/>
      <c r="WL29" s="15">
        <v>22</v>
      </c>
      <c r="WM29" s="92"/>
      <c r="WN29" s="79"/>
      <c r="WO29" s="92"/>
      <c r="WP29" s="95"/>
      <c r="WQ29" s="71"/>
      <c r="WT29" s="106"/>
      <c r="WU29" s="15">
        <v>22</v>
      </c>
      <c r="WV29" s="92"/>
      <c r="WW29" s="79"/>
      <c r="WX29" s="92"/>
      <c r="WY29" s="95"/>
      <c r="WZ29" s="71"/>
      <c r="XC29" s="106"/>
      <c r="XD29" s="15">
        <v>22</v>
      </c>
      <c r="XE29" s="92"/>
      <c r="XF29" s="79"/>
      <c r="XG29" s="92"/>
      <c r="XH29" s="95"/>
      <c r="XI29" s="71"/>
      <c r="XL29" s="106"/>
      <c r="XM29" s="15">
        <v>22</v>
      </c>
      <c r="XN29" s="92"/>
      <c r="XO29" s="79"/>
      <c r="XP29" s="92"/>
      <c r="XQ29" s="95"/>
      <c r="XR29" s="71"/>
      <c r="XU29" s="106"/>
      <c r="XV29" s="15">
        <v>22</v>
      </c>
      <c r="XW29" s="92"/>
      <c r="XX29" s="79"/>
      <c r="XY29" s="92"/>
      <c r="XZ29" s="95"/>
      <c r="YA29" s="71"/>
      <c r="YD29" s="106"/>
      <c r="YE29" s="15">
        <v>22</v>
      </c>
      <c r="YF29" s="92"/>
      <c r="YG29" s="79"/>
      <c r="YH29" s="92"/>
      <c r="YI29" s="95"/>
      <c r="YJ29" s="71"/>
      <c r="YM29" s="106"/>
      <c r="YN29" s="15">
        <v>22</v>
      </c>
      <c r="YO29" s="92"/>
      <c r="YP29" s="79"/>
      <c r="YQ29" s="92"/>
      <c r="YR29" s="95"/>
      <c r="YS29" s="71"/>
      <c r="YV29" s="106"/>
      <c r="YW29" s="15">
        <v>22</v>
      </c>
      <c r="YX29" s="92"/>
      <c r="YY29" s="79"/>
      <c r="YZ29" s="92"/>
      <c r="ZA29" s="95"/>
      <c r="ZB29" s="71"/>
      <c r="ZE29" s="106"/>
      <c r="ZF29" s="15">
        <v>22</v>
      </c>
      <c r="ZG29" s="92"/>
      <c r="ZH29" s="79"/>
      <c r="ZI29" s="92"/>
      <c r="ZJ29" s="95"/>
      <c r="ZK29" s="71"/>
      <c r="ZN29" s="106"/>
      <c r="ZO29" s="15">
        <v>22</v>
      </c>
      <c r="ZP29" s="92"/>
      <c r="ZQ29" s="79"/>
      <c r="ZR29" s="92"/>
      <c r="ZS29" s="95"/>
      <c r="ZT29" s="71"/>
      <c r="ZW29" s="106"/>
      <c r="ZX29" s="15">
        <v>22</v>
      </c>
      <c r="ZY29" s="92"/>
      <c r="ZZ29" s="79"/>
      <c r="AAA29" s="92"/>
      <c r="AAB29" s="95"/>
      <c r="AAC29" s="71"/>
      <c r="AAF29" s="106"/>
      <c r="AAG29" s="15">
        <v>22</v>
      </c>
      <c r="AAH29" s="92"/>
      <c r="AAI29" s="79"/>
      <c r="AAJ29" s="92"/>
      <c r="AAK29" s="95"/>
      <c r="AAL29" s="71"/>
      <c r="AAO29" s="106"/>
      <c r="AAP29" s="15">
        <v>22</v>
      </c>
      <c r="AAQ29" s="92"/>
      <c r="AAR29" s="79"/>
      <c r="AAS29" s="92"/>
      <c r="AAT29" s="95"/>
      <c r="AAU29" s="71"/>
      <c r="AAX29" s="106"/>
      <c r="AAY29" s="15">
        <v>22</v>
      </c>
      <c r="AAZ29" s="92"/>
      <c r="ABA29" s="79"/>
      <c r="ABB29" s="92"/>
      <c r="ABC29" s="95"/>
      <c r="ABD29" s="71"/>
      <c r="ABG29" s="106"/>
      <c r="ABH29" s="15">
        <v>22</v>
      </c>
      <c r="ABI29" s="92"/>
      <c r="ABJ29" s="79"/>
      <c r="ABK29" s="92"/>
      <c r="ABL29" s="95"/>
      <c r="ABM29" s="71"/>
      <c r="ABP29" s="106"/>
      <c r="ABQ29" s="15">
        <v>22</v>
      </c>
      <c r="ABR29" s="92"/>
      <c r="ABS29" s="79"/>
      <c r="ABT29" s="92"/>
      <c r="ABU29" s="95"/>
      <c r="ABV29" s="71"/>
      <c r="ABY29" s="106"/>
      <c r="ABZ29" s="15">
        <v>22</v>
      </c>
      <c r="ACA29" s="92"/>
      <c r="ACB29" s="79"/>
      <c r="ACC29" s="92"/>
      <c r="ACD29" s="95"/>
      <c r="ACE29" s="71"/>
      <c r="ACH29" s="106"/>
      <c r="ACI29" s="15">
        <v>22</v>
      </c>
      <c r="ACJ29" s="92"/>
      <c r="ACK29" s="79"/>
      <c r="ACL29" s="92"/>
      <c r="ACM29" s="95"/>
      <c r="ACN29" s="71"/>
      <c r="ACQ29" s="106"/>
      <c r="ACR29" s="15">
        <v>22</v>
      </c>
      <c r="ACS29" s="92"/>
      <c r="ACT29" s="79"/>
      <c r="ACU29" s="92"/>
      <c r="ACV29" s="95"/>
      <c r="ACW29" s="71"/>
      <c r="ACZ29" s="106"/>
      <c r="ADA29" s="15">
        <v>22</v>
      </c>
      <c r="ADB29" s="92"/>
      <c r="ADC29" s="79"/>
      <c r="ADD29" s="92"/>
      <c r="ADE29" s="95"/>
      <c r="ADF29" s="71"/>
      <c r="ADI29" s="106"/>
      <c r="ADJ29" s="15">
        <v>22</v>
      </c>
      <c r="ADK29" s="92"/>
      <c r="ADL29" s="79"/>
      <c r="ADM29" s="92"/>
      <c r="ADN29" s="95"/>
      <c r="ADO29" s="71"/>
      <c r="ADR29" s="106"/>
      <c r="ADS29" s="15">
        <v>22</v>
      </c>
      <c r="ADT29" s="92"/>
      <c r="ADU29" s="79"/>
      <c r="ADV29" s="92"/>
      <c r="ADW29" s="95"/>
      <c r="ADX29" s="71"/>
      <c r="AEA29" s="106"/>
      <c r="AEB29" s="15">
        <v>22</v>
      </c>
      <c r="AEC29" s="92"/>
      <c r="AED29" s="79"/>
      <c r="AEE29" s="92"/>
      <c r="AEF29" s="95"/>
      <c r="AEG29" s="71"/>
      <c r="AEJ29" s="106"/>
      <c r="AEK29" s="15">
        <v>22</v>
      </c>
      <c r="AEL29" s="92"/>
      <c r="AEM29" s="79"/>
      <c r="AEN29" s="92"/>
      <c r="AEO29" s="95"/>
      <c r="AEP29" s="71"/>
      <c r="AES29" s="106"/>
      <c r="AET29" s="15">
        <v>22</v>
      </c>
      <c r="AEU29" s="92"/>
      <c r="AEV29" s="79"/>
      <c r="AEW29" s="92"/>
      <c r="AEX29" s="95"/>
      <c r="AEY29" s="71"/>
      <c r="AFB29" s="106"/>
      <c r="AFC29" s="15">
        <v>22</v>
      </c>
      <c r="AFD29" s="92"/>
      <c r="AFE29" s="79"/>
      <c r="AFF29" s="92"/>
      <c r="AFG29" s="95"/>
      <c r="AFH29" s="71"/>
    </row>
    <row r="30" spans="1:840" x14ac:dyDescent="0.25">
      <c r="A30" s="137">
        <v>27</v>
      </c>
      <c r="B30" s="75" t="str">
        <f t="shared" ref="B30:H30" si="78">JK5</f>
        <v>SEABOARD FOODS</v>
      </c>
      <c r="C30" s="75" t="str">
        <f t="shared" si="78"/>
        <v>Seaboard</v>
      </c>
      <c r="D30" s="102" t="str">
        <f t="shared" si="78"/>
        <v>PED. 91092545</v>
      </c>
      <c r="E30" s="135">
        <f t="shared" si="78"/>
        <v>44912</v>
      </c>
      <c r="F30" s="86">
        <f t="shared" si="78"/>
        <v>19132.05</v>
      </c>
      <c r="G30" s="73">
        <f t="shared" si="78"/>
        <v>21</v>
      </c>
      <c r="H30" s="48">
        <f t="shared" si="78"/>
        <v>19056.099999999999</v>
      </c>
      <c r="I30" s="105">
        <f>F30-H30</f>
        <v>75.950000000000728</v>
      </c>
      <c r="L30" s="106"/>
      <c r="M30" s="15"/>
      <c r="N30" s="69"/>
      <c r="O30" s="252"/>
      <c r="P30" s="105"/>
      <c r="Q30" s="70"/>
      <c r="R30" s="71"/>
      <c r="S30" s="393"/>
      <c r="V30" s="106"/>
      <c r="W30" s="15"/>
      <c r="X30" s="69"/>
      <c r="Y30" s="252"/>
      <c r="Z30" s="105"/>
      <c r="AA30" s="70"/>
      <c r="AB30" s="71"/>
      <c r="AF30" s="106"/>
      <c r="AG30" s="15"/>
      <c r="AH30" s="92"/>
      <c r="AI30" s="244"/>
      <c r="AJ30" s="69"/>
      <c r="AK30" s="95"/>
      <c r="AL30" s="71"/>
      <c r="AM30" s="393">
        <f>SUM(AM8:AM29)</f>
        <v>965713.55999999994</v>
      </c>
      <c r="AP30" s="106"/>
      <c r="AQ30" s="15"/>
      <c r="AR30" s="92"/>
      <c r="AS30" s="244"/>
      <c r="AT30" s="92"/>
      <c r="AU30" s="95"/>
      <c r="AV30" s="71"/>
      <c r="AW30" s="393">
        <f>SUM(AW8:AW29)</f>
        <v>977659.79999999993</v>
      </c>
      <c r="AZ30" s="106"/>
      <c r="BA30" s="15"/>
      <c r="BB30" s="92"/>
      <c r="BC30" s="244"/>
      <c r="BD30" s="92"/>
      <c r="BE30" s="95"/>
      <c r="BF30" s="71"/>
      <c r="BG30" s="393">
        <f>SUM(BG8:BG29)</f>
        <v>918387.60000000009</v>
      </c>
      <c r="BJ30" s="106"/>
      <c r="BK30" s="15"/>
      <c r="BL30" s="69"/>
      <c r="BM30" s="135"/>
      <c r="BN30" s="69"/>
      <c r="BO30" s="95"/>
      <c r="BP30" s="71"/>
      <c r="BQ30" s="393">
        <f>SUM(BQ8:BQ29)</f>
        <v>935916.81</v>
      </c>
      <c r="BT30" s="106"/>
      <c r="BU30" s="15"/>
      <c r="BV30" s="69"/>
      <c r="BW30" s="79"/>
      <c r="BX30" s="69"/>
      <c r="BY30" s="95"/>
      <c r="BZ30" s="71"/>
      <c r="CA30" s="393">
        <f>SUM(CA8:CA29)</f>
        <v>65134</v>
      </c>
      <c r="CD30" s="106"/>
      <c r="CE30" s="15">
        <v>23</v>
      </c>
      <c r="CF30" s="69"/>
      <c r="CG30" s="289"/>
      <c r="CH30" s="69"/>
      <c r="CI30" s="298"/>
      <c r="CJ30" s="290"/>
      <c r="CK30" s="393">
        <f>SUM(CK8:CK29)</f>
        <v>919632.00000000012</v>
      </c>
      <c r="CN30" s="106"/>
      <c r="CO30" s="15"/>
      <c r="CP30" s="69"/>
      <c r="CQ30" s="244"/>
      <c r="CR30" s="69"/>
      <c r="CS30" s="95"/>
      <c r="CT30" s="71"/>
      <c r="CU30" s="398">
        <f t="shared" si="58"/>
        <v>0</v>
      </c>
      <c r="CX30" s="106"/>
      <c r="CY30" s="15"/>
      <c r="CZ30" s="69"/>
      <c r="DA30" s="244"/>
      <c r="DB30" s="69"/>
      <c r="DC30" s="95"/>
      <c r="DD30" s="71"/>
      <c r="DE30" s="393">
        <f>SUM(DE8:DE29)</f>
        <v>951232.62000000011</v>
      </c>
      <c r="DH30" s="106"/>
      <c r="DI30" s="15"/>
      <c r="DJ30" s="69"/>
      <c r="DK30" s="244"/>
      <c r="DL30" s="69"/>
      <c r="DM30" s="95"/>
      <c r="DN30" s="71"/>
      <c r="DO30" s="393">
        <f>SUM(DO8:DO29)</f>
        <v>958733.7</v>
      </c>
      <c r="DR30" s="106"/>
      <c r="DS30" s="15"/>
      <c r="DT30" s="69"/>
      <c r="DU30" s="244"/>
      <c r="DV30" s="69"/>
      <c r="DW30" s="95"/>
      <c r="DX30" s="71"/>
      <c r="DY30" s="393">
        <f>SUM(DY8:DY29)</f>
        <v>935432.30999999982</v>
      </c>
      <c r="EB30" s="106"/>
      <c r="EC30" s="15"/>
      <c r="ED30" s="69"/>
      <c r="EE30" s="252"/>
      <c r="EF30" s="105"/>
      <c r="EG30" s="70"/>
      <c r="EH30" s="71"/>
      <c r="EL30" s="106"/>
      <c r="EM30" s="15"/>
      <c r="EN30" s="69"/>
      <c r="EO30" s="252"/>
      <c r="EP30" s="105"/>
      <c r="EQ30" s="70"/>
      <c r="ER30" s="71"/>
      <c r="EV30" s="106"/>
      <c r="EW30" s="15"/>
      <c r="EX30" s="69"/>
      <c r="EY30" s="252"/>
      <c r="EZ30" s="105"/>
      <c r="FA30" s="70"/>
      <c r="FB30" s="71"/>
      <c r="FC30" s="393">
        <f>SUM(FC8:FC29)</f>
        <v>959871.00000000023</v>
      </c>
      <c r="FF30" s="94"/>
      <c r="FG30" s="15"/>
      <c r="FH30" s="92"/>
      <c r="FI30" s="244"/>
      <c r="FJ30" s="105"/>
      <c r="FK30" s="70"/>
      <c r="FL30" s="71"/>
      <c r="FM30" s="393">
        <f>SUM(FM8:FM29)</f>
        <v>960161.70000000007</v>
      </c>
      <c r="FP30" s="106"/>
      <c r="FQ30" s="15"/>
      <c r="FR30" s="92"/>
      <c r="FS30" s="244"/>
      <c r="FT30" s="92"/>
      <c r="FU30" s="70"/>
      <c r="FV30" s="71"/>
      <c r="FW30" s="393">
        <f>SUM(FW8:FW29)</f>
        <v>966917.16000000015</v>
      </c>
      <c r="FZ30" s="106"/>
      <c r="GA30" s="15"/>
      <c r="GB30" s="69"/>
      <c r="GC30" s="252"/>
      <c r="GD30" s="105"/>
      <c r="GE30" s="70"/>
      <c r="GF30" s="71"/>
      <c r="GG30" s="393">
        <f>SUM(GG8:GG29)</f>
        <v>926952.59999999986</v>
      </c>
      <c r="GJ30" s="106"/>
      <c r="GK30" s="15"/>
      <c r="GL30" s="352"/>
      <c r="GM30" s="244"/>
      <c r="GN30" s="69"/>
      <c r="GO30" s="95"/>
      <c r="GP30" s="71"/>
      <c r="GQ30" s="393">
        <f>SUM(GQ8:GQ29)</f>
        <v>924762.29999999981</v>
      </c>
      <c r="GT30" s="106"/>
      <c r="GU30" s="15">
        <v>23</v>
      </c>
      <c r="GV30" s="92"/>
      <c r="GW30" s="244"/>
      <c r="GX30" s="92"/>
      <c r="GY30" s="95"/>
      <c r="GZ30" s="71"/>
      <c r="HD30" s="106"/>
      <c r="HE30" s="15"/>
      <c r="HF30" s="69"/>
      <c r="HG30" s="289"/>
      <c r="HH30" s="168"/>
      <c r="HI30" s="291"/>
      <c r="HJ30" s="290"/>
      <c r="HK30" s="398"/>
      <c r="HN30" s="106"/>
      <c r="HO30" s="15"/>
      <c r="HP30" s="92"/>
      <c r="HQ30" s="244"/>
      <c r="HR30" s="105"/>
      <c r="HS30" s="70"/>
      <c r="HT30" s="71"/>
      <c r="HU30" s="393">
        <f>SUM(HU8:HU29)</f>
        <v>893637.5</v>
      </c>
      <c r="HX30" s="106"/>
      <c r="HY30" s="15"/>
      <c r="HZ30" s="69"/>
      <c r="IA30" s="252"/>
      <c r="IB30" s="105"/>
      <c r="IC30" s="70"/>
      <c r="ID30" s="71"/>
      <c r="IE30" s="393">
        <f>SUM(IE8:IE29)</f>
        <v>920465</v>
      </c>
      <c r="IH30" s="106"/>
      <c r="II30" s="15">
        <v>23</v>
      </c>
      <c r="IJ30" s="69"/>
      <c r="IK30" s="252"/>
      <c r="IL30" s="105"/>
      <c r="IM30" s="70"/>
      <c r="IN30" s="71"/>
      <c r="IO30" s="393">
        <f>SUM(IO8:IO29)</f>
        <v>936600.7</v>
      </c>
      <c r="IR30" s="106"/>
      <c r="IS30" s="15"/>
      <c r="IT30" s="69"/>
      <c r="IU30" s="79"/>
      <c r="IV30" s="69"/>
      <c r="IW30" s="95"/>
      <c r="IX30" s="71"/>
      <c r="IY30" s="393">
        <f>SUM(IY8:IY29)</f>
        <v>898884.4</v>
      </c>
      <c r="JB30" s="106"/>
      <c r="JC30" s="15"/>
      <c r="JD30" s="69"/>
      <c r="JE30" s="252"/>
      <c r="JF30" s="105"/>
      <c r="JG30" s="70"/>
      <c r="JH30" s="71"/>
      <c r="JI30" s="393">
        <f>SUM(JI8:JI29)</f>
        <v>893855.4</v>
      </c>
      <c r="JL30" s="106"/>
      <c r="JM30" s="15"/>
      <c r="JN30" s="92"/>
      <c r="JO30" s="244"/>
      <c r="JP30" s="105"/>
      <c r="JQ30" s="70"/>
      <c r="JR30" s="71"/>
      <c r="JV30" s="106"/>
      <c r="JW30" s="15"/>
      <c r="JX30" s="69"/>
      <c r="JY30" s="252"/>
      <c r="JZ30" s="105"/>
      <c r="KA30" s="70"/>
      <c r="KB30" s="71"/>
      <c r="KF30" s="106"/>
      <c r="KG30" s="15"/>
      <c r="KH30" s="69"/>
      <c r="KI30" s="252"/>
      <c r="KJ30" s="105"/>
      <c r="KK30" s="70"/>
      <c r="KL30" s="71"/>
      <c r="KP30" s="106"/>
      <c r="KQ30" s="15"/>
      <c r="KR30" s="69"/>
      <c r="KS30" s="252"/>
      <c r="KT30" s="105"/>
      <c r="KU30" s="70"/>
      <c r="KV30" s="71"/>
      <c r="KZ30" s="106"/>
      <c r="LA30" s="15"/>
      <c r="LB30" s="92"/>
      <c r="LC30" s="244"/>
      <c r="LD30" s="69"/>
      <c r="LE30" s="95"/>
      <c r="LF30" s="71"/>
      <c r="LG30" s="393">
        <f>SUM(LG8:LG29)</f>
        <v>968076.89999999991</v>
      </c>
      <c r="LJ30" s="106"/>
      <c r="LK30" s="15"/>
      <c r="LL30" s="92"/>
      <c r="LM30" s="244"/>
      <c r="LN30" s="92"/>
      <c r="LO30" s="95"/>
      <c r="LP30" s="71"/>
      <c r="LQ30" s="393">
        <f>SUM(LQ8:LQ29)</f>
        <v>955142.79</v>
      </c>
      <c r="LT30" s="106"/>
      <c r="LU30" s="15"/>
      <c r="LV30" s="69"/>
      <c r="LW30" s="244"/>
      <c r="LX30" s="69"/>
      <c r="LY30" s="95"/>
      <c r="LZ30" s="71"/>
      <c r="MA30" s="393">
        <f>SUM(MA8:MA29)</f>
        <v>990379.2</v>
      </c>
      <c r="MB30" s="393"/>
      <c r="MD30" s="106"/>
      <c r="ME30" s="15"/>
      <c r="MF30" s="296"/>
      <c r="MG30" s="244"/>
      <c r="MH30" s="69"/>
      <c r="MI30" s="95"/>
      <c r="MJ30" s="71"/>
      <c r="MK30" s="71"/>
      <c r="MN30" s="106"/>
      <c r="MO30" s="15"/>
      <c r="MP30" s="69"/>
      <c r="MQ30" s="244"/>
      <c r="MR30" s="69"/>
      <c r="MS30" s="95"/>
      <c r="MT30" s="71"/>
      <c r="MU30" s="71"/>
      <c r="MX30" s="106"/>
      <c r="MY30" s="15"/>
      <c r="MZ30" s="69"/>
      <c r="NA30" s="244"/>
      <c r="NB30" s="69"/>
      <c r="NC30" s="95"/>
      <c r="ND30" s="71"/>
      <c r="NE30" s="71"/>
      <c r="NI30" s="15"/>
      <c r="NJ30" s="69"/>
      <c r="NK30" s="244"/>
      <c r="NL30" s="69"/>
      <c r="NM30" s="95"/>
      <c r="NN30" s="71"/>
      <c r="NO30" s="71">
        <f>SUM(NO8:NO29)</f>
        <v>1016714.8999999999</v>
      </c>
      <c r="NR30" s="106"/>
      <c r="NS30" s="15"/>
      <c r="NT30" s="69"/>
      <c r="NU30" s="244"/>
      <c r="NV30" s="69"/>
      <c r="NW30" s="95"/>
      <c r="NX30" s="71"/>
      <c r="NY30" s="71">
        <f>SUM(NY8:NY29)</f>
        <v>1018877.3</v>
      </c>
      <c r="OC30" s="15"/>
      <c r="OD30" s="69"/>
      <c r="OE30" s="244"/>
      <c r="OF30" s="69"/>
      <c r="OG30" s="95"/>
      <c r="OH30" s="71"/>
      <c r="OI30" s="71">
        <f>SUM(OI8:OI29)</f>
        <v>1008780.8</v>
      </c>
      <c r="OL30" s="106"/>
      <c r="OM30" s="15"/>
      <c r="ON30" s="69"/>
      <c r="OO30" s="244"/>
      <c r="OP30" s="69"/>
      <c r="OQ30" s="95"/>
      <c r="OR30" s="71"/>
      <c r="OS30" s="71">
        <f>SUM(OS8:OS29)</f>
        <v>1019841.9000000001</v>
      </c>
      <c r="OV30" s="106"/>
      <c r="OW30" s="15"/>
      <c r="OX30" s="69"/>
      <c r="OY30" s="244"/>
      <c r="OZ30" s="92"/>
      <c r="PA30" s="95"/>
      <c r="PB30" s="71"/>
      <c r="PC30" s="71">
        <f>SUM(PC8:PC29)</f>
        <v>1019613.9999999999</v>
      </c>
      <c r="PG30" s="15"/>
      <c r="PH30" s="69"/>
      <c r="PI30" s="244"/>
      <c r="PJ30" s="69"/>
      <c r="PK30" s="95"/>
      <c r="PL30" s="71"/>
      <c r="PM30" s="1198">
        <f>SUM(PM8:PM29)</f>
        <v>1000580.1100000001</v>
      </c>
      <c r="PN30" s="71"/>
      <c r="PQ30" s="106"/>
      <c r="PR30" s="15"/>
      <c r="PS30" s="69"/>
      <c r="PT30" s="244"/>
      <c r="PU30" s="69"/>
      <c r="PV30" s="95"/>
      <c r="PW30" s="71"/>
      <c r="PX30" s="71"/>
      <c r="QA30" s="106"/>
      <c r="QB30" s="15"/>
      <c r="QC30" s="69"/>
      <c r="QD30" s="135"/>
      <c r="QE30" s="69"/>
      <c r="QK30" s="106"/>
      <c r="QL30" s="15"/>
      <c r="QM30" s="69"/>
      <c r="QN30" s="244"/>
      <c r="QO30" s="92"/>
      <c r="QP30" s="95"/>
      <c r="QQ30" s="71"/>
      <c r="QR30" s="71"/>
      <c r="QU30" s="106"/>
      <c r="QV30" s="15"/>
      <c r="QW30" s="69"/>
      <c r="QX30" s="244"/>
      <c r="QY30" s="92"/>
      <c r="QZ30" s="95"/>
      <c r="RA30" s="71"/>
      <c r="RB30" s="71"/>
      <c r="RE30" s="106"/>
      <c r="RF30" s="15"/>
      <c r="RG30" s="69"/>
      <c r="RH30" s="244"/>
      <c r="RI30" s="92"/>
      <c r="RJ30" s="95"/>
      <c r="RK30" s="71"/>
      <c r="RL30" s="71"/>
      <c r="RO30" s="106"/>
      <c r="RP30" s="15"/>
      <c r="RQ30" s="69"/>
      <c r="RR30" s="244"/>
      <c r="RS30" s="69"/>
      <c r="RT30" s="95"/>
      <c r="RU30" s="71"/>
      <c r="RV30" s="71"/>
      <c r="RY30" s="106"/>
      <c r="RZ30" s="15"/>
      <c r="SA30" s="69"/>
      <c r="SB30" s="135"/>
      <c r="SC30" s="69"/>
      <c r="SF30" s="71"/>
      <c r="SI30" s="106"/>
      <c r="SJ30" s="15"/>
      <c r="SK30" s="69"/>
      <c r="SM30" s="69"/>
      <c r="SP30" s="71"/>
      <c r="SS30" s="106"/>
      <c r="ST30" s="15"/>
      <c r="SU30" s="69"/>
      <c r="SV30" s="244"/>
      <c r="SW30" s="69"/>
      <c r="SZ30" s="71"/>
      <c r="TC30" s="106"/>
      <c r="TD30" s="15"/>
      <c r="TE30" s="69"/>
      <c r="TG30" s="69"/>
      <c r="TJ30" s="71"/>
      <c r="TM30" s="106"/>
      <c r="TN30" s="15"/>
      <c r="TO30" s="69"/>
      <c r="TQ30" s="69"/>
      <c r="TW30" s="106"/>
      <c r="TX30" s="15"/>
      <c r="TY30" s="69"/>
      <c r="UA30" s="69"/>
      <c r="UF30" s="106"/>
      <c r="UG30" s="15"/>
      <c r="UH30" s="69"/>
      <c r="UJ30" s="69"/>
      <c r="UO30" s="106"/>
      <c r="UP30" s="15"/>
      <c r="UQ30" s="69"/>
      <c r="US30" s="69"/>
      <c r="UX30" s="106"/>
      <c r="UY30" s="15"/>
      <c r="UZ30" s="69"/>
      <c r="VB30" s="69"/>
      <c r="VG30" s="106"/>
      <c r="VH30" s="15"/>
      <c r="VI30" s="69"/>
      <c r="VK30" s="69"/>
      <c r="VP30" s="106"/>
      <c r="VQ30" s="15">
        <v>23</v>
      </c>
      <c r="VR30" s="69"/>
      <c r="VT30" s="69"/>
      <c r="VY30" s="106"/>
      <c r="VZ30" s="15">
        <v>23</v>
      </c>
      <c r="WA30" s="69"/>
      <c r="WB30" s="79"/>
      <c r="WC30" s="69"/>
      <c r="WD30" s="95"/>
      <c r="WE30" s="71"/>
      <c r="WH30" s="106"/>
      <c r="WI30" s="15">
        <v>23</v>
      </c>
      <c r="WJ30" s="69"/>
      <c r="WK30" s="79"/>
      <c r="WL30" s="69"/>
      <c r="WM30" s="95"/>
      <c r="WN30" s="71"/>
      <c r="WQ30" s="106"/>
      <c r="WR30" s="15">
        <v>23</v>
      </c>
      <c r="WS30" s="69"/>
      <c r="WT30" s="79"/>
      <c r="WU30" s="69"/>
      <c r="WV30" s="95"/>
      <c r="WW30" s="71"/>
      <c r="WZ30" s="106"/>
      <c r="XA30" s="15">
        <v>23</v>
      </c>
      <c r="XB30" s="69"/>
      <c r="XC30" s="79"/>
      <c r="XD30" s="69"/>
      <c r="XE30" s="95"/>
      <c r="XF30" s="71"/>
      <c r="XI30" s="106"/>
      <c r="XJ30" s="15">
        <v>23</v>
      </c>
      <c r="XK30" s="69"/>
      <c r="XL30" s="79"/>
      <c r="XM30" s="69"/>
      <c r="XN30" s="95"/>
      <c r="XO30" s="71"/>
      <c r="XR30" s="106"/>
      <c r="XS30" s="15">
        <v>23</v>
      </c>
      <c r="XT30" s="69"/>
      <c r="XU30" s="79"/>
      <c r="XV30" s="69"/>
      <c r="XW30" s="95"/>
      <c r="XX30" s="71"/>
      <c r="YA30" s="106"/>
      <c r="YB30" s="15">
        <v>23</v>
      </c>
      <c r="YC30" s="69"/>
      <c r="YD30" s="79"/>
      <c r="YE30" s="69"/>
      <c r="YF30" s="95"/>
      <c r="YG30" s="71"/>
      <c r="YJ30" s="106"/>
      <c r="YK30" s="15">
        <v>23</v>
      </c>
      <c r="YL30" s="69"/>
      <c r="YM30" s="79"/>
      <c r="YN30" s="69"/>
      <c r="YO30" s="95"/>
      <c r="YP30" s="71"/>
      <c r="YS30" s="106"/>
      <c r="YT30" s="15">
        <v>23</v>
      </c>
      <c r="YU30" s="69"/>
      <c r="YV30" s="79"/>
      <c r="YW30" s="69"/>
      <c r="YX30" s="95"/>
      <c r="YY30" s="71"/>
      <c r="ZB30" s="106"/>
      <c r="ZC30" s="15">
        <v>23</v>
      </c>
      <c r="ZD30" s="69"/>
      <c r="ZE30" s="79"/>
      <c r="ZF30" s="69"/>
      <c r="ZG30" s="95"/>
      <c r="ZH30" s="71"/>
      <c r="ZK30" s="106"/>
      <c r="ZL30" s="15">
        <v>23</v>
      </c>
      <c r="ZM30" s="69"/>
      <c r="ZN30" s="79"/>
      <c r="ZO30" s="69"/>
      <c r="ZP30" s="95"/>
      <c r="ZQ30" s="71"/>
      <c r="ZT30" s="106"/>
      <c r="ZU30" s="15">
        <v>23</v>
      </c>
      <c r="ZV30" s="69"/>
      <c r="ZW30" s="79"/>
      <c r="ZX30" s="69"/>
      <c r="ZY30" s="95"/>
      <c r="ZZ30" s="71"/>
      <c r="AAC30" s="106"/>
      <c r="AAD30" s="15">
        <v>23</v>
      </c>
      <c r="AAE30" s="69"/>
      <c r="AAF30" s="79"/>
      <c r="AAG30" s="69"/>
      <c r="AAH30" s="95"/>
      <c r="AAI30" s="71"/>
      <c r="AAL30" s="106"/>
      <c r="AAM30" s="15">
        <v>23</v>
      </c>
      <c r="AAN30" s="69"/>
      <c r="AAO30" s="79"/>
      <c r="AAP30" s="69"/>
      <c r="AAQ30" s="95"/>
      <c r="AAR30" s="71"/>
      <c r="AAU30" s="106"/>
      <c r="AAV30" s="15">
        <v>23</v>
      </c>
      <c r="AAW30" s="69"/>
      <c r="AAX30" s="79"/>
      <c r="AAY30" s="69"/>
      <c r="AAZ30" s="95"/>
      <c r="ABA30" s="71"/>
      <c r="ABD30" s="106"/>
      <c r="ABE30" s="15">
        <v>23</v>
      </c>
      <c r="ABF30" s="69"/>
      <c r="ABG30" s="79"/>
      <c r="ABH30" s="69"/>
      <c r="ABI30" s="95"/>
      <c r="ABJ30" s="71"/>
      <c r="ABM30" s="106"/>
      <c r="ABN30" s="15">
        <v>23</v>
      </c>
      <c r="ABO30" s="69"/>
      <c r="ABP30" s="79"/>
      <c r="ABQ30" s="69"/>
      <c r="ABR30" s="95"/>
      <c r="ABS30" s="71"/>
      <c r="ABV30" s="106"/>
      <c r="ABW30" s="15">
        <v>23</v>
      </c>
      <c r="ABX30" s="69"/>
      <c r="ABY30" s="79"/>
      <c r="ABZ30" s="69"/>
      <c r="ACA30" s="95"/>
      <c r="ACB30" s="71"/>
      <c r="ACE30" s="106"/>
      <c r="ACF30" s="15">
        <v>23</v>
      </c>
      <c r="ACG30" s="69"/>
      <c r="ACH30" s="79"/>
      <c r="ACI30" s="69"/>
      <c r="ACJ30" s="95"/>
      <c r="ACK30" s="71"/>
      <c r="ACN30" s="106"/>
      <c r="ACO30" s="15">
        <v>23</v>
      </c>
      <c r="ACP30" s="69"/>
      <c r="ACQ30" s="79"/>
      <c r="ACR30" s="69"/>
      <c r="ACS30" s="95"/>
      <c r="ACT30" s="71"/>
      <c r="ACW30" s="106"/>
      <c r="ACX30" s="15">
        <v>23</v>
      </c>
      <c r="ACY30" s="69"/>
      <c r="ACZ30" s="79"/>
      <c r="ADA30" s="69"/>
      <c r="ADB30" s="95"/>
      <c r="ADC30" s="71"/>
      <c r="ADF30" s="106"/>
      <c r="ADG30" s="15">
        <v>23</v>
      </c>
      <c r="ADH30" s="69"/>
      <c r="ADI30" s="79"/>
      <c r="ADJ30" s="69"/>
      <c r="ADK30" s="95"/>
      <c r="ADL30" s="71"/>
      <c r="ADO30" s="106"/>
      <c r="ADP30" s="15">
        <v>23</v>
      </c>
      <c r="ADQ30" s="69"/>
      <c r="ADR30" s="79"/>
      <c r="ADS30" s="69"/>
      <c r="ADT30" s="95"/>
      <c r="ADU30" s="71"/>
      <c r="ADX30" s="106"/>
      <c r="ADY30" s="15">
        <v>23</v>
      </c>
      <c r="ADZ30" s="69"/>
      <c r="AEA30" s="79"/>
      <c r="AEB30" s="69"/>
      <c r="AEC30" s="95"/>
      <c r="AED30" s="71"/>
      <c r="AEG30" s="106"/>
      <c r="AEH30" s="15">
        <v>23</v>
      </c>
      <c r="AEI30" s="69"/>
      <c r="AEJ30" s="79"/>
      <c r="AEK30" s="69"/>
      <c r="AEL30" s="95"/>
      <c r="AEM30" s="71"/>
      <c r="AEP30" s="106"/>
      <c r="AEQ30" s="15">
        <v>23</v>
      </c>
      <c r="AER30" s="69"/>
      <c r="AES30" s="79"/>
      <c r="AET30" s="69"/>
      <c r="AEU30" s="95"/>
      <c r="AEV30" s="71"/>
      <c r="AEY30" s="106"/>
      <c r="AEZ30" s="15">
        <v>23</v>
      </c>
      <c r="AFA30" s="69"/>
      <c r="AFB30" s="79"/>
      <c r="AFC30" s="69"/>
      <c r="AFD30" s="95"/>
      <c r="AFE30" s="71"/>
    </row>
    <row r="31" spans="1:840" ht="16.5" thickBot="1" x14ac:dyDescent="0.3">
      <c r="A31" s="137">
        <v>28</v>
      </c>
      <c r="B31" s="75" t="str">
        <f t="shared" ref="B31:H31" si="79">JU5</f>
        <v>SEABOARD FOODS</v>
      </c>
      <c r="C31" s="75" t="str">
        <f t="shared" si="79"/>
        <v>Seaboard</v>
      </c>
      <c r="D31" s="102" t="str">
        <f t="shared" si="79"/>
        <v>PED. 91143502</v>
      </c>
      <c r="E31" s="135">
        <f t="shared" si="79"/>
        <v>44912</v>
      </c>
      <c r="F31" s="86">
        <f t="shared" si="79"/>
        <v>19022.099999999999</v>
      </c>
      <c r="G31" s="73">
        <f t="shared" si="79"/>
        <v>21</v>
      </c>
      <c r="H31" s="48">
        <f t="shared" si="79"/>
        <v>18972.900000000001</v>
      </c>
      <c r="I31" s="105">
        <f t="shared" ref="I31:I92" si="80">F31-H31</f>
        <v>49.19999999999709</v>
      </c>
      <c r="L31" s="183"/>
      <c r="M31" s="37"/>
      <c r="N31" s="300"/>
      <c r="O31" s="301"/>
      <c r="P31" s="204"/>
      <c r="Q31" s="139"/>
      <c r="R31" s="198"/>
      <c r="S31" s="397"/>
      <c r="V31" s="183"/>
      <c r="W31" s="37"/>
      <c r="X31" s="300"/>
      <c r="Y31" s="301"/>
      <c r="Z31" s="204"/>
      <c r="AA31" s="139"/>
      <c r="AB31" s="198"/>
      <c r="AC31" s="397"/>
      <c r="AF31" s="183"/>
      <c r="AG31" s="305"/>
      <c r="AH31" s="300"/>
      <c r="AI31" s="203"/>
      <c r="AJ31" s="300"/>
      <c r="AK31" s="316"/>
      <c r="AL31" s="198"/>
      <c r="AM31" s="397"/>
      <c r="AP31" s="183"/>
      <c r="AQ31" s="37"/>
      <c r="AR31" s="309"/>
      <c r="AS31" s="301"/>
      <c r="AT31" s="309"/>
      <c r="AU31" s="316"/>
      <c r="AV31" s="198"/>
      <c r="AW31" s="397"/>
      <c r="AZ31" s="183"/>
      <c r="BA31" s="37"/>
      <c r="BB31" s="309"/>
      <c r="BC31" s="301"/>
      <c r="BD31" s="309"/>
      <c r="BE31" s="316"/>
      <c r="BF31" s="198"/>
      <c r="BG31" s="397"/>
      <c r="BJ31" s="183"/>
      <c r="BK31" s="305"/>
      <c r="BL31" s="300"/>
      <c r="BM31" s="307"/>
      <c r="BN31" s="300"/>
      <c r="BO31" s="279"/>
      <c r="BT31" s="183"/>
      <c r="BU31" s="37"/>
      <c r="BV31" s="300"/>
      <c r="BW31" s="203"/>
      <c r="BX31" s="300"/>
      <c r="BY31" s="279"/>
      <c r="BZ31" s="198"/>
      <c r="CD31" s="183"/>
      <c r="CE31" s="37">
        <v>24</v>
      </c>
      <c r="CF31" s="300"/>
      <c r="CG31" s="359"/>
      <c r="CH31" s="300"/>
      <c r="CI31" s="360"/>
      <c r="CJ31" s="361"/>
      <c r="CN31" s="183"/>
      <c r="CO31" s="37"/>
      <c r="CP31" s="300"/>
      <c r="CQ31" s="308"/>
      <c r="CR31" s="300"/>
      <c r="CS31" s="279"/>
      <c r="CT31" s="71"/>
      <c r="CU31" s="398">
        <f>SUM(CU8:CU30)</f>
        <v>973110.6</v>
      </c>
      <c r="CX31" s="183"/>
      <c r="CY31" s="37"/>
      <c r="CZ31" s="300"/>
      <c r="DA31" s="308"/>
      <c r="DB31" s="300"/>
      <c r="DC31" s="279"/>
      <c r="DD31" s="71"/>
      <c r="DH31" s="183"/>
      <c r="DI31" s="37"/>
      <c r="DJ31" s="300"/>
      <c r="DK31" s="308"/>
      <c r="DL31" s="300"/>
      <c r="DM31" s="279"/>
      <c r="DN31" s="71"/>
      <c r="DR31" s="183"/>
      <c r="DS31" s="37"/>
      <c r="DT31" s="300"/>
      <c r="DU31" s="308"/>
      <c r="DV31" s="300"/>
      <c r="DW31" s="279"/>
      <c r="DX31" s="198"/>
      <c r="EB31" s="183"/>
      <c r="EC31" s="37"/>
      <c r="ED31" s="300"/>
      <c r="EE31" s="301"/>
      <c r="EF31" s="204"/>
      <c r="EG31" s="139"/>
      <c r="EH31" s="198"/>
      <c r="EI31" s="397"/>
      <c r="EL31" s="183"/>
      <c r="EM31" s="37"/>
      <c r="EN31" s="300"/>
      <c r="EO31" s="301"/>
      <c r="EP31" s="204"/>
      <c r="EQ31" s="139"/>
      <c r="ER31" s="198"/>
      <c r="ES31" s="397"/>
      <c r="EV31" s="183"/>
      <c r="EW31" s="37"/>
      <c r="EX31" s="300"/>
      <c r="EY31" s="301"/>
      <c r="EZ31" s="204"/>
      <c r="FA31" s="139"/>
      <c r="FB31" s="198"/>
      <c r="FC31" s="397"/>
      <c r="FF31" s="310"/>
      <c r="FG31" s="37"/>
      <c r="FH31" s="300"/>
      <c r="FI31" s="203"/>
      <c r="FJ31" s="300"/>
      <c r="FK31" s="139"/>
      <c r="FL31" s="198"/>
      <c r="FM31" s="397"/>
      <c r="FP31" s="183"/>
      <c r="FQ31" s="37"/>
      <c r="FR31" s="309"/>
      <c r="FS31" s="301"/>
      <c r="FT31" s="309"/>
      <c r="FU31" s="139"/>
      <c r="FV31" s="198"/>
      <c r="FW31" s="397"/>
      <c r="FZ31" s="183"/>
      <c r="GA31" s="37"/>
      <c r="GB31" s="300"/>
      <c r="GC31" s="301"/>
      <c r="GD31" s="204"/>
      <c r="GE31" s="139"/>
      <c r="GF31" s="198"/>
      <c r="GG31" s="397"/>
      <c r="GJ31" s="183"/>
      <c r="GK31" s="305"/>
      <c r="GL31" s="353"/>
      <c r="GM31" s="306"/>
      <c r="GN31" s="300"/>
      <c r="GO31" s="279"/>
      <c r="GT31" s="262"/>
      <c r="GU31" s="52"/>
      <c r="GV31" s="311"/>
      <c r="GW31" s="312"/>
      <c r="GX31" s="313"/>
      <c r="GY31" s="314"/>
      <c r="GZ31" s="315"/>
      <c r="HA31" s="400"/>
      <c r="HD31" s="262"/>
      <c r="HE31" s="52"/>
      <c r="HF31" s="311"/>
      <c r="HG31" s="312"/>
      <c r="HH31" s="313"/>
      <c r="HI31" s="314"/>
      <c r="HJ31" s="315"/>
      <c r="HK31" s="400"/>
      <c r="HN31" s="183"/>
      <c r="HO31" s="37"/>
      <c r="HP31" s="309"/>
      <c r="HQ31" s="301"/>
      <c r="HR31" s="204"/>
      <c r="HS31" s="139"/>
      <c r="HT31" s="198"/>
      <c r="HU31" s="397"/>
      <c r="HX31" s="183"/>
      <c r="HY31" s="37"/>
      <c r="HZ31" s="300"/>
      <c r="IA31" s="301"/>
      <c r="IB31" s="204"/>
      <c r="IC31" s="139"/>
      <c r="ID31" s="198"/>
      <c r="IE31" s="397"/>
      <c r="IH31" s="183"/>
      <c r="II31" s="37"/>
      <c r="IJ31" s="300"/>
      <c r="IK31" s="301"/>
      <c r="IL31" s="204"/>
      <c r="IM31" s="139"/>
      <c r="IN31" s="198"/>
      <c r="IO31" s="397"/>
      <c r="IR31" s="183"/>
      <c r="IS31" s="305"/>
      <c r="IT31" s="300"/>
      <c r="IU31" s="306"/>
      <c r="IV31" s="300"/>
      <c r="IW31" s="279"/>
      <c r="JB31" s="183"/>
      <c r="JC31" s="37"/>
      <c r="JD31" s="300"/>
      <c r="JE31" s="301"/>
      <c r="JF31" s="204"/>
      <c r="JG31" s="139"/>
      <c r="JH31" s="198"/>
      <c r="JI31" s="397"/>
      <c r="JL31" s="183"/>
      <c r="JM31" s="37"/>
      <c r="JN31" s="309"/>
      <c r="JO31" s="301"/>
      <c r="JP31" s="204"/>
      <c r="JQ31" s="139"/>
      <c r="JR31" s="198"/>
      <c r="JS31" s="397"/>
      <c r="JV31" s="183"/>
      <c r="JW31" s="37"/>
      <c r="JX31" s="300"/>
      <c r="JY31" s="301"/>
      <c r="JZ31" s="204"/>
      <c r="KA31" s="139"/>
      <c r="KB31" s="198"/>
      <c r="KC31" s="397"/>
      <c r="KF31" s="183"/>
      <c r="KG31" s="37"/>
      <c r="KH31" s="300"/>
      <c r="KI31" s="301"/>
      <c r="KJ31" s="204"/>
      <c r="KK31" s="139"/>
      <c r="KL31" s="198"/>
      <c r="KM31" s="397"/>
      <c r="KP31" s="183"/>
      <c r="KQ31" s="37"/>
      <c r="KR31" s="300"/>
      <c r="KS31" s="301"/>
      <c r="KT31" s="204"/>
      <c r="KU31" s="139"/>
      <c r="KV31" s="198"/>
      <c r="KW31" s="397"/>
      <c r="KZ31" s="183"/>
      <c r="LA31" s="305"/>
      <c r="LB31" s="300"/>
      <c r="LC31" s="203"/>
      <c r="LD31" s="300"/>
      <c r="LE31" s="316"/>
      <c r="LF31" s="198"/>
      <c r="LG31" s="397"/>
      <c r="LJ31" s="183"/>
      <c r="LK31" s="37"/>
      <c r="LL31" s="309"/>
      <c r="LM31" s="301"/>
      <c r="LN31" s="309"/>
      <c r="LO31" s="316"/>
      <c r="LP31" s="198"/>
      <c r="LQ31" s="397"/>
      <c r="LT31" s="183"/>
      <c r="LU31" s="37"/>
      <c r="LV31" s="204"/>
      <c r="LW31" s="203"/>
      <c r="LX31" s="300"/>
      <c r="LY31" s="316"/>
      <c r="LZ31" s="317"/>
      <c r="MA31" s="397"/>
      <c r="MB31" s="397"/>
      <c r="MD31" s="183"/>
      <c r="ME31" s="37"/>
      <c r="MF31" s="185"/>
      <c r="MG31" s="203"/>
      <c r="MH31" s="300"/>
      <c r="MI31" s="95"/>
      <c r="MJ31" s="71"/>
      <c r="MK31" s="71"/>
      <c r="MN31" s="183"/>
      <c r="MO31" s="37"/>
      <c r="MP31" s="300"/>
      <c r="MQ31" s="302"/>
      <c r="MR31" s="303"/>
      <c r="MS31" s="304"/>
      <c r="MT31" s="290"/>
      <c r="MU31" s="290"/>
      <c r="MX31" s="183"/>
      <c r="MY31" s="37"/>
      <c r="MZ31" s="300"/>
      <c r="NA31" s="302"/>
      <c r="NB31" s="303"/>
      <c r="NC31" s="304"/>
      <c r="ND31" s="290"/>
      <c r="NE31" s="290"/>
      <c r="NH31" s="305"/>
      <c r="NI31" s="37"/>
      <c r="NJ31" s="279"/>
      <c r="NK31" s="203"/>
      <c r="NL31" s="279"/>
      <c r="NM31" s="316"/>
      <c r="NN31" s="198"/>
      <c r="NO31" s="71"/>
      <c r="NR31" s="183"/>
      <c r="NS31" s="37"/>
      <c r="NT31" s="300"/>
      <c r="NU31" s="302"/>
      <c r="NV31" s="303"/>
      <c r="NW31" s="304"/>
      <c r="NX31" s="290"/>
      <c r="NY31" s="290"/>
      <c r="OB31" s="305"/>
      <c r="OC31" s="37"/>
      <c r="OD31" s="279"/>
      <c r="OE31" s="203"/>
      <c r="OF31" s="279"/>
      <c r="OG31" s="316"/>
      <c r="OH31" s="198"/>
      <c r="OI31" s="71"/>
      <c r="OL31" s="183"/>
      <c r="OM31" s="37"/>
      <c r="ON31" s="300"/>
      <c r="OO31" s="203"/>
      <c r="OP31" s="300"/>
      <c r="OQ31" s="316"/>
      <c r="OR31" s="71"/>
      <c r="OS31" s="71"/>
      <c r="OV31" s="183"/>
      <c r="OW31" s="305"/>
      <c r="OX31" s="300"/>
      <c r="OY31" s="203"/>
      <c r="OZ31" s="300"/>
      <c r="PA31" s="316"/>
      <c r="PB31" s="71"/>
      <c r="PC31" s="71"/>
      <c r="PF31" s="305"/>
      <c r="PG31" s="37"/>
      <c r="PH31" s="279"/>
      <c r="PI31" s="203"/>
      <c r="PJ31" s="279"/>
      <c r="PK31" s="316"/>
      <c r="PL31" s="198"/>
      <c r="PM31" s="71"/>
      <c r="PN31" s="71"/>
      <c r="PQ31" s="183"/>
      <c r="PR31" s="305"/>
      <c r="PS31" s="300"/>
      <c r="PT31" s="308"/>
      <c r="PU31" s="300"/>
      <c r="PV31" s="279"/>
      <c r="QA31" s="183"/>
      <c r="QB31" s="305"/>
      <c r="QC31" s="300"/>
      <c r="QD31" s="306"/>
      <c r="QE31" s="300"/>
      <c r="QF31" s="279"/>
      <c r="QK31" s="183"/>
      <c r="QL31" s="305"/>
      <c r="QM31" s="300"/>
      <c r="QN31" s="308"/>
      <c r="QO31" s="300"/>
      <c r="QP31" s="316"/>
      <c r="QQ31" s="71"/>
      <c r="QR31" s="71"/>
      <c r="QU31" s="183"/>
      <c r="QV31" s="305"/>
      <c r="QW31" s="300"/>
      <c r="QX31" s="203"/>
      <c r="QY31" s="300"/>
      <c r="QZ31" s="316"/>
      <c r="RA31" s="71"/>
      <c r="RB31" s="71"/>
      <c r="RE31" s="183"/>
      <c r="RF31" s="305"/>
      <c r="RG31" s="300"/>
      <c r="RH31" s="203"/>
      <c r="RI31" s="300"/>
      <c r="RJ31" s="316"/>
      <c r="RK31" s="71"/>
      <c r="RL31" s="71"/>
      <c r="RO31" s="183"/>
      <c r="RP31" s="305"/>
      <c r="RQ31" s="300"/>
      <c r="RR31" s="306"/>
      <c r="RS31" s="300"/>
      <c r="RT31" s="279"/>
      <c r="RV31" s="71"/>
      <c r="RY31" s="318"/>
      <c r="RZ31" s="319"/>
      <c r="SA31" s="300"/>
      <c r="SB31" s="306"/>
      <c r="SC31" s="300"/>
      <c r="SD31" s="279"/>
      <c r="SF31" s="71"/>
      <c r="SI31" s="318"/>
      <c r="SJ31" s="319"/>
      <c r="SK31" s="300"/>
      <c r="SL31" s="306"/>
      <c r="SM31" s="300"/>
      <c r="SN31" s="279"/>
      <c r="SP31" s="71"/>
      <c r="SS31" s="318"/>
      <c r="ST31" s="319"/>
      <c r="SU31" s="300"/>
      <c r="SV31" s="306"/>
      <c r="SW31" s="300"/>
      <c r="SX31" s="279"/>
      <c r="SZ31" s="71"/>
      <c r="TC31" s="318"/>
      <c r="TD31" s="319"/>
      <c r="TE31" s="300"/>
      <c r="TF31" s="306"/>
      <c r="TG31" s="300"/>
      <c r="TH31" s="279"/>
      <c r="TJ31" s="71"/>
      <c r="TM31" s="318"/>
      <c r="TN31" s="319"/>
      <c r="TO31" s="300"/>
      <c r="TP31" s="306"/>
      <c r="TQ31" s="300"/>
      <c r="TR31" s="279"/>
      <c r="TW31" s="318"/>
      <c r="TX31" s="319"/>
      <c r="TY31" s="300"/>
      <c r="TZ31" s="306"/>
      <c r="UA31" s="300"/>
      <c r="UB31" s="279"/>
      <c r="UF31" s="318"/>
      <c r="UG31" s="319"/>
      <c r="UH31" s="300"/>
      <c r="UI31" s="306"/>
      <c r="UJ31" s="300"/>
      <c r="UK31" s="279"/>
      <c r="UO31" s="318"/>
      <c r="UP31" s="319"/>
      <c r="UQ31" s="300"/>
      <c r="UR31" s="306"/>
      <c r="US31" s="300"/>
      <c r="UT31" s="279"/>
      <c r="UX31" s="318"/>
      <c r="UY31" s="319"/>
      <c r="UZ31" s="300"/>
      <c r="VA31" s="306"/>
      <c r="VB31" s="300"/>
      <c r="VC31" s="279"/>
      <c r="VG31" s="318"/>
      <c r="VH31" s="319"/>
      <c r="VI31" s="300"/>
      <c r="VJ31" s="306"/>
      <c r="VK31" s="300"/>
      <c r="VL31" s="279"/>
      <c r="VP31" s="318"/>
      <c r="VQ31" s="136">
        <v>24</v>
      </c>
      <c r="VR31" s="300"/>
      <c r="VS31" s="306"/>
      <c r="VT31" s="300"/>
      <c r="VU31" s="279"/>
      <c r="VY31" s="318"/>
      <c r="VZ31" s="136">
        <v>24</v>
      </c>
      <c r="WA31" s="300"/>
      <c r="WB31" s="79"/>
      <c r="WC31" s="300"/>
      <c r="WD31" s="279"/>
      <c r="WE31" s="71"/>
      <c r="WH31" s="318"/>
      <c r="WI31" s="136">
        <v>24</v>
      </c>
      <c r="WJ31" s="300"/>
      <c r="WK31" s="79"/>
      <c r="WL31" s="300"/>
      <c r="WM31" s="279"/>
      <c r="WN31" s="71"/>
      <c r="WQ31" s="318"/>
      <c r="WR31" s="136">
        <v>24</v>
      </c>
      <c r="WS31" s="300"/>
      <c r="WT31" s="79"/>
      <c r="WU31" s="300"/>
      <c r="WV31" s="279"/>
      <c r="WW31" s="71"/>
      <c r="WZ31" s="318"/>
      <c r="XA31" s="136">
        <v>24</v>
      </c>
      <c r="XB31" s="300"/>
      <c r="XC31" s="79"/>
      <c r="XD31" s="300"/>
      <c r="XE31" s="279"/>
      <c r="XF31" s="71"/>
      <c r="XI31" s="318"/>
      <c r="XJ31" s="136">
        <v>24</v>
      </c>
      <c r="XK31" s="300"/>
      <c r="XL31" s="79"/>
      <c r="XM31" s="300"/>
      <c r="XN31" s="279"/>
      <c r="XO31" s="71"/>
      <c r="XR31" s="318"/>
      <c r="XS31" s="136">
        <v>24</v>
      </c>
      <c r="XT31" s="300"/>
      <c r="XU31" s="79"/>
      <c r="XV31" s="300"/>
      <c r="XW31" s="279"/>
      <c r="XX31" s="71"/>
      <c r="YA31" s="318"/>
      <c r="YB31" s="136">
        <v>24</v>
      </c>
      <c r="YC31" s="300"/>
      <c r="YD31" s="79"/>
      <c r="YE31" s="300"/>
      <c r="YF31" s="279"/>
      <c r="YG31" s="71"/>
      <c r="YJ31" s="318"/>
      <c r="YK31" s="136">
        <v>24</v>
      </c>
      <c r="YL31" s="300"/>
      <c r="YM31" s="79"/>
      <c r="YN31" s="300"/>
      <c r="YO31" s="279"/>
      <c r="YP31" s="71"/>
      <c r="YS31" s="318"/>
      <c r="YT31" s="136">
        <v>24</v>
      </c>
      <c r="YU31" s="300"/>
      <c r="YV31" s="79"/>
      <c r="YW31" s="300"/>
      <c r="YX31" s="279"/>
      <c r="YY31" s="71"/>
      <c r="ZB31" s="318"/>
      <c r="ZC31" s="136"/>
      <c r="ZD31" s="300"/>
      <c r="ZE31" s="79"/>
      <c r="ZF31" s="300"/>
      <c r="ZG31" s="279"/>
      <c r="ZH31" s="71"/>
      <c r="ZK31" s="318"/>
      <c r="ZL31" s="136">
        <v>24</v>
      </c>
      <c r="ZM31" s="300"/>
      <c r="ZN31" s="79"/>
      <c r="ZO31" s="300"/>
      <c r="ZP31" s="279"/>
      <c r="ZQ31" s="71"/>
      <c r="ZT31" s="318"/>
      <c r="ZU31" s="136">
        <v>24</v>
      </c>
      <c r="ZV31" s="300"/>
      <c r="ZW31" s="79"/>
      <c r="ZX31" s="300"/>
      <c r="ZY31" s="279"/>
      <c r="ZZ31" s="71"/>
      <c r="AAC31" s="318"/>
      <c r="AAD31" s="136">
        <v>24</v>
      </c>
      <c r="AAE31" s="300"/>
      <c r="AAF31" s="79"/>
      <c r="AAG31" s="300"/>
      <c r="AAH31" s="279"/>
      <c r="AAI31" s="71"/>
      <c r="AAL31" s="318"/>
      <c r="AAM31" s="136">
        <v>24</v>
      </c>
      <c r="AAN31" s="300"/>
      <c r="AAO31" s="79"/>
      <c r="AAP31" s="300"/>
      <c r="AAQ31" s="279"/>
      <c r="AAR31" s="71"/>
      <c r="AAU31" s="318"/>
      <c r="AAV31" s="136">
        <v>24</v>
      </c>
      <c r="AAW31" s="300"/>
      <c r="AAX31" s="79"/>
      <c r="AAY31" s="300"/>
      <c r="AAZ31" s="279"/>
      <c r="ABA31" s="71"/>
      <c r="ABD31" s="318"/>
      <c r="ABE31" s="136">
        <v>24</v>
      </c>
      <c r="ABF31" s="300"/>
      <c r="ABG31" s="79"/>
      <c r="ABH31" s="300"/>
      <c r="ABI31" s="279"/>
      <c r="ABJ31" s="71"/>
      <c r="ABM31" s="318"/>
      <c r="ABN31" s="136">
        <v>24</v>
      </c>
      <c r="ABO31" s="300"/>
      <c r="ABP31" s="79"/>
      <c r="ABQ31" s="300"/>
      <c r="ABR31" s="279"/>
      <c r="ABS31" s="71"/>
      <c r="ABV31" s="318"/>
      <c r="ABW31" s="136">
        <v>24</v>
      </c>
      <c r="ABX31" s="300"/>
      <c r="ABY31" s="79"/>
      <c r="ABZ31" s="300"/>
      <c r="ACA31" s="279"/>
      <c r="ACB31" s="71"/>
      <c r="ACE31" s="318"/>
      <c r="ACF31" s="136">
        <v>24</v>
      </c>
      <c r="ACG31" s="300"/>
      <c r="ACH31" s="79"/>
      <c r="ACI31" s="300"/>
      <c r="ACJ31" s="279"/>
      <c r="ACK31" s="71"/>
      <c r="ACN31" s="318"/>
      <c r="ACO31" s="136">
        <v>24</v>
      </c>
      <c r="ACP31" s="300"/>
      <c r="ACQ31" s="79"/>
      <c r="ACR31" s="300"/>
      <c r="ACS31" s="279"/>
      <c r="ACT31" s="71"/>
      <c r="ACW31" s="318"/>
      <c r="ACX31" s="136">
        <v>24</v>
      </c>
      <c r="ACY31" s="300"/>
      <c r="ACZ31" s="79"/>
      <c r="ADA31" s="300"/>
      <c r="ADB31" s="279"/>
      <c r="ADC31" s="71"/>
      <c r="ADF31" s="318"/>
      <c r="ADG31" s="136">
        <v>24</v>
      </c>
      <c r="ADH31" s="300"/>
      <c r="ADI31" s="79"/>
      <c r="ADJ31" s="300"/>
      <c r="ADK31" s="279"/>
      <c r="ADL31" s="71"/>
      <c r="ADO31" s="318"/>
      <c r="ADP31" s="136">
        <v>24</v>
      </c>
      <c r="ADQ31" s="300"/>
      <c r="ADR31" s="79"/>
      <c r="ADS31" s="300"/>
      <c r="ADT31" s="279"/>
      <c r="ADU31" s="71"/>
      <c r="ADX31" s="318"/>
      <c r="ADY31" s="136">
        <v>24</v>
      </c>
      <c r="ADZ31" s="300"/>
      <c r="AEA31" s="79"/>
      <c r="AEB31" s="300"/>
      <c r="AEC31" s="279"/>
      <c r="AED31" s="71"/>
      <c r="AEG31" s="318"/>
      <c r="AEH31" s="136">
        <v>24</v>
      </c>
      <c r="AEI31" s="300"/>
      <c r="AEJ31" s="79"/>
      <c r="AEK31" s="300"/>
      <c r="AEL31" s="279"/>
      <c r="AEM31" s="71"/>
      <c r="AEP31" s="318"/>
      <c r="AEQ31" s="136">
        <v>24</v>
      </c>
      <c r="AER31" s="300"/>
      <c r="AES31" s="79"/>
      <c r="AET31" s="300"/>
      <c r="AEU31" s="279"/>
      <c r="AEV31" s="71"/>
      <c r="AEY31" s="318"/>
      <c r="AEZ31" s="136">
        <v>24</v>
      </c>
      <c r="AFA31" s="300"/>
      <c r="AFB31" s="79"/>
      <c r="AFC31" s="300"/>
      <c r="AFD31" s="279"/>
      <c r="AFE31" s="71"/>
    </row>
    <row r="32" spans="1:840" ht="18.75" customHeight="1" thickTop="1" thickBot="1" x14ac:dyDescent="0.3">
      <c r="A32" s="137">
        <v>29</v>
      </c>
      <c r="B32" s="75" t="str">
        <f t="shared" ref="B32:H32" si="81">KE5</f>
        <v>SEABOARD FOODS</v>
      </c>
      <c r="C32" s="75" t="str">
        <f t="shared" si="81"/>
        <v>Seaboard</v>
      </c>
      <c r="D32" s="102" t="str">
        <f t="shared" si="81"/>
        <v>PED. 91307670</v>
      </c>
      <c r="E32" s="135">
        <f t="shared" si="81"/>
        <v>44915</v>
      </c>
      <c r="F32" s="86">
        <f t="shared" si="81"/>
        <v>19011.71</v>
      </c>
      <c r="G32" s="73">
        <f t="shared" si="81"/>
        <v>21</v>
      </c>
      <c r="H32" s="48">
        <f t="shared" si="81"/>
        <v>19014.5</v>
      </c>
      <c r="I32" s="105">
        <f t="shared" si="80"/>
        <v>-2.7900000000008731</v>
      </c>
      <c r="N32" s="105">
        <f>SUM(N8:N31)</f>
        <v>18759.599999999999</v>
      </c>
      <c r="P32" s="105">
        <f>SUM(P8:P31)</f>
        <v>18759.599999999999</v>
      </c>
      <c r="S32" s="393"/>
      <c r="X32" s="105">
        <f>SUM(X8:X31)</f>
        <v>18842.3</v>
      </c>
      <c r="Z32" s="105">
        <f>SUM(Z8:Z31)</f>
        <v>18842.3</v>
      </c>
      <c r="AH32" s="105">
        <f>SUM(AH8:AH31)</f>
        <v>18935.559999999998</v>
      </c>
      <c r="AJ32" s="105">
        <f>SUM(AJ8:AJ31)</f>
        <v>18935.559999999998</v>
      </c>
      <c r="AM32" s="393"/>
      <c r="AR32" s="86">
        <f>SUM(AR8:AR31)</f>
        <v>19169.8</v>
      </c>
      <c r="AT32" s="105">
        <f>SUM(AT8:AT31)</f>
        <v>19169.8</v>
      </c>
      <c r="AZ32" s="75"/>
      <c r="BB32" s="86">
        <f>SUM(BB8:BB31)</f>
        <v>18007.599999999995</v>
      </c>
      <c r="BD32" s="105">
        <f>SUM(BD8:BD31)</f>
        <v>18007.599999999995</v>
      </c>
      <c r="BL32" s="105">
        <f>SUM(BL8:BL31)</f>
        <v>18351.309999999998</v>
      </c>
      <c r="BN32" s="105">
        <f>SUM(BN8:BN31)</f>
        <v>18351.309999999998</v>
      </c>
      <c r="BV32" s="105">
        <f>SUM(BV8:BV31)</f>
        <v>1123</v>
      </c>
      <c r="BX32" s="105">
        <f>SUM(BX8:BX31)</f>
        <v>1123</v>
      </c>
      <c r="CE32" s="15"/>
      <c r="CF32" s="105">
        <f>SUM(CF8:CF31)</f>
        <v>18031.999999999996</v>
      </c>
      <c r="CH32" s="105">
        <f>SUM(CH8:CH31)</f>
        <v>18031.999999999996</v>
      </c>
      <c r="CP32" s="105">
        <f>SUM(CP8:CP31)</f>
        <v>19080.599999999999</v>
      </c>
      <c r="CR32" s="105">
        <f>SUM(CR8:CR31)</f>
        <v>19080.599999999999</v>
      </c>
      <c r="CZ32" s="105">
        <f>SUM(CZ8:CZ31)</f>
        <v>18651.620000000003</v>
      </c>
      <c r="DB32" s="105">
        <f>SUM(DB8:DB31)</f>
        <v>18651.620000000003</v>
      </c>
      <c r="DJ32" s="105">
        <f>SUM(DJ8:DJ31)</f>
        <v>18798.699999999997</v>
      </c>
      <c r="DL32" s="105">
        <f>SUM(DL8:DL31)</f>
        <v>18798.699999999997</v>
      </c>
      <c r="DT32" s="105">
        <f>SUM(DT8:DT31)</f>
        <v>18341.810000000001</v>
      </c>
      <c r="DV32" s="105">
        <f>SUM(DV8:DV31)</f>
        <v>18341.810000000001</v>
      </c>
      <c r="ED32" s="105">
        <f>SUM(ED8:ED31)</f>
        <v>18871.3</v>
      </c>
      <c r="EF32" s="105">
        <f>SUM(EF8:EF31)</f>
        <v>18871.3</v>
      </c>
      <c r="EN32" s="105">
        <f>SUM(EN8:EN31)</f>
        <v>19185.5</v>
      </c>
      <c r="EP32" s="105">
        <f>SUM(EP8:EP31)</f>
        <v>19185.5</v>
      </c>
      <c r="EX32" s="105">
        <f>SUM(EX8:EX31)</f>
        <v>18820.999999999996</v>
      </c>
      <c r="EZ32" s="105">
        <f>SUM(EZ8:EZ31)</f>
        <v>18820.999999999996</v>
      </c>
      <c r="FH32" s="132">
        <f>SUM(FH8:FH31)</f>
        <v>18826.699999999997</v>
      </c>
      <c r="FJ32" s="105">
        <f>SUM(FJ8:FJ31)</f>
        <v>18826.699999999997</v>
      </c>
      <c r="FR32" s="105">
        <f>SUM(FR8:FR31)</f>
        <v>18959.160000000003</v>
      </c>
      <c r="FS32" s="105"/>
      <c r="FT32" s="105">
        <f>SUM(FT8:FT31)</f>
        <v>18959.160000000003</v>
      </c>
      <c r="FU32" s="75" t="s">
        <v>36</v>
      </c>
      <c r="GB32" s="105">
        <f>SUM(GB8:GB31)</f>
        <v>18917.400000000001</v>
      </c>
      <c r="GD32" s="105">
        <f>SUM(GD8:GD31)</f>
        <v>18917.400000000001</v>
      </c>
      <c r="GL32" s="105">
        <f>SUM(GL8:GL31)</f>
        <v>18872.699999999997</v>
      </c>
      <c r="GN32" s="105">
        <f>SUM(GN8:GN31)</f>
        <v>18872.699999999997</v>
      </c>
      <c r="GV32" s="105">
        <f>SUM(GV8:GV31)</f>
        <v>19058.699999999997</v>
      </c>
      <c r="GX32" s="105">
        <f>SUM(GX8:GX31)</f>
        <v>19058.699999999997</v>
      </c>
      <c r="HF32" s="105">
        <f>SUM(HF8:HF31)</f>
        <v>18618.48</v>
      </c>
      <c r="HH32" s="105">
        <f>SUM(HH8:HH31)</f>
        <v>18618.48</v>
      </c>
      <c r="HP32" s="105">
        <f>SUM(HP8:HP31)</f>
        <v>18237.499999999996</v>
      </c>
      <c r="HR32" s="105">
        <f>SUM(HR8:HR31)</f>
        <v>18237.499999999996</v>
      </c>
      <c r="HZ32" s="105">
        <f>SUM(HZ8:HZ31)</f>
        <v>18785.000000000004</v>
      </c>
      <c r="IB32" s="105">
        <f>SUM(IB8:IB31)</f>
        <v>18785.000000000004</v>
      </c>
      <c r="IJ32" s="105">
        <f>SUM(IJ8:IJ31)</f>
        <v>19114.3</v>
      </c>
      <c r="IL32" s="105">
        <f>SUM(IL8:IL31)</f>
        <v>19114.3</v>
      </c>
      <c r="IT32" s="105">
        <f>SUM(IT8:IT31)</f>
        <v>19125.2</v>
      </c>
      <c r="IV32" s="105">
        <f>SUM(IV8:IV31)</f>
        <v>19125.2</v>
      </c>
      <c r="JD32" s="105">
        <f>SUM(JD8:JD31)</f>
        <v>19018.199999999997</v>
      </c>
      <c r="JF32" s="105">
        <f>SUM(JF8:JF31)</f>
        <v>19018.199999999997</v>
      </c>
      <c r="JN32" s="105">
        <f>SUM(JN8:JN31)</f>
        <v>19056.099999999999</v>
      </c>
      <c r="JP32" s="105">
        <f>SUM(JP8:JP31)</f>
        <v>19056.099999999999</v>
      </c>
      <c r="JX32" s="105">
        <f>SUM(JX8:JX31)</f>
        <v>18972.899999999998</v>
      </c>
      <c r="JZ32" s="105">
        <f>SUM(JZ8:JZ31)</f>
        <v>18972.899999999998</v>
      </c>
      <c r="KH32" s="105">
        <f>SUM(KH8:KH31)</f>
        <v>19014.5</v>
      </c>
      <c r="KJ32" s="105">
        <f>SUM(KJ8:KJ31)</f>
        <v>19014.5</v>
      </c>
      <c r="KR32" s="105">
        <f>SUM(KR8:KR31)</f>
        <v>18755.479999999996</v>
      </c>
      <c r="KT32" s="105">
        <f>SUM(KT8:KT31)</f>
        <v>18755.479999999996</v>
      </c>
      <c r="LB32" s="105">
        <f>SUM(LB8:LB31)</f>
        <v>18981.900000000001</v>
      </c>
      <c r="LD32" s="105">
        <f>SUM(LD8:LD31)</f>
        <v>18981.900000000001</v>
      </c>
      <c r="LL32" s="86">
        <f>SUM(LL8:LL31)</f>
        <v>18728.29</v>
      </c>
      <c r="LN32" s="105">
        <f>SUM(LN8:LN31)</f>
        <v>18728.29</v>
      </c>
      <c r="LU32" s="140"/>
      <c r="LV32" s="86">
        <f>SUM(LV8:LV31)</f>
        <v>18686.400000000001</v>
      </c>
      <c r="LW32" s="86"/>
      <c r="LX32" s="86">
        <f>SUM(LX8:LX31)</f>
        <v>18686.400000000001</v>
      </c>
      <c r="MA32" s="393"/>
      <c r="MB32" s="393"/>
      <c r="MF32" s="105">
        <f>SUM(MF8:MF31)</f>
        <v>19014.300000000003</v>
      </c>
      <c r="MH32" s="105">
        <f>SUM(MH8:MH31)</f>
        <v>19014.300000000003</v>
      </c>
      <c r="MP32" s="86">
        <f>SUM(MP8:MP31)</f>
        <v>18390.809999999994</v>
      </c>
      <c r="MR32" s="86">
        <f>SUM(MR8:MR31)</f>
        <v>18390.809999999994</v>
      </c>
      <c r="MZ32" s="86">
        <f>SUM(MZ8:MZ31)</f>
        <v>19064.400000000001</v>
      </c>
      <c r="NB32" s="86">
        <f>SUM(NB8:NB31)</f>
        <v>19064.400000000001</v>
      </c>
      <c r="NJ32" s="105">
        <f>SUM(NJ8:NJ31)</f>
        <v>19183.3</v>
      </c>
      <c r="NL32" s="105">
        <f>SUM(NL8:NL31)</f>
        <v>19183.3</v>
      </c>
      <c r="NT32" s="86">
        <f>SUM(NT8:NT31)</f>
        <v>19224.099999999995</v>
      </c>
      <c r="NV32" s="86">
        <f>SUM(NV8:NV31)</f>
        <v>19224.099999999995</v>
      </c>
      <c r="OD32" s="105">
        <f>SUM(OD8:OD31)</f>
        <v>19033.599999999999</v>
      </c>
      <c r="OF32" s="105">
        <f>SUM(OF8:OF31)</f>
        <v>19033.599999999999</v>
      </c>
      <c r="ON32" s="105">
        <f>SUM(ON8:ON31)</f>
        <v>19242.299999999996</v>
      </c>
      <c r="OO32" s="105"/>
      <c r="OP32" s="105">
        <f>SUM(OP8:OP31)</f>
        <v>19242.299999999996</v>
      </c>
      <c r="OX32" s="105">
        <f>SUM(OX8:OX31)</f>
        <v>19238</v>
      </c>
      <c r="OZ32" s="105">
        <f>SUM(OZ8:OZ31)</f>
        <v>19238</v>
      </c>
      <c r="PH32" s="105">
        <f>SUM(PH8:PH31)</f>
        <v>18878.869999999995</v>
      </c>
      <c r="PJ32" s="105">
        <f>SUM(PJ8:PJ31)</f>
        <v>18878.869999999995</v>
      </c>
      <c r="PS32" s="105">
        <f>SUM(PS8:PS31)</f>
        <v>19235.100000000002</v>
      </c>
      <c r="PT32" s="105"/>
      <c r="PU32" s="105">
        <f>SUM(PU8:PU31)</f>
        <v>19235.100000000002</v>
      </c>
      <c r="QC32" s="105">
        <f>SUM(QC8:QC31)</f>
        <v>18793.140000000003</v>
      </c>
      <c r="QE32" s="105">
        <f>SUM(QE8:QE31)</f>
        <v>18793.140000000003</v>
      </c>
      <c r="QM32" s="105">
        <f>SUM(QM8:QM31)</f>
        <v>17920.8</v>
      </c>
      <c r="QO32" s="105">
        <f>SUM(QO8:QO31)</f>
        <v>17920.8</v>
      </c>
      <c r="QW32" s="105">
        <f>SUM(QW8:QW31)</f>
        <v>18100.400000000001</v>
      </c>
      <c r="QY32" s="105">
        <f>SUM(QY8:QY31)</f>
        <v>18100.400000000001</v>
      </c>
      <c r="RG32" s="105">
        <f>SUM(RG8:RG31)</f>
        <v>18778.700000000004</v>
      </c>
      <c r="RI32" s="105">
        <f>SUM(RI8:RI31)</f>
        <v>18778.700000000004</v>
      </c>
      <c r="RQ32" s="105">
        <f>SUM(RQ8:RQ31)</f>
        <v>18913.900000000001</v>
      </c>
      <c r="RS32" s="105">
        <f>SUM(RS8:RS31)</f>
        <v>18913.900000000001</v>
      </c>
      <c r="SA32" s="105">
        <f>SUM(SA8:SA31)</f>
        <v>18697.879999999997</v>
      </c>
      <c r="SC32" s="105">
        <f>SUM(SC8:SC31)</f>
        <v>18697.879999999997</v>
      </c>
      <c r="SK32" s="105">
        <f>SUM(SK8:SK31)</f>
        <v>18520.990000000002</v>
      </c>
      <c r="SM32" s="105">
        <f>SUM(SM8:SM31)</f>
        <v>18520.990000000002</v>
      </c>
      <c r="SU32" s="105">
        <f>SUM(SU8:SU31)</f>
        <v>18978.099999999999</v>
      </c>
      <c r="SW32" s="105">
        <f>SUM(SW8:SW31)</f>
        <v>12674</v>
      </c>
      <c r="TE32" s="105">
        <f>SUM(TE8:TE31)</f>
        <v>19027.199999999997</v>
      </c>
      <c r="TG32" s="105">
        <f>SUM(TG8:TG31)</f>
        <v>19027.199999999997</v>
      </c>
      <c r="TO32" s="105">
        <f>SUM(TO8:TO31)</f>
        <v>0</v>
      </c>
      <c r="TQ32" s="105">
        <f>SUM(TQ8:TQ31)</f>
        <v>0</v>
      </c>
      <c r="TY32" s="105">
        <f>SUM(TY8:TY31)</f>
        <v>0</v>
      </c>
      <c r="UA32" s="105">
        <f>SUM(UA8:UA31)</f>
        <v>0</v>
      </c>
      <c r="UH32" s="105">
        <f>SUM(UH8:UH31)</f>
        <v>0</v>
      </c>
      <c r="UJ32" s="105">
        <f>SUM(UJ8:UJ31)</f>
        <v>0</v>
      </c>
      <c r="UQ32" s="105">
        <f>SUM(UQ8:UQ31)</f>
        <v>0</v>
      </c>
      <c r="US32" s="105">
        <f>SUM(US8:US31)</f>
        <v>0</v>
      </c>
      <c r="UZ32" s="105">
        <f>SUM(UZ8:UZ31)</f>
        <v>0</v>
      </c>
      <c r="VB32" s="105">
        <f>SUM(VB8:VB31)</f>
        <v>0</v>
      </c>
      <c r="VI32" s="105">
        <f>SUM(VI8:VI31)</f>
        <v>0</v>
      </c>
      <c r="VK32" s="105">
        <f>SUM(VK8:VK31)</f>
        <v>0</v>
      </c>
      <c r="VR32" s="105">
        <f>SUM(VR8:VR31)</f>
        <v>0</v>
      </c>
      <c r="VT32" s="105">
        <f>SUM(VT8:VT31)</f>
        <v>22</v>
      </c>
      <c r="WA32" s="105">
        <f>SUM(WA8:WA31)</f>
        <v>0</v>
      </c>
      <c r="WC32" s="105">
        <f>SUM(WC8:WC31)</f>
        <v>22</v>
      </c>
      <c r="WJ32" s="105">
        <f>SUM(WJ8:WJ31)</f>
        <v>0</v>
      </c>
      <c r="WL32" s="105">
        <f>SUM(WL8:WL31)</f>
        <v>22</v>
      </c>
      <c r="WS32" s="105">
        <f>SUM(WS8:WS31)</f>
        <v>0</v>
      </c>
      <c r="WU32" s="105">
        <f>SUM(WU8:WU31)</f>
        <v>22</v>
      </c>
      <c r="XB32" s="105">
        <f>SUM(XB8:XB31)</f>
        <v>0</v>
      </c>
      <c r="XD32" s="105">
        <f>SUM(XD8:XD31)</f>
        <v>22</v>
      </c>
      <c r="XK32" s="105">
        <f>SUM(XK8:XK31)</f>
        <v>0</v>
      </c>
      <c r="XM32" s="105">
        <f>SUM(XM8:XM31)</f>
        <v>22</v>
      </c>
      <c r="XT32" s="105">
        <f>SUM(XT8:XT31)</f>
        <v>0</v>
      </c>
      <c r="XV32" s="105">
        <f>SUM(XV8:XV31)</f>
        <v>22</v>
      </c>
      <c r="YC32" s="105">
        <f>SUM(YC8:YC31)</f>
        <v>0</v>
      </c>
      <c r="YE32" s="105">
        <f>SUM(YE8:YE31)</f>
        <v>22</v>
      </c>
      <c r="YL32" s="105">
        <f>SUM(YL8:YL31)</f>
        <v>0</v>
      </c>
      <c r="YN32" s="105">
        <f>SUM(YN8:YN31)</f>
        <v>22</v>
      </c>
      <c r="YU32" s="105">
        <f>SUM(YU8:YU31)</f>
        <v>0</v>
      </c>
      <c r="YW32" s="105">
        <f>SUM(YW8:YW31)</f>
        <v>22</v>
      </c>
      <c r="ZD32" s="105">
        <f>SUM(ZD8:ZD31)</f>
        <v>0</v>
      </c>
      <c r="ZF32" s="105">
        <f>SUM(ZF8:ZF31)</f>
        <v>22</v>
      </c>
      <c r="ZM32" s="105">
        <f>SUM(ZM8:ZM31)</f>
        <v>0</v>
      </c>
      <c r="ZO32" s="105">
        <f>SUM(ZO8:ZO31)</f>
        <v>22</v>
      </c>
      <c r="ZV32" s="105">
        <f>SUM(ZV8:ZV31)</f>
        <v>0</v>
      </c>
      <c r="ZX32" s="105">
        <f>SUM(ZX8:ZX31)</f>
        <v>22</v>
      </c>
      <c r="AAE32" s="105">
        <f>SUM(AAE8:AAE31)</f>
        <v>0</v>
      </c>
      <c r="AAG32" s="105">
        <f>SUM(AAG8:AAG31)</f>
        <v>22</v>
      </c>
      <c r="AAN32" s="105">
        <f>SUM(AAN8:AAN31)</f>
        <v>0</v>
      </c>
      <c r="AAP32" s="105">
        <f>SUM(AAP8:AAP31)</f>
        <v>22</v>
      </c>
      <c r="AAW32" s="105">
        <f>SUM(AAW8:AAW31)</f>
        <v>0</v>
      </c>
      <c r="AAY32" s="105">
        <f>SUM(AAY8:AAY31)</f>
        <v>22</v>
      </c>
      <c r="ABF32" s="105">
        <f>SUM(ABF8:ABF31)</f>
        <v>0</v>
      </c>
      <c r="ABH32" s="105">
        <f>SUM(ABH8:ABH31)</f>
        <v>22</v>
      </c>
      <c r="ABO32" s="105">
        <f>SUM(ABO8:ABO31)</f>
        <v>0</v>
      </c>
      <c r="ABQ32" s="105">
        <f>SUM(ABQ8:ABQ31)</f>
        <v>22</v>
      </c>
      <c r="ABX32" s="105">
        <f>SUM(ABX8:ABX31)</f>
        <v>0</v>
      </c>
      <c r="ABZ32" s="105">
        <f>SUM(ABZ8:ABZ31)</f>
        <v>22</v>
      </c>
      <c r="ACG32" s="105">
        <f>SUM(ACG8:ACG31)</f>
        <v>0</v>
      </c>
      <c r="ACI32" s="105">
        <f>SUM(ACI8:ACI31)</f>
        <v>22</v>
      </c>
      <c r="ACP32" s="105">
        <f>SUM(ACP8:ACP31)</f>
        <v>0</v>
      </c>
      <c r="ACR32" s="105">
        <f>SUM(ACR8:ACR31)</f>
        <v>22</v>
      </c>
      <c r="ACY32" s="105">
        <f>SUM(ACY8:ACY31)</f>
        <v>0</v>
      </c>
      <c r="ADA32" s="105">
        <f>SUM(ADA8:ADA31)</f>
        <v>22</v>
      </c>
      <c r="ADH32" s="105">
        <f>SUM(ADH8:ADH31)</f>
        <v>0</v>
      </c>
      <c r="ADJ32" s="105">
        <f>SUM(ADJ8:ADJ31)</f>
        <v>22</v>
      </c>
      <c r="ADQ32" s="105">
        <f>SUM(ADQ8:ADQ31)</f>
        <v>0</v>
      </c>
      <c r="ADS32" s="105">
        <f>SUM(ADS8:ADS31)</f>
        <v>22</v>
      </c>
      <c r="ADZ32" s="105">
        <f>SUM(ADZ8:ADZ31)</f>
        <v>0</v>
      </c>
      <c r="AEB32" s="105">
        <f>SUM(AEB8:AEB31)</f>
        <v>22</v>
      </c>
      <c r="AEI32" s="105">
        <f>SUM(AEI8:AEI31)</f>
        <v>0</v>
      </c>
      <c r="AEK32" s="105">
        <f>SUM(AEK8:AEK31)</f>
        <v>22</v>
      </c>
      <c r="AER32" s="105">
        <f>SUM(AER8:AER31)</f>
        <v>0</v>
      </c>
      <c r="AET32" s="105">
        <f>SUM(AET8:AET31)</f>
        <v>22</v>
      </c>
      <c r="AFA32" s="105">
        <f>SUM(AFA8:AFA31)</f>
        <v>0</v>
      </c>
      <c r="AFC32" s="105">
        <f>SUM(AFC8:AFC31)</f>
        <v>22</v>
      </c>
    </row>
    <row r="33" spans="1:835" ht="18.75" customHeight="1" thickBot="1" x14ac:dyDescent="0.3">
      <c r="A33" s="137">
        <v>30</v>
      </c>
      <c r="B33" s="75" t="str">
        <f t="shared" ref="B33:H33" si="82">KO5</f>
        <v>TYSON FRESH MEAT</v>
      </c>
      <c r="C33" s="75" t="str">
        <f t="shared" si="82"/>
        <v xml:space="preserve">I  B P </v>
      </c>
      <c r="D33" s="102" t="str">
        <f t="shared" si="82"/>
        <v>PED. 91354477</v>
      </c>
      <c r="E33" s="135">
        <f t="shared" si="82"/>
        <v>44915</v>
      </c>
      <c r="F33" s="86">
        <f t="shared" si="82"/>
        <v>18789.09</v>
      </c>
      <c r="G33" s="73">
        <f t="shared" si="82"/>
        <v>20</v>
      </c>
      <c r="H33" s="48">
        <f t="shared" si="82"/>
        <v>18755.48</v>
      </c>
      <c r="I33" s="105">
        <f t="shared" si="80"/>
        <v>33.610000000000582</v>
      </c>
      <c r="N33" s="954" t="s">
        <v>21</v>
      </c>
      <c r="O33" s="955"/>
      <c r="P33" s="141">
        <f>Q5-P32</f>
        <v>0</v>
      </c>
      <c r="S33" s="393"/>
      <c r="X33" s="954" t="s">
        <v>21</v>
      </c>
      <c r="Y33" s="955"/>
      <c r="Z33" s="141">
        <f>AA5-Z32</f>
        <v>0</v>
      </c>
      <c r="AH33" s="260" t="s">
        <v>21</v>
      </c>
      <c r="AI33" s="261"/>
      <c r="AJ33" s="216">
        <f>AK5-AJ32</f>
        <v>0</v>
      </c>
      <c r="AM33" s="393"/>
      <c r="AR33" s="260" t="s">
        <v>21</v>
      </c>
      <c r="AS33" s="261"/>
      <c r="AT33" s="141">
        <f>AU5-AT32</f>
        <v>0</v>
      </c>
      <c r="AZ33" s="75"/>
      <c r="BB33" s="260" t="s">
        <v>21</v>
      </c>
      <c r="BC33" s="261"/>
      <c r="BD33" s="141">
        <f>BE5-BD32</f>
        <v>0</v>
      </c>
      <c r="BL33" s="260" t="s">
        <v>21</v>
      </c>
      <c r="BM33" s="261"/>
      <c r="BN33" s="141">
        <f>BL32-BN32</f>
        <v>0</v>
      </c>
      <c r="BV33" s="260" t="s">
        <v>21</v>
      </c>
      <c r="BW33" s="261"/>
      <c r="BX33" s="141">
        <f>BV32-BX32</f>
        <v>0</v>
      </c>
      <c r="CE33" s="15"/>
      <c r="CF33" s="260" t="s">
        <v>21</v>
      </c>
      <c r="CG33" s="261"/>
      <c r="CH33" s="141">
        <f>CF32-CH32</f>
        <v>0</v>
      </c>
      <c r="CP33" s="260" t="s">
        <v>21</v>
      </c>
      <c r="CQ33" s="261"/>
      <c r="CR33" s="141">
        <f>CP32-CR32</f>
        <v>0</v>
      </c>
      <c r="CZ33" s="260" t="s">
        <v>21</v>
      </c>
      <c r="DA33" s="261"/>
      <c r="DB33" s="141">
        <f>CZ32-DB32</f>
        <v>0</v>
      </c>
      <c r="DJ33" s="260" t="s">
        <v>21</v>
      </c>
      <c r="DK33" s="261"/>
      <c r="DL33" s="141">
        <f>DJ32-DL32</f>
        <v>0</v>
      </c>
      <c r="DT33" s="260" t="s">
        <v>21</v>
      </c>
      <c r="DU33" s="261"/>
      <c r="DV33" s="141">
        <f>DT32-DV32</f>
        <v>0</v>
      </c>
      <c r="ED33" s="260" t="s">
        <v>21</v>
      </c>
      <c r="EE33" s="261"/>
      <c r="EF33" s="141">
        <f>ED32-EF32</f>
        <v>0</v>
      </c>
      <c r="EN33" s="260" t="s">
        <v>21</v>
      </c>
      <c r="EO33" s="261"/>
      <c r="EP33" s="141">
        <f>EN32-EP32</f>
        <v>0</v>
      </c>
      <c r="EX33" s="260" t="s">
        <v>21</v>
      </c>
      <c r="EY33" s="261"/>
      <c r="EZ33" s="141">
        <f>EX32-EZ32</f>
        <v>0</v>
      </c>
      <c r="FH33" s="260" t="s">
        <v>21</v>
      </c>
      <c r="FI33" s="261"/>
      <c r="FJ33" s="141">
        <f>FH32-FJ32</f>
        <v>0</v>
      </c>
      <c r="FR33" s="260" t="s">
        <v>21</v>
      </c>
      <c r="FS33" s="261"/>
      <c r="FT33" s="141">
        <f>FR32-FT32</f>
        <v>0</v>
      </c>
      <c r="GB33" s="260" t="s">
        <v>21</v>
      </c>
      <c r="GC33" s="261"/>
      <c r="GD33" s="141">
        <f>GE5-GD32</f>
        <v>0</v>
      </c>
      <c r="GL33" s="260" t="s">
        <v>21</v>
      </c>
      <c r="GM33" s="261"/>
      <c r="GN33" s="141">
        <f>GL32-GN32</f>
        <v>0</v>
      </c>
      <c r="GV33" s="260" t="s">
        <v>21</v>
      </c>
      <c r="GW33" s="261"/>
      <c r="GX33" s="141">
        <f>GV32-GX32</f>
        <v>0</v>
      </c>
      <c r="HF33" s="260" t="s">
        <v>21</v>
      </c>
      <c r="HG33" s="261"/>
      <c r="HH33" s="141">
        <f>HF32-HH32</f>
        <v>0</v>
      </c>
      <c r="HP33" s="260" t="s">
        <v>21</v>
      </c>
      <c r="HQ33" s="261"/>
      <c r="HR33" s="141">
        <f>HP32-HR32</f>
        <v>0</v>
      </c>
      <c r="HZ33" s="260" t="s">
        <v>21</v>
      </c>
      <c r="IA33" s="261"/>
      <c r="IB33" s="141">
        <f>IC5-IB32</f>
        <v>0</v>
      </c>
      <c r="IJ33" s="260" t="s">
        <v>21</v>
      </c>
      <c r="IK33" s="261"/>
      <c r="IL33" s="141">
        <f>IJ32-IL32</f>
        <v>0</v>
      </c>
      <c r="IT33" s="260" t="s">
        <v>21</v>
      </c>
      <c r="IU33" s="261"/>
      <c r="IV33" s="141">
        <f>IT32-IV32</f>
        <v>0</v>
      </c>
      <c r="JD33" s="260" t="s">
        <v>21</v>
      </c>
      <c r="JE33" s="261"/>
      <c r="JF33" s="141">
        <f>JD32-JF32</f>
        <v>0</v>
      </c>
      <c r="JN33" s="260" t="s">
        <v>21</v>
      </c>
      <c r="JO33" s="261"/>
      <c r="JP33" s="141">
        <f>JN32-JP32</f>
        <v>0</v>
      </c>
      <c r="JX33" s="260" t="s">
        <v>21</v>
      </c>
      <c r="JY33" s="261"/>
      <c r="JZ33" s="141">
        <f>KA5-JZ32</f>
        <v>0</v>
      </c>
      <c r="KH33" s="260" t="s">
        <v>21</v>
      </c>
      <c r="KI33" s="261"/>
      <c r="KJ33" s="141">
        <f>KK5-KJ32</f>
        <v>0</v>
      </c>
      <c r="KR33" s="260" t="s">
        <v>21</v>
      </c>
      <c r="KS33" s="261"/>
      <c r="KT33" s="141">
        <f>KU5-KT32</f>
        <v>0</v>
      </c>
      <c r="LB33" s="260" t="s">
        <v>21</v>
      </c>
      <c r="LC33" s="261"/>
      <c r="LD33" s="216">
        <f>LE5-LD32</f>
        <v>0</v>
      </c>
      <c r="LL33" s="260" t="s">
        <v>21</v>
      </c>
      <c r="LM33" s="261"/>
      <c r="LN33" s="141">
        <f>LO5-LN32</f>
        <v>0</v>
      </c>
      <c r="MA33" s="393"/>
      <c r="MB33" s="393"/>
      <c r="MF33" s="260" t="s">
        <v>21</v>
      </c>
      <c r="MG33" s="261"/>
      <c r="MH33" s="141">
        <f>MI5-MH32</f>
        <v>0</v>
      </c>
      <c r="MP33" s="260" t="s">
        <v>21</v>
      </c>
      <c r="MQ33" s="261"/>
      <c r="MR33" s="141">
        <f>MS5-MR32</f>
        <v>0</v>
      </c>
      <c r="MZ33" s="260" t="s">
        <v>21</v>
      </c>
      <c r="NA33" s="261"/>
      <c r="NB33" s="141">
        <f>NC5-NB32</f>
        <v>0</v>
      </c>
      <c r="NJ33" s="260" t="s">
        <v>21</v>
      </c>
      <c r="NK33" s="261"/>
      <c r="NL33" s="141">
        <f>NM5-NL32</f>
        <v>0</v>
      </c>
      <c r="NT33" s="260" t="s">
        <v>21</v>
      </c>
      <c r="NU33" s="261"/>
      <c r="NV33" s="141">
        <f>NW5-NV32</f>
        <v>0</v>
      </c>
      <c r="OD33" s="260" t="s">
        <v>21</v>
      </c>
      <c r="OE33" s="261"/>
      <c r="OF33" s="141">
        <f>OG5-OF32</f>
        <v>0</v>
      </c>
      <c r="ON33" s="260" t="s">
        <v>21</v>
      </c>
      <c r="OO33" s="261"/>
      <c r="OP33" s="141">
        <f>OQ5-OP32</f>
        <v>0</v>
      </c>
      <c r="OX33" s="260" t="s">
        <v>21</v>
      </c>
      <c r="OY33" s="261"/>
      <c r="OZ33" s="141">
        <f>PA5-OZ32</f>
        <v>0</v>
      </c>
      <c r="PH33" s="260" t="s">
        <v>21</v>
      </c>
      <c r="PI33" s="261"/>
      <c r="PJ33" s="141">
        <f>PJ32-PH32</f>
        <v>0</v>
      </c>
      <c r="PS33" s="260" t="s">
        <v>21</v>
      </c>
      <c r="PT33" s="261"/>
      <c r="PU33" s="141">
        <f>PV5-PU32</f>
        <v>0</v>
      </c>
      <c r="QC33" s="260" t="s">
        <v>21</v>
      </c>
      <c r="QD33" s="261"/>
      <c r="QE33" s="141">
        <f>QF5-QE32</f>
        <v>0</v>
      </c>
      <c r="QM33" s="260" t="s">
        <v>21</v>
      </c>
      <c r="QN33" s="261"/>
      <c r="QO33" s="141">
        <f>QP5-QO32</f>
        <v>0</v>
      </c>
      <c r="QW33" s="260" t="s">
        <v>21</v>
      </c>
      <c r="QX33" s="261"/>
      <c r="QY33" s="141">
        <f>QZ5-QY32</f>
        <v>0</v>
      </c>
      <c r="RG33" s="260" t="s">
        <v>21</v>
      </c>
      <c r="RH33" s="261"/>
      <c r="RI33" s="141">
        <f>RJ5-RI32</f>
        <v>0</v>
      </c>
      <c r="RQ33" s="260" t="s">
        <v>21</v>
      </c>
      <c r="RR33" s="261"/>
      <c r="RS33" s="141">
        <f>SUM(RT5-RS32)</f>
        <v>0</v>
      </c>
      <c r="SA33" s="1375" t="s">
        <v>21</v>
      </c>
      <c r="SB33" s="1376"/>
      <c r="SC33" s="141">
        <f>SUM(SD5-SC32)</f>
        <v>3.637978807091713E-12</v>
      </c>
      <c r="SK33" s="1375" t="s">
        <v>21</v>
      </c>
      <c r="SL33" s="1376"/>
      <c r="SM33" s="141">
        <f>SUM(SN5-SM32)</f>
        <v>0</v>
      </c>
      <c r="SU33" s="1375" t="s">
        <v>21</v>
      </c>
      <c r="SV33" s="1376"/>
      <c r="SW33" s="216">
        <f>SUM(SX5-SW32)</f>
        <v>6304.0999999999985</v>
      </c>
      <c r="TE33" s="1375" t="s">
        <v>21</v>
      </c>
      <c r="TF33" s="1376"/>
      <c r="TG33" s="141">
        <f>SUM(TH5-TG32)</f>
        <v>3.637978807091713E-12</v>
      </c>
      <c r="TO33" s="1375" t="s">
        <v>21</v>
      </c>
      <c r="TP33" s="1376"/>
      <c r="TQ33" s="141">
        <f>SUM(TR5-TQ32)</f>
        <v>0</v>
      </c>
      <c r="TY33" s="1375" t="s">
        <v>21</v>
      </c>
      <c r="TZ33" s="1376"/>
      <c r="UA33" s="141">
        <f>SUM(UB5-UA32)</f>
        <v>0</v>
      </c>
      <c r="UH33" s="1375" t="s">
        <v>21</v>
      </c>
      <c r="UI33" s="1376"/>
      <c r="UJ33" s="141">
        <f>SUM(UK5-UJ32)</f>
        <v>0</v>
      </c>
      <c r="UQ33" s="1375" t="s">
        <v>21</v>
      </c>
      <c r="UR33" s="1376"/>
      <c r="US33" s="141">
        <f>SUM(UT5-US32)</f>
        <v>0</v>
      </c>
      <c r="UZ33" s="1375" t="s">
        <v>21</v>
      </c>
      <c r="VA33" s="1376"/>
      <c r="VB33" s="141">
        <f>SUM(VC5-VB32)</f>
        <v>0</v>
      </c>
      <c r="VI33" s="260" t="s">
        <v>21</v>
      </c>
      <c r="VJ33" s="261"/>
      <c r="VK33" s="141">
        <f>SUM(VL5-VK32)</f>
        <v>0</v>
      </c>
      <c r="VR33" s="260" t="s">
        <v>21</v>
      </c>
      <c r="VS33" s="261"/>
      <c r="VT33" s="141">
        <f>SUM(VU5-VT32)</f>
        <v>-22</v>
      </c>
      <c r="WA33" s="1375" t="s">
        <v>21</v>
      </c>
      <c r="WB33" s="1376"/>
      <c r="WC33" s="141">
        <f>WD5-WC32</f>
        <v>-22</v>
      </c>
      <c r="WJ33" s="1375" t="s">
        <v>21</v>
      </c>
      <c r="WK33" s="1376"/>
      <c r="WL33" s="141">
        <f>WM5-WL32</f>
        <v>-22</v>
      </c>
      <c r="WS33" s="1375" t="s">
        <v>21</v>
      </c>
      <c r="WT33" s="1376"/>
      <c r="WU33" s="141">
        <f>WV5-WU32</f>
        <v>-22</v>
      </c>
      <c r="XB33" s="1375" t="s">
        <v>21</v>
      </c>
      <c r="XC33" s="1376"/>
      <c r="XD33" s="141">
        <f>XE5-XD32</f>
        <v>-22</v>
      </c>
      <c r="XK33" s="1375" t="s">
        <v>21</v>
      </c>
      <c r="XL33" s="1376"/>
      <c r="XM33" s="141">
        <f>XN5-XM32</f>
        <v>-22</v>
      </c>
      <c r="XT33" s="1375" t="s">
        <v>21</v>
      </c>
      <c r="XU33" s="1376"/>
      <c r="XV33" s="141">
        <f>XW5-XV32</f>
        <v>-22</v>
      </c>
      <c r="YC33" s="1375" t="s">
        <v>21</v>
      </c>
      <c r="YD33" s="1376"/>
      <c r="YE33" s="141">
        <f>YF5-YE32</f>
        <v>-22</v>
      </c>
      <c r="YL33" s="1375" t="s">
        <v>21</v>
      </c>
      <c r="YM33" s="1376"/>
      <c r="YN33" s="141">
        <f>YO5-YN32</f>
        <v>-22</v>
      </c>
      <c r="YU33" s="1375" t="s">
        <v>21</v>
      </c>
      <c r="YV33" s="1376"/>
      <c r="YW33" s="141">
        <f>YX5-YW32</f>
        <v>-22</v>
      </c>
      <c r="ZD33" s="1375" t="s">
        <v>21</v>
      </c>
      <c r="ZE33" s="1376"/>
      <c r="ZF33" s="141">
        <f>ZG5-ZF32</f>
        <v>-22</v>
      </c>
      <c r="ZM33" s="1375" t="s">
        <v>21</v>
      </c>
      <c r="ZN33" s="1376"/>
      <c r="ZO33" s="141">
        <f>ZP5-ZO32</f>
        <v>-22</v>
      </c>
      <c r="ZV33" s="1375" t="s">
        <v>21</v>
      </c>
      <c r="ZW33" s="1376"/>
      <c r="ZX33" s="141">
        <f>ZY5-ZX32</f>
        <v>-22</v>
      </c>
      <c r="AAE33" s="1375" t="s">
        <v>21</v>
      </c>
      <c r="AAF33" s="1376"/>
      <c r="AAG33" s="141">
        <f>AAH5-AAG32</f>
        <v>-22</v>
      </c>
      <c r="AAN33" s="1375" t="s">
        <v>21</v>
      </c>
      <c r="AAO33" s="1376"/>
      <c r="AAP33" s="141">
        <f>AAQ5-AAP32</f>
        <v>-22</v>
      </c>
      <c r="AAW33" s="1375" t="s">
        <v>21</v>
      </c>
      <c r="AAX33" s="1376"/>
      <c r="AAY33" s="141">
        <f>AAZ5-AAY32</f>
        <v>-22</v>
      </c>
      <c r="ABF33" s="1375" t="s">
        <v>21</v>
      </c>
      <c r="ABG33" s="1376"/>
      <c r="ABH33" s="141">
        <f>ABH32-ABF32</f>
        <v>22</v>
      </c>
      <c r="ABO33" s="1375" t="s">
        <v>21</v>
      </c>
      <c r="ABP33" s="1376"/>
      <c r="ABQ33" s="141">
        <f>ABR5-ABQ32</f>
        <v>-22</v>
      </c>
      <c r="ABX33" s="1375" t="s">
        <v>21</v>
      </c>
      <c r="ABY33" s="1376"/>
      <c r="ABZ33" s="141">
        <f>ACA5-ABZ32</f>
        <v>-22</v>
      </c>
      <c r="ACG33" s="1375" t="s">
        <v>21</v>
      </c>
      <c r="ACH33" s="1376"/>
      <c r="ACI33" s="141">
        <f>ACJ5-ACI32</f>
        <v>-22</v>
      </c>
      <c r="ACP33" s="1375" t="s">
        <v>21</v>
      </c>
      <c r="ACQ33" s="1376"/>
      <c r="ACR33" s="141">
        <f>ACS5-ACR32</f>
        <v>-22</v>
      </c>
      <c r="ACY33" s="1375" t="s">
        <v>21</v>
      </c>
      <c r="ACZ33" s="1376"/>
      <c r="ADA33" s="141">
        <f>ADB5-ADA32</f>
        <v>-22</v>
      </c>
      <c r="ADH33" s="1375" t="s">
        <v>21</v>
      </c>
      <c r="ADI33" s="1376"/>
      <c r="ADJ33" s="141">
        <f>ADK5-ADJ32</f>
        <v>-22</v>
      </c>
      <c r="ADQ33" s="1375" t="s">
        <v>21</v>
      </c>
      <c r="ADR33" s="1376"/>
      <c r="ADS33" s="141">
        <f>ADT5-ADS32</f>
        <v>-22</v>
      </c>
      <c r="ADZ33" s="1375" t="s">
        <v>21</v>
      </c>
      <c r="AEA33" s="1376"/>
      <c r="AEB33" s="141">
        <f>AEC5-AEB32</f>
        <v>-22</v>
      </c>
      <c r="AEI33" s="1375" t="s">
        <v>21</v>
      </c>
      <c r="AEJ33" s="1376"/>
      <c r="AEK33" s="141">
        <f>AEL5-AEK32</f>
        <v>-22</v>
      </c>
      <c r="AER33" s="1375" t="s">
        <v>21</v>
      </c>
      <c r="AES33" s="1376"/>
      <c r="AET33" s="141">
        <f>AEU5-AET32</f>
        <v>-22</v>
      </c>
      <c r="AFA33" s="1375" t="s">
        <v>21</v>
      </c>
      <c r="AFB33" s="1376"/>
      <c r="AFC33" s="141">
        <f>AFD5-AFC32</f>
        <v>-22</v>
      </c>
    </row>
    <row r="34" spans="1:835" ht="16.5" thickBot="1" x14ac:dyDescent="0.3">
      <c r="A34" s="137">
        <v>31</v>
      </c>
      <c r="B34" s="75" t="str">
        <f t="shared" ref="B34:H34" si="83">KY5</f>
        <v>SEABOARD FOODS</v>
      </c>
      <c r="C34" s="75" t="str">
        <f t="shared" si="83"/>
        <v>Seaboard</v>
      </c>
      <c r="D34" s="102" t="str">
        <f t="shared" si="83"/>
        <v>PED. 91409199</v>
      </c>
      <c r="E34" s="135">
        <f t="shared" si="83"/>
        <v>44916</v>
      </c>
      <c r="F34" s="86">
        <f t="shared" si="83"/>
        <v>19050.21</v>
      </c>
      <c r="G34" s="73">
        <f t="shared" si="83"/>
        <v>21</v>
      </c>
      <c r="H34" s="48">
        <f t="shared" si="83"/>
        <v>18981.900000000001</v>
      </c>
      <c r="I34" s="105">
        <f t="shared" si="80"/>
        <v>68.309999999997672</v>
      </c>
      <c r="N34" s="956" t="s">
        <v>4</v>
      </c>
      <c r="O34" s="957"/>
      <c r="P34" s="49"/>
      <c r="S34" s="393"/>
      <c r="X34" s="956" t="s">
        <v>4</v>
      </c>
      <c r="Y34" s="957"/>
      <c r="Z34" s="49"/>
      <c r="AH34" s="262" t="s">
        <v>4</v>
      </c>
      <c r="AI34" s="263"/>
      <c r="AJ34" s="49"/>
      <c r="AM34" s="393"/>
      <c r="AR34" s="262" t="s">
        <v>4</v>
      </c>
      <c r="AS34" s="263"/>
      <c r="AT34" s="49"/>
      <c r="AZ34" s="75"/>
      <c r="BB34" s="262" t="s">
        <v>4</v>
      </c>
      <c r="BC34" s="263"/>
      <c r="BD34" s="49"/>
      <c r="BL34" s="262" t="s">
        <v>4</v>
      </c>
      <c r="BM34" s="263"/>
      <c r="BN34" s="49"/>
      <c r="BV34" s="262" t="s">
        <v>4</v>
      </c>
      <c r="BW34" s="263"/>
      <c r="BX34" s="49"/>
      <c r="CE34" s="15"/>
      <c r="CF34" s="262" t="s">
        <v>4</v>
      </c>
      <c r="CG34" s="263"/>
      <c r="CH34" s="49"/>
      <c r="CP34" s="262" t="s">
        <v>4</v>
      </c>
      <c r="CQ34" s="263"/>
      <c r="CR34" s="49"/>
      <c r="CZ34" s="262" t="s">
        <v>4</v>
      </c>
      <c r="DA34" s="263"/>
      <c r="DB34" s="49"/>
      <c r="DJ34" s="262" t="s">
        <v>4</v>
      </c>
      <c r="DK34" s="263"/>
      <c r="DL34" s="49"/>
      <c r="DT34" s="262" t="s">
        <v>4</v>
      </c>
      <c r="DU34" s="263"/>
      <c r="DV34" s="49"/>
      <c r="ED34" s="262" t="s">
        <v>4</v>
      </c>
      <c r="EE34" s="263"/>
      <c r="EF34" s="49"/>
      <c r="EN34" s="262" t="s">
        <v>4</v>
      </c>
      <c r="EO34" s="263"/>
      <c r="EP34" s="49"/>
      <c r="EX34" s="262" t="s">
        <v>4</v>
      </c>
      <c r="EY34" s="263"/>
      <c r="EZ34" s="49"/>
      <c r="FH34" s="262" t="s">
        <v>4</v>
      </c>
      <c r="FI34" s="263"/>
      <c r="FJ34" s="49"/>
      <c r="FR34" s="262" t="s">
        <v>4</v>
      </c>
      <c r="FS34" s="263"/>
      <c r="FT34" s="49"/>
      <c r="GB34" s="262" t="s">
        <v>4</v>
      </c>
      <c r="GC34" s="263"/>
      <c r="GD34" s="49"/>
      <c r="GL34" s="262" t="s">
        <v>4</v>
      </c>
      <c r="GM34" s="263"/>
      <c r="GN34" s="49"/>
      <c r="GV34" s="262" t="s">
        <v>4</v>
      </c>
      <c r="GW34" s="263"/>
      <c r="GX34" s="49"/>
      <c r="HF34" s="262" t="s">
        <v>4</v>
      </c>
      <c r="HG34" s="263"/>
      <c r="HH34" s="49"/>
      <c r="HP34" s="262" t="s">
        <v>4</v>
      </c>
      <c r="HQ34" s="263"/>
      <c r="HR34" s="49">
        <v>0</v>
      </c>
      <c r="HZ34" s="262" t="s">
        <v>4</v>
      </c>
      <c r="IA34" s="263"/>
      <c r="IB34" s="49"/>
      <c r="IJ34" s="262" t="s">
        <v>4</v>
      </c>
      <c r="IK34" s="263"/>
      <c r="IL34" s="49"/>
      <c r="IT34" s="262" t="s">
        <v>4</v>
      </c>
      <c r="IU34" s="263"/>
      <c r="IV34" s="49"/>
      <c r="JD34" s="262" t="s">
        <v>4</v>
      </c>
      <c r="JE34" s="263"/>
      <c r="JF34" s="49"/>
      <c r="JN34" s="262" t="s">
        <v>4</v>
      </c>
      <c r="JO34" s="263"/>
      <c r="JP34" s="49">
        <v>0</v>
      </c>
      <c r="JX34" s="262" t="s">
        <v>4</v>
      </c>
      <c r="JY34" s="263"/>
      <c r="JZ34" s="49"/>
      <c r="KH34" s="262" t="s">
        <v>4</v>
      </c>
      <c r="KI34" s="263"/>
      <c r="KJ34" s="49"/>
      <c r="KR34" s="262" t="s">
        <v>4</v>
      </c>
      <c r="KS34" s="263"/>
      <c r="KT34" s="49"/>
      <c r="LB34" s="262" t="s">
        <v>4</v>
      </c>
      <c r="LC34" s="263"/>
      <c r="LD34" s="49"/>
      <c r="LL34" s="262" t="s">
        <v>4</v>
      </c>
      <c r="LM34" s="263"/>
      <c r="LN34" s="49"/>
      <c r="LV34" s="260" t="s">
        <v>21</v>
      </c>
      <c r="LW34" s="261"/>
      <c r="LX34" s="141">
        <f>LY5-LX32</f>
        <v>0</v>
      </c>
      <c r="MA34" s="393"/>
      <c r="MB34" s="393"/>
      <c r="MF34" s="262" t="s">
        <v>4</v>
      </c>
      <c r="MG34" s="263"/>
      <c r="MH34" s="49"/>
      <c r="MP34" s="262" t="s">
        <v>4</v>
      </c>
      <c r="MQ34" s="263"/>
      <c r="MR34" s="49"/>
      <c r="MZ34" s="262" t="s">
        <v>4</v>
      </c>
      <c r="NA34" s="263"/>
      <c r="NB34" s="49"/>
      <c r="NJ34" s="262" t="s">
        <v>4</v>
      </c>
      <c r="NK34" s="263"/>
      <c r="NL34" s="49"/>
      <c r="NT34" s="262" t="s">
        <v>4</v>
      </c>
      <c r="NU34" s="263"/>
      <c r="NV34" s="49"/>
      <c r="OD34" s="262" t="s">
        <v>4</v>
      </c>
      <c r="OE34" s="263"/>
      <c r="OF34" s="49"/>
      <c r="ON34" s="262" t="s">
        <v>4</v>
      </c>
      <c r="OO34" s="263"/>
      <c r="OP34" s="49"/>
      <c r="OX34" s="262" t="s">
        <v>4</v>
      </c>
      <c r="OY34" s="263"/>
      <c r="OZ34" s="49"/>
      <c r="PH34" s="262" t="s">
        <v>4</v>
      </c>
      <c r="PI34" s="263"/>
      <c r="PJ34" s="49"/>
      <c r="PS34" s="262" t="s">
        <v>4</v>
      </c>
      <c r="PT34" s="263"/>
      <c r="PU34" s="49"/>
      <c r="QC34" s="262" t="s">
        <v>4</v>
      </c>
      <c r="QD34" s="263"/>
      <c r="QE34" s="49"/>
      <c r="QM34" s="262" t="s">
        <v>4</v>
      </c>
      <c r="QN34" s="263"/>
      <c r="QO34" s="49"/>
      <c r="QW34" s="262" t="s">
        <v>4</v>
      </c>
      <c r="QX34" s="263"/>
      <c r="QY34" s="49"/>
      <c r="RG34" s="262" t="s">
        <v>4</v>
      </c>
      <c r="RH34" s="263"/>
      <c r="RI34" s="49"/>
      <c r="RQ34" s="262" t="s">
        <v>4</v>
      </c>
      <c r="RR34" s="263"/>
      <c r="RS34" s="49"/>
      <c r="SA34" s="1377" t="s">
        <v>4</v>
      </c>
      <c r="SB34" s="1378"/>
      <c r="SC34" s="49"/>
      <c r="SK34" s="1377" t="s">
        <v>4</v>
      </c>
      <c r="SL34" s="1378"/>
      <c r="SM34" s="49"/>
      <c r="SU34" s="1377" t="s">
        <v>4</v>
      </c>
      <c r="SV34" s="1378"/>
      <c r="SW34" s="49"/>
      <c r="TE34" s="1377" t="s">
        <v>4</v>
      </c>
      <c r="TF34" s="1378"/>
      <c r="TG34" s="49"/>
      <c r="TO34" s="1377" t="s">
        <v>4</v>
      </c>
      <c r="TP34" s="1378"/>
      <c r="TQ34" s="49"/>
      <c r="TY34" s="1377" t="s">
        <v>4</v>
      </c>
      <c r="TZ34" s="1378"/>
      <c r="UA34" s="49"/>
      <c r="UH34" s="1377" t="s">
        <v>4</v>
      </c>
      <c r="UI34" s="1378"/>
      <c r="UJ34" s="49"/>
      <c r="UQ34" s="1377" t="s">
        <v>4</v>
      </c>
      <c r="UR34" s="1378"/>
      <c r="US34" s="49"/>
      <c r="UZ34" s="1377" t="s">
        <v>4</v>
      </c>
      <c r="VA34" s="1378"/>
      <c r="VB34" s="49"/>
      <c r="VI34" s="262" t="s">
        <v>4</v>
      </c>
      <c r="VJ34" s="263"/>
      <c r="VK34" s="49"/>
      <c r="VR34" s="262" t="s">
        <v>4</v>
      </c>
      <c r="VS34" s="263"/>
      <c r="VT34" s="49"/>
      <c r="WA34" s="1377" t="s">
        <v>4</v>
      </c>
      <c r="WB34" s="1378"/>
      <c r="WC34" s="49"/>
      <c r="WJ34" s="1377" t="s">
        <v>4</v>
      </c>
      <c r="WK34" s="1378"/>
      <c r="WL34" s="49"/>
      <c r="WS34" s="1377" t="s">
        <v>4</v>
      </c>
      <c r="WT34" s="1378"/>
      <c r="WU34" s="49"/>
      <c r="XB34" s="1377" t="s">
        <v>4</v>
      </c>
      <c r="XC34" s="1378"/>
      <c r="XD34" s="49"/>
      <c r="XK34" s="1377" t="s">
        <v>4</v>
      </c>
      <c r="XL34" s="1378"/>
      <c r="XM34" s="49"/>
      <c r="XT34" s="1377" t="s">
        <v>4</v>
      </c>
      <c r="XU34" s="1378"/>
      <c r="XV34" s="49"/>
      <c r="YC34" s="1377" t="s">
        <v>4</v>
      </c>
      <c r="YD34" s="1378"/>
      <c r="YE34" s="49"/>
      <c r="YL34" s="1377" t="s">
        <v>4</v>
      </c>
      <c r="YM34" s="1378"/>
      <c r="YN34" s="49"/>
      <c r="YU34" s="1377" t="s">
        <v>4</v>
      </c>
      <c r="YV34" s="1378"/>
      <c r="YW34" s="49"/>
      <c r="ZD34" s="1377" t="s">
        <v>4</v>
      </c>
      <c r="ZE34" s="1378"/>
      <c r="ZF34" s="49"/>
      <c r="ZM34" s="1377" t="s">
        <v>4</v>
      </c>
      <c r="ZN34" s="1378"/>
      <c r="ZO34" s="49"/>
      <c r="ZV34" s="1377" t="s">
        <v>4</v>
      </c>
      <c r="ZW34" s="1378"/>
      <c r="ZX34" s="49"/>
      <c r="AAE34" s="1377" t="s">
        <v>4</v>
      </c>
      <c r="AAF34" s="1378"/>
      <c r="AAG34" s="49"/>
      <c r="AAN34" s="1377" t="s">
        <v>4</v>
      </c>
      <c r="AAO34" s="1378"/>
      <c r="AAP34" s="49"/>
      <c r="AAW34" s="1377" t="s">
        <v>4</v>
      </c>
      <c r="AAX34" s="1378"/>
      <c r="AAY34" s="49"/>
      <c r="ABF34" s="1377" t="s">
        <v>4</v>
      </c>
      <c r="ABG34" s="1378"/>
      <c r="ABH34" s="49"/>
      <c r="ABO34" s="1377" t="s">
        <v>4</v>
      </c>
      <c r="ABP34" s="1378"/>
      <c r="ABQ34" s="49"/>
      <c r="ABX34" s="1377" t="s">
        <v>4</v>
      </c>
      <c r="ABY34" s="1378"/>
      <c r="ABZ34" s="49"/>
      <c r="ACG34" s="1377" t="s">
        <v>4</v>
      </c>
      <c r="ACH34" s="1378"/>
      <c r="ACI34" s="49"/>
      <c r="ACP34" s="1377" t="s">
        <v>4</v>
      </c>
      <c r="ACQ34" s="1378"/>
      <c r="ACR34" s="49"/>
      <c r="ACY34" s="1377" t="s">
        <v>4</v>
      </c>
      <c r="ACZ34" s="1378"/>
      <c r="ADA34" s="49"/>
      <c r="ADH34" s="1377" t="s">
        <v>4</v>
      </c>
      <c r="ADI34" s="1378"/>
      <c r="ADJ34" s="49"/>
      <c r="ADQ34" s="1377" t="s">
        <v>4</v>
      </c>
      <c r="ADR34" s="1378"/>
      <c r="ADS34" s="49"/>
      <c r="ADZ34" s="1377" t="s">
        <v>4</v>
      </c>
      <c r="AEA34" s="1378"/>
      <c r="AEB34" s="49"/>
      <c r="AEI34" s="1377" t="s">
        <v>4</v>
      </c>
      <c r="AEJ34" s="1378"/>
      <c r="AEK34" s="49"/>
      <c r="AER34" s="1377" t="s">
        <v>4</v>
      </c>
      <c r="AES34" s="1378"/>
      <c r="AET34" s="49"/>
      <c r="AFA34" s="1377" t="s">
        <v>4</v>
      </c>
      <c r="AFB34" s="1378"/>
      <c r="AFC34" s="49"/>
    </row>
    <row r="35" spans="1:835" ht="16.5" thickBot="1" x14ac:dyDescent="0.3">
      <c r="A35" s="137">
        <v>32</v>
      </c>
      <c r="B35" s="75" t="str">
        <f t="shared" ref="B35:H35" si="84">LI5</f>
        <v>TYSON FRESH MEAT</v>
      </c>
      <c r="C35" s="75" t="str">
        <f t="shared" si="84"/>
        <v xml:space="preserve"> I B P</v>
      </c>
      <c r="D35" s="102" t="str">
        <f t="shared" si="84"/>
        <v>PED. 91408419</v>
      </c>
      <c r="E35" s="135">
        <f t="shared" si="84"/>
        <v>44916</v>
      </c>
      <c r="F35" s="86">
        <f t="shared" si="84"/>
        <v>18670.64</v>
      </c>
      <c r="G35" s="73">
        <f t="shared" si="84"/>
        <v>20</v>
      </c>
      <c r="H35" s="48">
        <f t="shared" si="84"/>
        <v>18728.29</v>
      </c>
      <c r="I35" s="105">
        <f t="shared" si="80"/>
        <v>-57.650000000001455</v>
      </c>
      <c r="S35" s="393"/>
      <c r="AM35" s="393"/>
      <c r="AZ35" s="75"/>
      <c r="CP35" s="75" t="s">
        <v>41</v>
      </c>
      <c r="LV35" s="262" t="s">
        <v>4</v>
      </c>
      <c r="LW35" s="263"/>
      <c r="LX35" s="49"/>
      <c r="MA35" s="393"/>
      <c r="MB35" s="393"/>
    </row>
    <row r="36" spans="1:835" x14ac:dyDescent="0.25">
      <c r="A36" s="137">
        <v>33</v>
      </c>
      <c r="B36" s="75" t="str">
        <f t="shared" ref="B36:H36" si="85">LS5</f>
        <v>SEABOARD FOODS</v>
      </c>
      <c r="C36" s="75" t="str">
        <f t="shared" si="85"/>
        <v>Seaboard</v>
      </c>
      <c r="D36" s="102" t="str">
        <f t="shared" si="85"/>
        <v>PED. 91479897</v>
      </c>
      <c r="E36" s="135">
        <f t="shared" si="85"/>
        <v>44917</v>
      </c>
      <c r="F36" s="86">
        <f t="shared" si="85"/>
        <v>18579.03</v>
      </c>
      <c r="G36" s="73">
        <f t="shared" si="85"/>
        <v>21</v>
      </c>
      <c r="H36" s="48">
        <f t="shared" si="85"/>
        <v>18686.400000000001</v>
      </c>
      <c r="I36" s="105">
        <f t="shared" si="80"/>
        <v>-107.37000000000262</v>
      </c>
      <c r="S36" s="393"/>
      <c r="AM36" s="393"/>
      <c r="AZ36" s="75"/>
      <c r="MA36" s="393"/>
      <c r="MB36" s="393"/>
    </row>
    <row r="37" spans="1:835" x14ac:dyDescent="0.25">
      <c r="A37" s="137">
        <v>34</v>
      </c>
      <c r="B37" s="75" t="str">
        <f t="shared" ref="B37:H37" si="86">MC5</f>
        <v>SEABOARD FOODS</v>
      </c>
      <c r="C37" s="75" t="str">
        <f t="shared" si="86"/>
        <v>Seaboard</v>
      </c>
      <c r="D37" s="102" t="str">
        <f t="shared" si="86"/>
        <v>PED. 91408800</v>
      </c>
      <c r="E37" s="135">
        <f t="shared" si="86"/>
        <v>44917</v>
      </c>
      <c r="F37" s="86">
        <f t="shared" si="86"/>
        <v>19089.29</v>
      </c>
      <c r="G37" s="73">
        <f t="shared" si="86"/>
        <v>21</v>
      </c>
      <c r="H37" s="48">
        <f t="shared" si="86"/>
        <v>19014.3</v>
      </c>
      <c r="I37" s="105">
        <f t="shared" si="80"/>
        <v>74.990000000001601</v>
      </c>
      <c r="S37" s="393"/>
      <c r="AM37" s="393"/>
      <c r="AZ37" s="75"/>
      <c r="MA37" s="393"/>
      <c r="MB37" s="393"/>
    </row>
    <row r="38" spans="1:835" x14ac:dyDescent="0.25">
      <c r="A38" s="137">
        <v>35</v>
      </c>
      <c r="B38" s="75" t="str">
        <f t="shared" ref="B38:H38" si="87">MM5</f>
        <v>TYSON FRESH MEAT</v>
      </c>
      <c r="C38" s="75" t="str">
        <f t="shared" si="87"/>
        <v xml:space="preserve">I B P </v>
      </c>
      <c r="D38" s="142" t="str">
        <f t="shared" si="87"/>
        <v>PED. 91478998</v>
      </c>
      <c r="E38" s="135">
        <f t="shared" si="87"/>
        <v>44917</v>
      </c>
      <c r="F38" s="132">
        <f t="shared" si="87"/>
        <v>18357.23</v>
      </c>
      <c r="G38" s="73">
        <f t="shared" si="87"/>
        <v>20</v>
      </c>
      <c r="H38" s="132">
        <f t="shared" si="87"/>
        <v>18390.810000000001</v>
      </c>
      <c r="I38" s="105">
        <f t="shared" si="80"/>
        <v>-33.580000000001746</v>
      </c>
      <c r="S38" s="393"/>
      <c r="AM38" s="393"/>
      <c r="AZ38" s="75"/>
      <c r="MA38" s="393"/>
      <c r="MB38" s="393"/>
    </row>
    <row r="39" spans="1:835" x14ac:dyDescent="0.25">
      <c r="A39" s="137">
        <v>36</v>
      </c>
      <c r="B39" s="75" t="str">
        <f t="shared" ref="B39:H39" si="88">MW5</f>
        <v>SEABOARD FOODS</v>
      </c>
      <c r="C39" s="75" t="str">
        <f t="shared" si="88"/>
        <v>Seaboard</v>
      </c>
      <c r="D39" s="143" t="str">
        <f t="shared" si="88"/>
        <v>PED. 91552977</v>
      </c>
      <c r="E39" s="135">
        <f t="shared" si="88"/>
        <v>44918</v>
      </c>
      <c r="F39" s="105">
        <f t="shared" si="88"/>
        <v>19059.93</v>
      </c>
      <c r="G39" s="73">
        <f t="shared" si="88"/>
        <v>21</v>
      </c>
      <c r="H39" s="132">
        <f t="shared" si="88"/>
        <v>19064.400000000001</v>
      </c>
      <c r="I39" s="105">
        <f t="shared" si="80"/>
        <v>-4.4700000000011642</v>
      </c>
      <c r="AZ39" s="75"/>
      <c r="MA39" s="393"/>
      <c r="MB39" s="393"/>
    </row>
    <row r="40" spans="1:835" x14ac:dyDescent="0.25">
      <c r="A40" s="137">
        <v>37</v>
      </c>
      <c r="B40" s="75" t="str">
        <f t="shared" ref="B40:H40" si="89">NG5</f>
        <v>SEABOARD FOODS</v>
      </c>
      <c r="C40" s="75" t="str">
        <f t="shared" si="89"/>
        <v>Seaboard</v>
      </c>
      <c r="D40" s="143" t="str">
        <f t="shared" si="89"/>
        <v>PED. 91548406</v>
      </c>
      <c r="E40" s="135">
        <f t="shared" si="89"/>
        <v>44918</v>
      </c>
      <c r="F40" s="105">
        <f t="shared" si="89"/>
        <v>19147.78</v>
      </c>
      <c r="G40" s="73">
        <f t="shared" si="89"/>
        <v>21</v>
      </c>
      <c r="H40" s="132">
        <f t="shared" si="89"/>
        <v>19183.3</v>
      </c>
      <c r="I40" s="105">
        <f t="shared" si="80"/>
        <v>-35.520000000000437</v>
      </c>
      <c r="AZ40" s="75"/>
      <c r="MA40" s="393"/>
      <c r="MB40" s="393"/>
    </row>
    <row r="41" spans="1:835" x14ac:dyDescent="0.25">
      <c r="A41" s="137">
        <v>38</v>
      </c>
      <c r="B41" s="75" t="str">
        <f t="shared" ref="B41:H41" si="90">NQ5</f>
        <v>SEABOARD FOODS</v>
      </c>
      <c r="C41" s="75" t="str">
        <f t="shared" si="90"/>
        <v>Seaboard</v>
      </c>
      <c r="D41" s="71" t="str">
        <f t="shared" si="90"/>
        <v>PED. 91443107</v>
      </c>
      <c r="E41" s="135">
        <f t="shared" si="90"/>
        <v>44918</v>
      </c>
      <c r="F41" s="105">
        <f t="shared" si="90"/>
        <v>19184.419999999998</v>
      </c>
      <c r="G41" s="73">
        <f t="shared" si="90"/>
        <v>21</v>
      </c>
      <c r="H41" s="132">
        <f t="shared" si="90"/>
        <v>19224.099999999999</v>
      </c>
      <c r="I41" s="105">
        <f t="shared" si="80"/>
        <v>-39.680000000000291</v>
      </c>
      <c r="AZ41" s="75"/>
      <c r="KI41" s="75">
        <v>0</v>
      </c>
      <c r="MA41" s="393"/>
      <c r="MB41" s="393"/>
    </row>
    <row r="42" spans="1:835" x14ac:dyDescent="0.25">
      <c r="A42" s="137">
        <v>39</v>
      </c>
      <c r="B42" s="75" t="str">
        <f t="shared" ref="B42:H42" si="91">OA5</f>
        <v>SEABOARD FOODS</v>
      </c>
      <c r="C42" s="75" t="str">
        <f t="shared" si="91"/>
        <v>Seaboard</v>
      </c>
      <c r="D42" s="71" t="str">
        <f t="shared" si="91"/>
        <v>PED. 91548649</v>
      </c>
      <c r="E42" s="135">
        <f t="shared" si="91"/>
        <v>44919</v>
      </c>
      <c r="F42" s="105">
        <f t="shared" si="91"/>
        <v>19113.990000000002</v>
      </c>
      <c r="G42" s="73">
        <f t="shared" si="91"/>
        <v>21</v>
      </c>
      <c r="H42" s="132">
        <f t="shared" si="91"/>
        <v>19033.599999999999</v>
      </c>
      <c r="I42" s="105">
        <f t="shared" si="80"/>
        <v>80.390000000003056</v>
      </c>
      <c r="AZ42" s="75"/>
      <c r="MA42" s="393"/>
      <c r="MB42" s="393"/>
    </row>
    <row r="43" spans="1:835" x14ac:dyDescent="0.25">
      <c r="A43" s="137">
        <v>40</v>
      </c>
      <c r="B43" s="75" t="str">
        <f t="shared" ref="B43:H43" si="92">OK5</f>
        <v>SEABOARD FOODS</v>
      </c>
      <c r="C43" s="75" t="str">
        <f t="shared" si="92"/>
        <v>Seaboard</v>
      </c>
      <c r="D43" s="71" t="str">
        <f t="shared" si="92"/>
        <v>PED. 91534162</v>
      </c>
      <c r="E43" s="135">
        <f t="shared" si="92"/>
        <v>44919</v>
      </c>
      <c r="F43" s="105">
        <f t="shared" si="92"/>
        <v>19299.72</v>
      </c>
      <c r="G43" s="73">
        <f t="shared" si="92"/>
        <v>21</v>
      </c>
      <c r="H43" s="132">
        <f t="shared" si="92"/>
        <v>19242.3</v>
      </c>
      <c r="I43" s="105">
        <f t="shared" si="80"/>
        <v>57.420000000001892</v>
      </c>
      <c r="AZ43" s="75"/>
      <c r="MA43" s="393"/>
      <c r="MB43" s="393"/>
    </row>
    <row r="44" spans="1:835" x14ac:dyDescent="0.25">
      <c r="A44" s="137">
        <v>41</v>
      </c>
      <c r="B44" s="75" t="str">
        <f t="shared" ref="B44:H44" si="93">OU5</f>
        <v>SEABOARD FOODS</v>
      </c>
      <c r="C44" s="75" t="str">
        <f t="shared" si="93"/>
        <v>Seaboard</v>
      </c>
      <c r="D44" s="71" t="str">
        <f t="shared" si="93"/>
        <v>PED. 91509926</v>
      </c>
      <c r="E44" s="135">
        <f t="shared" si="93"/>
        <v>44921</v>
      </c>
      <c r="F44" s="105">
        <f t="shared" si="93"/>
        <v>19182.900000000001</v>
      </c>
      <c r="G44" s="73">
        <f t="shared" si="93"/>
        <v>21</v>
      </c>
      <c r="H44" s="132">
        <f t="shared" si="93"/>
        <v>19238</v>
      </c>
      <c r="I44" s="105">
        <f t="shared" si="80"/>
        <v>-55.099999999998545</v>
      </c>
      <c r="BJ44" s="95"/>
      <c r="MA44" s="393"/>
      <c r="MB44" s="393"/>
    </row>
    <row r="45" spans="1:835" x14ac:dyDescent="0.25">
      <c r="A45" s="137">
        <v>42</v>
      </c>
      <c r="B45" s="75" t="str">
        <f t="shared" ref="B45:H45" si="94">PE5</f>
        <v>SEABOARD FOODS</v>
      </c>
      <c r="C45" s="75" t="str">
        <f t="shared" si="94"/>
        <v>Seaboard</v>
      </c>
      <c r="D45" s="71" t="str">
        <f t="shared" si="94"/>
        <v>PED. 91773391</v>
      </c>
      <c r="E45" s="135">
        <f t="shared" si="94"/>
        <v>44924</v>
      </c>
      <c r="F45" s="105">
        <f t="shared" si="94"/>
        <v>18823.7</v>
      </c>
      <c r="G45" s="73">
        <f t="shared" si="94"/>
        <v>21</v>
      </c>
      <c r="H45" s="132">
        <f t="shared" si="94"/>
        <v>18878.87</v>
      </c>
      <c r="I45" s="105">
        <f t="shared" si="80"/>
        <v>-55.169999999998254</v>
      </c>
      <c r="BJ45" s="95"/>
    </row>
    <row r="46" spans="1:835" x14ac:dyDescent="0.25">
      <c r="A46" s="137">
        <v>43</v>
      </c>
      <c r="B46" s="75" t="str">
        <f t="shared" ref="B46:H46" si="95">PP5</f>
        <v>SEABOARD FOODS</v>
      </c>
      <c r="C46" s="75" t="str">
        <f t="shared" si="95"/>
        <v>Seaboard</v>
      </c>
      <c r="D46" s="71" t="str">
        <f t="shared" si="95"/>
        <v>PED. 91773084</v>
      </c>
      <c r="E46" s="135">
        <f t="shared" si="95"/>
        <v>44924</v>
      </c>
      <c r="F46" s="105">
        <f t="shared" si="95"/>
        <v>19110.349999999999</v>
      </c>
      <c r="G46" s="73">
        <f t="shared" si="95"/>
        <v>21</v>
      </c>
      <c r="H46" s="132">
        <f t="shared" si="95"/>
        <v>19235.099999999999</v>
      </c>
      <c r="I46" s="105">
        <f t="shared" si="80"/>
        <v>-124.75</v>
      </c>
      <c r="BJ46" s="95"/>
    </row>
    <row r="47" spans="1:835" x14ac:dyDescent="0.25">
      <c r="A47" s="137">
        <v>44</v>
      </c>
      <c r="B47" s="75" t="str">
        <f t="shared" ref="B47:H47" si="96">PZ5</f>
        <v>TYSON FRESH MEAT</v>
      </c>
      <c r="C47" s="75" t="str">
        <f t="shared" si="96"/>
        <v xml:space="preserve">I B P </v>
      </c>
      <c r="D47" s="71" t="str">
        <f t="shared" si="96"/>
        <v>PED. 91773083</v>
      </c>
      <c r="E47" s="135">
        <f t="shared" si="96"/>
        <v>44924</v>
      </c>
      <c r="F47" s="105">
        <f t="shared" si="96"/>
        <v>18781.439999999999</v>
      </c>
      <c r="G47" s="73">
        <f t="shared" si="96"/>
        <v>20</v>
      </c>
      <c r="H47" s="132">
        <f t="shared" si="96"/>
        <v>18793.14</v>
      </c>
      <c r="I47" s="105">
        <f t="shared" si="80"/>
        <v>-11.700000000000728</v>
      </c>
      <c r="BJ47" s="95"/>
    </row>
    <row r="48" spans="1:835" x14ac:dyDescent="0.25">
      <c r="A48" s="137">
        <v>45</v>
      </c>
      <c r="B48" s="148" t="str">
        <f t="shared" ref="B48:H48" si="97">QJ5</f>
        <v>SEABOARD FOODS</v>
      </c>
      <c r="C48" s="148" t="str">
        <f t="shared" si="97"/>
        <v>Seaboard</v>
      </c>
      <c r="D48" s="71" t="str">
        <f t="shared" si="97"/>
        <v>PED. 91898611</v>
      </c>
      <c r="E48" s="135">
        <f t="shared" si="97"/>
        <v>44925</v>
      </c>
      <c r="F48" s="105">
        <f t="shared" si="97"/>
        <v>17876.36</v>
      </c>
      <c r="G48" s="73">
        <f t="shared" si="97"/>
        <v>20</v>
      </c>
      <c r="H48" s="132">
        <f t="shared" si="97"/>
        <v>17920.8</v>
      </c>
      <c r="I48" s="105">
        <f t="shared" si="80"/>
        <v>-44.43999999999869</v>
      </c>
      <c r="BJ48" s="95"/>
    </row>
    <row r="49" spans="1:265" x14ac:dyDescent="0.25">
      <c r="A49" s="137">
        <v>46</v>
      </c>
      <c r="B49" s="148" t="str">
        <f t="shared" ref="B49:H49" si="98">QT5</f>
        <v>SEABOARD FOODS</v>
      </c>
      <c r="C49" s="148" t="str">
        <f t="shared" si="98"/>
        <v>Seaboard</v>
      </c>
      <c r="D49" s="71" t="str">
        <f t="shared" si="98"/>
        <v>PED. 91934532</v>
      </c>
      <c r="E49" s="135">
        <f t="shared" si="98"/>
        <v>44926</v>
      </c>
      <c r="F49" s="105">
        <f t="shared" si="98"/>
        <v>18047.189999999999</v>
      </c>
      <c r="G49" s="73">
        <f t="shared" si="98"/>
        <v>20</v>
      </c>
      <c r="H49" s="132">
        <f t="shared" si="98"/>
        <v>18100.400000000001</v>
      </c>
      <c r="I49" s="105">
        <f t="shared" si="80"/>
        <v>-53.210000000002765</v>
      </c>
      <c r="BJ49" s="95"/>
    </row>
    <row r="50" spans="1:265" x14ac:dyDescent="0.25">
      <c r="A50" s="137">
        <v>47</v>
      </c>
      <c r="B50" s="148" t="str">
        <f t="shared" ref="B50:H50" si="99">RD5</f>
        <v>SEABOARD FOODS</v>
      </c>
      <c r="C50" s="148" t="str">
        <f t="shared" si="99"/>
        <v>Seaboard</v>
      </c>
      <c r="D50" s="71" t="str">
        <f t="shared" si="99"/>
        <v>PED. 92055233</v>
      </c>
      <c r="E50" s="135">
        <f t="shared" si="99"/>
        <v>44930</v>
      </c>
      <c r="F50" s="105">
        <f t="shared" si="99"/>
        <v>18918.5</v>
      </c>
      <c r="G50" s="73">
        <f t="shared" si="99"/>
        <v>21</v>
      </c>
      <c r="H50" s="132">
        <f t="shared" si="99"/>
        <v>18778.7</v>
      </c>
      <c r="I50" s="105">
        <f t="shared" si="80"/>
        <v>139.79999999999927</v>
      </c>
    </row>
    <row r="51" spans="1:265" x14ac:dyDescent="0.25">
      <c r="A51" s="137">
        <v>48</v>
      </c>
      <c r="B51" s="148" t="str">
        <f t="shared" ref="B51:H51" si="100">RN5</f>
        <v xml:space="preserve">SEABOARD FOODS </v>
      </c>
      <c r="C51" s="148" t="str">
        <f t="shared" si="100"/>
        <v>Seaboard</v>
      </c>
      <c r="D51" s="71" t="str">
        <f t="shared" si="100"/>
        <v>PED. 92055235</v>
      </c>
      <c r="E51" s="135">
        <f t="shared" si="100"/>
        <v>44930</v>
      </c>
      <c r="F51" s="105">
        <f t="shared" si="100"/>
        <v>19030.25</v>
      </c>
      <c r="G51" s="73">
        <f t="shared" si="100"/>
        <v>21</v>
      </c>
      <c r="H51" s="132">
        <f t="shared" si="100"/>
        <v>18913.900000000001</v>
      </c>
      <c r="I51" s="105">
        <f t="shared" si="80"/>
        <v>116.34999999999854</v>
      </c>
      <c r="JE51" s="75">
        <v>1</v>
      </c>
    </row>
    <row r="52" spans="1:265" x14ac:dyDescent="0.25">
      <c r="A52" s="137">
        <v>49</v>
      </c>
      <c r="B52" s="148" t="str">
        <f t="shared" ref="B52:H52" si="101">RX5</f>
        <v>TYSON FRESH MEAT</v>
      </c>
      <c r="C52" s="148" t="str">
        <f t="shared" si="101"/>
        <v xml:space="preserve">I B P </v>
      </c>
      <c r="D52" s="71" t="str">
        <f t="shared" si="101"/>
        <v>PED. 92055028</v>
      </c>
      <c r="E52" s="135">
        <f t="shared" si="101"/>
        <v>44930</v>
      </c>
      <c r="F52" s="105">
        <f t="shared" si="101"/>
        <v>18644.88</v>
      </c>
      <c r="G52" s="73">
        <f t="shared" si="101"/>
        <v>20</v>
      </c>
      <c r="H52" s="132">
        <f t="shared" si="101"/>
        <v>18697.88</v>
      </c>
      <c r="I52" s="105">
        <f t="shared" si="80"/>
        <v>-53</v>
      </c>
    </row>
    <row r="53" spans="1:265" x14ac:dyDescent="0.25">
      <c r="A53" s="137">
        <v>50</v>
      </c>
      <c r="B53" s="148" t="str">
        <f t="shared" ref="B53:H53" si="102">SH5</f>
        <v>TYSON FRESH MEAT</v>
      </c>
      <c r="C53" s="148" t="str">
        <f t="shared" si="102"/>
        <v xml:space="preserve">I B P </v>
      </c>
      <c r="D53" s="71" t="str">
        <f t="shared" si="102"/>
        <v>PED. 92094650</v>
      </c>
      <c r="E53" s="135">
        <f t="shared" si="102"/>
        <v>44931</v>
      </c>
      <c r="F53" s="105">
        <f t="shared" si="102"/>
        <v>18440.98</v>
      </c>
      <c r="G53" s="73">
        <f t="shared" si="102"/>
        <v>20</v>
      </c>
      <c r="H53" s="132">
        <f t="shared" si="102"/>
        <v>18520.990000000002</v>
      </c>
      <c r="I53" s="105">
        <f t="shared" si="80"/>
        <v>-80.010000000002037</v>
      </c>
    </row>
    <row r="54" spans="1:265" x14ac:dyDescent="0.25">
      <c r="A54" s="137">
        <v>51</v>
      </c>
      <c r="B54" s="75" t="str">
        <f t="shared" ref="B54:H54" si="103">SR5</f>
        <v>SEABOARD FOODS</v>
      </c>
      <c r="C54" s="75" t="str">
        <f t="shared" si="103"/>
        <v>Seaboard</v>
      </c>
      <c r="D54" s="71" t="str">
        <f t="shared" si="103"/>
        <v>PED. 92113256</v>
      </c>
      <c r="E54" s="135">
        <f t="shared" si="103"/>
        <v>44933</v>
      </c>
      <c r="F54" s="105">
        <f t="shared" si="103"/>
        <v>19097.61</v>
      </c>
      <c r="G54" s="73">
        <f t="shared" si="103"/>
        <v>21</v>
      </c>
      <c r="H54" s="132">
        <f t="shared" si="103"/>
        <v>18978.099999999999</v>
      </c>
      <c r="I54" s="105">
        <f t="shared" si="80"/>
        <v>119.51000000000204</v>
      </c>
    </row>
    <row r="55" spans="1:265" x14ac:dyDescent="0.25">
      <c r="A55" s="137">
        <v>52</v>
      </c>
      <c r="B55" s="75" t="str">
        <f t="shared" ref="B55:H55" si="104">TB5</f>
        <v>SEABOARD FOODS</v>
      </c>
      <c r="C55" s="75" t="str">
        <f t="shared" si="104"/>
        <v>Seaboard</v>
      </c>
      <c r="D55" s="71" t="str">
        <f t="shared" si="104"/>
        <v>PED. 92195156</v>
      </c>
      <c r="E55" s="135">
        <f t="shared" si="104"/>
        <v>44933</v>
      </c>
      <c r="F55" s="105">
        <f t="shared" si="104"/>
        <v>19001.259999999998</v>
      </c>
      <c r="G55" s="73">
        <f t="shared" si="104"/>
        <v>21</v>
      </c>
      <c r="H55" s="132">
        <f t="shared" si="104"/>
        <v>19027.2</v>
      </c>
      <c r="I55" s="105">
        <f t="shared" si="80"/>
        <v>-25.940000000002328</v>
      </c>
    </row>
    <row r="56" spans="1:265" x14ac:dyDescent="0.25">
      <c r="A56" s="137">
        <v>53</v>
      </c>
      <c r="B56" s="75">
        <f>TL5</f>
        <v>0</v>
      </c>
      <c r="C56" s="75">
        <f>TM5</f>
        <v>0</v>
      </c>
      <c r="D56" s="71">
        <f>TN5</f>
        <v>0</v>
      </c>
      <c r="E56" s="135">
        <f>TE5</f>
        <v>44933</v>
      </c>
      <c r="F56" s="105">
        <f>TP5</f>
        <v>0</v>
      </c>
      <c r="G56" s="73">
        <f>TQ5</f>
        <v>0</v>
      </c>
      <c r="H56" s="132">
        <f>TR5</f>
        <v>0</v>
      </c>
      <c r="I56" s="105">
        <f t="shared" si="80"/>
        <v>0</v>
      </c>
    </row>
    <row r="57" spans="1:265" x14ac:dyDescent="0.25">
      <c r="A57" s="137">
        <v>54</v>
      </c>
      <c r="B57" s="75">
        <f t="shared" ref="B57:H57" si="105">TV5</f>
        <v>0</v>
      </c>
      <c r="C57" s="75">
        <f t="shared" si="105"/>
        <v>0</v>
      </c>
      <c r="D57" s="71">
        <f t="shared" si="105"/>
        <v>0</v>
      </c>
      <c r="E57" s="135">
        <f t="shared" si="105"/>
        <v>0</v>
      </c>
      <c r="F57" s="105">
        <f t="shared" si="105"/>
        <v>0</v>
      </c>
      <c r="G57" s="153">
        <f t="shared" si="105"/>
        <v>0</v>
      </c>
      <c r="H57" s="132">
        <f t="shared" si="105"/>
        <v>0</v>
      </c>
      <c r="I57" s="105">
        <f t="shared" si="80"/>
        <v>0</v>
      </c>
    </row>
    <row r="58" spans="1:265" x14ac:dyDescent="0.25">
      <c r="A58" s="137">
        <v>55</v>
      </c>
      <c r="B58" s="75">
        <f t="shared" ref="B58:H58" si="106">UE5</f>
        <v>0</v>
      </c>
      <c r="C58" s="75">
        <f t="shared" si="106"/>
        <v>0</v>
      </c>
      <c r="D58" s="71">
        <f t="shared" si="106"/>
        <v>0</v>
      </c>
      <c r="E58" s="135">
        <f t="shared" si="106"/>
        <v>0</v>
      </c>
      <c r="F58" s="105">
        <f t="shared" si="106"/>
        <v>0</v>
      </c>
      <c r="G58" s="73">
        <f t="shared" si="106"/>
        <v>0</v>
      </c>
      <c r="H58" s="132">
        <f t="shared" si="106"/>
        <v>0</v>
      </c>
      <c r="I58" s="105">
        <f t="shared" si="80"/>
        <v>0</v>
      </c>
    </row>
    <row r="59" spans="1:265" x14ac:dyDescent="0.25">
      <c r="A59" s="137">
        <v>56</v>
      </c>
      <c r="B59" s="75">
        <f t="shared" ref="B59:H59" si="107">UN5</f>
        <v>0</v>
      </c>
      <c r="C59" s="75">
        <f t="shared" si="107"/>
        <v>0</v>
      </c>
      <c r="D59" s="71">
        <f t="shared" si="107"/>
        <v>0</v>
      </c>
      <c r="E59" s="135">
        <f t="shared" si="107"/>
        <v>0</v>
      </c>
      <c r="F59" s="105">
        <f t="shared" si="107"/>
        <v>0</v>
      </c>
      <c r="G59" s="73">
        <f t="shared" si="107"/>
        <v>0</v>
      </c>
      <c r="H59" s="132">
        <f t="shared" si="107"/>
        <v>0</v>
      </c>
      <c r="I59" s="105">
        <f t="shared" si="80"/>
        <v>0</v>
      </c>
    </row>
    <row r="60" spans="1:265" x14ac:dyDescent="0.25">
      <c r="A60" s="137">
        <v>57</v>
      </c>
      <c r="B60" s="75">
        <f t="shared" ref="B60:H60" si="108">UW5</f>
        <v>0</v>
      </c>
      <c r="C60" s="75">
        <f t="shared" si="108"/>
        <v>0</v>
      </c>
      <c r="D60" s="71">
        <f t="shared" si="108"/>
        <v>0</v>
      </c>
      <c r="E60" s="135">
        <f t="shared" si="108"/>
        <v>0</v>
      </c>
      <c r="F60" s="105">
        <f t="shared" si="108"/>
        <v>0</v>
      </c>
      <c r="G60" s="73">
        <f t="shared" si="108"/>
        <v>0</v>
      </c>
      <c r="H60" s="132">
        <f t="shared" si="108"/>
        <v>0</v>
      </c>
      <c r="I60" s="105">
        <f t="shared" si="80"/>
        <v>0</v>
      </c>
    </row>
    <row r="61" spans="1:265" x14ac:dyDescent="0.25">
      <c r="A61" s="137">
        <v>58</v>
      </c>
      <c r="B61" s="75">
        <f>VF5</f>
        <v>0</v>
      </c>
      <c r="C61" s="75">
        <f t="shared" ref="C61:H61" si="109">VG5</f>
        <v>0</v>
      </c>
      <c r="D61" s="71">
        <f t="shared" si="109"/>
        <v>0</v>
      </c>
      <c r="E61" s="135">
        <f t="shared" si="109"/>
        <v>0</v>
      </c>
      <c r="F61" s="105">
        <f t="shared" si="109"/>
        <v>0</v>
      </c>
      <c r="G61" s="73">
        <f t="shared" si="109"/>
        <v>0</v>
      </c>
      <c r="H61" s="320">
        <f t="shared" si="109"/>
        <v>0</v>
      </c>
      <c r="I61" s="105">
        <f t="shared" si="80"/>
        <v>0</v>
      </c>
    </row>
    <row r="62" spans="1:265" x14ac:dyDescent="0.25">
      <c r="A62" s="137">
        <v>59</v>
      </c>
      <c r="B62" s="321">
        <f t="shared" ref="B62:H62" si="110">VO5</f>
        <v>0</v>
      </c>
      <c r="C62" s="321">
        <f t="shared" si="110"/>
        <v>0</v>
      </c>
      <c r="D62" s="322">
        <f t="shared" si="110"/>
        <v>0</v>
      </c>
      <c r="E62" s="323">
        <f t="shared" si="110"/>
        <v>0</v>
      </c>
      <c r="F62" s="324">
        <f t="shared" si="110"/>
        <v>0</v>
      </c>
      <c r="G62" s="325">
        <f t="shared" si="110"/>
        <v>0</v>
      </c>
      <c r="H62" s="320">
        <f t="shared" si="110"/>
        <v>0</v>
      </c>
      <c r="I62" s="105">
        <f t="shared" si="80"/>
        <v>0</v>
      </c>
    </row>
    <row r="63" spans="1:265" x14ac:dyDescent="0.25">
      <c r="A63" s="137">
        <v>60</v>
      </c>
      <c r="B63" s="321">
        <f>VX5</f>
        <v>0</v>
      </c>
      <c r="C63" s="321">
        <f>VY5</f>
        <v>0</v>
      </c>
      <c r="D63" s="322">
        <f>VZ5</f>
        <v>0</v>
      </c>
      <c r="E63" s="323">
        <f>WA5</f>
        <v>0</v>
      </c>
      <c r="F63" s="324">
        <f>WB5</f>
        <v>0</v>
      </c>
      <c r="G63" s="326">
        <f>WL5</f>
        <v>0</v>
      </c>
      <c r="H63" s="320">
        <f>WD5</f>
        <v>0</v>
      </c>
      <c r="I63" s="105">
        <f t="shared" si="80"/>
        <v>0</v>
      </c>
    </row>
    <row r="64" spans="1:265" x14ac:dyDescent="0.25">
      <c r="A64" s="137">
        <v>61</v>
      </c>
      <c r="B64" s="321">
        <f t="shared" ref="B64:H64" si="111">WG5</f>
        <v>0</v>
      </c>
      <c r="C64" s="322">
        <f t="shared" si="111"/>
        <v>0</v>
      </c>
      <c r="D64" s="322">
        <f t="shared" si="111"/>
        <v>0</v>
      </c>
      <c r="E64" s="323">
        <f t="shared" si="111"/>
        <v>0</v>
      </c>
      <c r="F64" s="324">
        <f t="shared" si="111"/>
        <v>0</v>
      </c>
      <c r="G64" s="326">
        <f t="shared" si="111"/>
        <v>0</v>
      </c>
      <c r="H64" s="320">
        <f t="shared" si="111"/>
        <v>0</v>
      </c>
      <c r="I64" s="105">
        <f t="shared" si="80"/>
        <v>0</v>
      </c>
    </row>
    <row r="65" spans="1:9" x14ac:dyDescent="0.25">
      <c r="A65" s="137">
        <v>62</v>
      </c>
      <c r="B65" s="321">
        <f t="shared" ref="B65:H65" si="112">WP5</f>
        <v>0</v>
      </c>
      <c r="C65" s="321">
        <f t="shared" si="112"/>
        <v>0</v>
      </c>
      <c r="D65" s="322">
        <f t="shared" si="112"/>
        <v>0</v>
      </c>
      <c r="E65" s="323">
        <f t="shared" si="112"/>
        <v>0</v>
      </c>
      <c r="F65" s="324">
        <f t="shared" si="112"/>
        <v>0</v>
      </c>
      <c r="G65" s="326">
        <f t="shared" si="112"/>
        <v>0</v>
      </c>
      <c r="H65" s="320">
        <f t="shared" si="112"/>
        <v>0</v>
      </c>
      <c r="I65" s="105">
        <f t="shared" si="80"/>
        <v>0</v>
      </c>
    </row>
    <row r="66" spans="1:9" x14ac:dyDescent="0.25">
      <c r="A66" s="137">
        <v>63</v>
      </c>
      <c r="B66" s="321">
        <f t="shared" ref="B66:H66" si="113">WY5</f>
        <v>0</v>
      </c>
      <c r="C66" s="321">
        <f t="shared" si="113"/>
        <v>0</v>
      </c>
      <c r="D66" s="322">
        <f t="shared" si="113"/>
        <v>0</v>
      </c>
      <c r="E66" s="323">
        <f t="shared" si="113"/>
        <v>0</v>
      </c>
      <c r="F66" s="324">
        <f t="shared" si="113"/>
        <v>0</v>
      </c>
      <c r="G66" s="326">
        <f t="shared" si="113"/>
        <v>0</v>
      </c>
      <c r="H66" s="320">
        <f t="shared" si="113"/>
        <v>0</v>
      </c>
      <c r="I66" s="105">
        <f t="shared" si="80"/>
        <v>0</v>
      </c>
    </row>
    <row r="67" spans="1:9" x14ac:dyDescent="0.25">
      <c r="A67" s="137">
        <v>64</v>
      </c>
      <c r="B67" s="321">
        <f t="shared" ref="B67:H67" si="114">XH5</f>
        <v>0</v>
      </c>
      <c r="C67" s="321">
        <f t="shared" si="114"/>
        <v>0</v>
      </c>
      <c r="D67" s="322">
        <f t="shared" si="114"/>
        <v>0</v>
      </c>
      <c r="E67" s="323">
        <f t="shared" si="114"/>
        <v>0</v>
      </c>
      <c r="F67" s="324">
        <f t="shared" si="114"/>
        <v>0</v>
      </c>
      <c r="G67" s="326">
        <f t="shared" si="114"/>
        <v>0</v>
      </c>
      <c r="H67" s="320">
        <f t="shared" si="114"/>
        <v>0</v>
      </c>
      <c r="I67" s="105">
        <f t="shared" si="80"/>
        <v>0</v>
      </c>
    </row>
    <row r="68" spans="1:9" x14ac:dyDescent="0.25">
      <c r="A68" s="137">
        <v>65</v>
      </c>
      <c r="B68" s="321">
        <f t="shared" ref="B68:H68" si="115">XQ5</f>
        <v>0</v>
      </c>
      <c r="C68" s="321">
        <f t="shared" si="115"/>
        <v>0</v>
      </c>
      <c r="D68" s="322">
        <f t="shared" si="115"/>
        <v>0</v>
      </c>
      <c r="E68" s="323">
        <f t="shared" si="115"/>
        <v>0</v>
      </c>
      <c r="F68" s="324">
        <f t="shared" si="115"/>
        <v>0</v>
      </c>
      <c r="G68" s="326">
        <f t="shared" si="115"/>
        <v>0</v>
      </c>
      <c r="H68" s="320">
        <f t="shared" si="115"/>
        <v>0</v>
      </c>
      <c r="I68" s="105">
        <f t="shared" si="80"/>
        <v>0</v>
      </c>
    </row>
    <row r="69" spans="1:9" x14ac:dyDescent="0.25">
      <c r="A69" s="137">
        <v>66</v>
      </c>
      <c r="B69" s="321">
        <f t="shared" ref="B69:H69" si="116">XZ5</f>
        <v>0</v>
      </c>
      <c r="C69" s="321">
        <f t="shared" si="116"/>
        <v>0</v>
      </c>
      <c r="D69" s="322">
        <f t="shared" si="116"/>
        <v>0</v>
      </c>
      <c r="E69" s="323">
        <f t="shared" si="116"/>
        <v>0</v>
      </c>
      <c r="F69" s="324">
        <f t="shared" si="116"/>
        <v>0</v>
      </c>
      <c r="G69" s="326">
        <f t="shared" si="116"/>
        <v>0</v>
      </c>
      <c r="H69" s="320">
        <f t="shared" si="116"/>
        <v>0</v>
      </c>
      <c r="I69" s="105">
        <f t="shared" si="80"/>
        <v>0</v>
      </c>
    </row>
    <row r="70" spans="1:9" x14ac:dyDescent="0.25">
      <c r="A70" s="137">
        <v>67</v>
      </c>
      <c r="B70" s="321">
        <f t="shared" ref="B70:H70" si="117">YI5</f>
        <v>0</v>
      </c>
      <c r="C70" s="321">
        <f t="shared" si="117"/>
        <v>0</v>
      </c>
      <c r="D70" s="322">
        <f t="shared" si="117"/>
        <v>0</v>
      </c>
      <c r="E70" s="323">
        <f t="shared" si="117"/>
        <v>0</v>
      </c>
      <c r="F70" s="324">
        <f t="shared" si="117"/>
        <v>0</v>
      </c>
      <c r="G70" s="326">
        <f t="shared" si="117"/>
        <v>0</v>
      </c>
      <c r="H70" s="320">
        <f t="shared" si="117"/>
        <v>0</v>
      </c>
      <c r="I70" s="105">
        <f t="shared" si="80"/>
        <v>0</v>
      </c>
    </row>
    <row r="71" spans="1:9" x14ac:dyDescent="0.25">
      <c r="A71" s="137">
        <v>68</v>
      </c>
      <c r="B71" s="327">
        <f t="shared" ref="B71:H71" si="118">YR5</f>
        <v>0</v>
      </c>
      <c r="C71" s="321">
        <f t="shared" si="118"/>
        <v>0</v>
      </c>
      <c r="D71" s="322">
        <f t="shared" si="118"/>
        <v>0</v>
      </c>
      <c r="E71" s="323">
        <f t="shared" si="118"/>
        <v>0</v>
      </c>
      <c r="F71" s="324">
        <f t="shared" si="118"/>
        <v>0</v>
      </c>
      <c r="G71" s="326">
        <f t="shared" si="118"/>
        <v>0</v>
      </c>
      <c r="H71" s="320">
        <f t="shared" si="118"/>
        <v>0</v>
      </c>
      <c r="I71" s="105">
        <f t="shared" si="80"/>
        <v>0</v>
      </c>
    </row>
    <row r="72" spans="1:9" x14ac:dyDescent="0.25">
      <c r="A72" s="137">
        <v>69</v>
      </c>
      <c r="B72" s="321">
        <f t="shared" ref="B72:H72" si="119">ZA5</f>
        <v>0</v>
      </c>
      <c r="C72" s="321">
        <f t="shared" si="119"/>
        <v>0</v>
      </c>
      <c r="D72" s="322">
        <f t="shared" si="119"/>
        <v>0</v>
      </c>
      <c r="E72" s="323">
        <f t="shared" si="119"/>
        <v>0</v>
      </c>
      <c r="F72" s="324">
        <f t="shared" si="119"/>
        <v>0</v>
      </c>
      <c r="G72" s="326">
        <f t="shared" si="119"/>
        <v>0</v>
      </c>
      <c r="H72" s="320">
        <f t="shared" si="119"/>
        <v>0</v>
      </c>
      <c r="I72" s="105">
        <f t="shared" si="80"/>
        <v>0</v>
      </c>
    </row>
    <row r="73" spans="1:9" x14ac:dyDescent="0.25">
      <c r="A73" s="137">
        <v>70</v>
      </c>
      <c r="B73" s="321">
        <f t="shared" ref="B73:H73" si="120">ZJ5</f>
        <v>0</v>
      </c>
      <c r="C73" s="321">
        <f t="shared" si="120"/>
        <v>0</v>
      </c>
      <c r="D73" s="322">
        <f t="shared" si="120"/>
        <v>0</v>
      </c>
      <c r="E73" s="323">
        <f t="shared" si="120"/>
        <v>0</v>
      </c>
      <c r="F73" s="324">
        <f t="shared" si="120"/>
        <v>0</v>
      </c>
      <c r="G73" s="326">
        <f t="shared" si="120"/>
        <v>0</v>
      </c>
      <c r="H73" s="320">
        <f t="shared" si="120"/>
        <v>0</v>
      </c>
      <c r="I73" s="105">
        <f t="shared" si="80"/>
        <v>0</v>
      </c>
    </row>
    <row r="74" spans="1:9" x14ac:dyDescent="0.25">
      <c r="A74" s="137">
        <v>71</v>
      </c>
      <c r="B74" s="321">
        <f t="shared" ref="B74:H74" si="121">ZS5</f>
        <v>0</v>
      </c>
      <c r="C74" s="321">
        <f t="shared" si="121"/>
        <v>0</v>
      </c>
      <c r="D74" s="322">
        <f t="shared" si="121"/>
        <v>0</v>
      </c>
      <c r="E74" s="323">
        <f t="shared" si="121"/>
        <v>0</v>
      </c>
      <c r="F74" s="324">
        <f t="shared" si="121"/>
        <v>0</v>
      </c>
      <c r="G74" s="326">
        <f t="shared" si="121"/>
        <v>0</v>
      </c>
      <c r="H74" s="320">
        <f t="shared" si="121"/>
        <v>0</v>
      </c>
      <c r="I74" s="105">
        <f t="shared" si="80"/>
        <v>0</v>
      </c>
    </row>
    <row r="75" spans="1:9" x14ac:dyDescent="0.25">
      <c r="A75" s="137">
        <v>72</v>
      </c>
      <c r="B75" s="321">
        <f t="shared" ref="B75:H75" si="122">AAB5</f>
        <v>0</v>
      </c>
      <c r="C75" s="321">
        <f t="shared" si="122"/>
        <v>0</v>
      </c>
      <c r="D75" s="322">
        <f t="shared" si="122"/>
        <v>0</v>
      </c>
      <c r="E75" s="323">
        <f t="shared" si="122"/>
        <v>0</v>
      </c>
      <c r="F75" s="324">
        <f t="shared" si="122"/>
        <v>0</v>
      </c>
      <c r="G75" s="326">
        <f t="shared" si="122"/>
        <v>0</v>
      </c>
      <c r="H75" s="320">
        <f t="shared" si="122"/>
        <v>0</v>
      </c>
      <c r="I75" s="105">
        <f t="shared" si="80"/>
        <v>0</v>
      </c>
    </row>
    <row r="76" spans="1:9" x14ac:dyDescent="0.25">
      <c r="A76" s="137">
        <v>73</v>
      </c>
      <c r="B76" s="321">
        <f t="shared" ref="B76:G76" si="123">AAK5</f>
        <v>0</v>
      </c>
      <c r="C76" s="321">
        <f t="shared" si="123"/>
        <v>0</v>
      </c>
      <c r="D76" s="322">
        <f t="shared" si="123"/>
        <v>0</v>
      </c>
      <c r="E76" s="323">
        <f t="shared" si="123"/>
        <v>0</v>
      </c>
      <c r="F76" s="324">
        <f t="shared" si="123"/>
        <v>0</v>
      </c>
      <c r="G76" s="326">
        <f t="shared" si="123"/>
        <v>0</v>
      </c>
      <c r="H76" s="320">
        <f>AAZ5</f>
        <v>0</v>
      </c>
      <c r="I76" s="105">
        <f t="shared" si="80"/>
        <v>0</v>
      </c>
    </row>
    <row r="77" spans="1:9" x14ac:dyDescent="0.25">
      <c r="A77" s="137">
        <v>74</v>
      </c>
      <c r="B77" s="321">
        <f t="shared" ref="B77:H77" si="124">AAT5</f>
        <v>0</v>
      </c>
      <c r="C77" s="321">
        <f t="shared" si="124"/>
        <v>0</v>
      </c>
      <c r="D77" s="322">
        <f t="shared" si="124"/>
        <v>0</v>
      </c>
      <c r="E77" s="323">
        <f t="shared" si="124"/>
        <v>0</v>
      </c>
      <c r="F77" s="324">
        <f t="shared" si="124"/>
        <v>0</v>
      </c>
      <c r="G77" s="326">
        <f t="shared" si="124"/>
        <v>0</v>
      </c>
      <c r="H77" s="320">
        <f t="shared" si="124"/>
        <v>0</v>
      </c>
      <c r="I77" s="105">
        <f t="shared" si="80"/>
        <v>0</v>
      </c>
    </row>
    <row r="78" spans="1:9" x14ac:dyDescent="0.25">
      <c r="A78" s="137">
        <v>75</v>
      </c>
      <c r="B78" s="321">
        <f t="shared" ref="B78:H78" si="125">ABC5</f>
        <v>0</v>
      </c>
      <c r="C78" s="321">
        <f t="shared" si="125"/>
        <v>0</v>
      </c>
      <c r="D78" s="322">
        <f t="shared" si="125"/>
        <v>0</v>
      </c>
      <c r="E78" s="323">
        <f t="shared" si="125"/>
        <v>0</v>
      </c>
      <c r="F78" s="324">
        <f t="shared" si="125"/>
        <v>0</v>
      </c>
      <c r="G78" s="326">
        <f t="shared" si="125"/>
        <v>0</v>
      </c>
      <c r="H78" s="320">
        <f t="shared" si="125"/>
        <v>0</v>
      </c>
      <c r="I78" s="105">
        <f t="shared" si="80"/>
        <v>0</v>
      </c>
    </row>
    <row r="79" spans="1:9" x14ac:dyDescent="0.25">
      <c r="A79" s="137">
        <v>76</v>
      </c>
      <c r="B79" s="321">
        <f>ABL5</f>
        <v>0</v>
      </c>
      <c r="C79" s="321">
        <f>ABM5</f>
        <v>0</v>
      </c>
      <c r="D79" s="322">
        <f>ABN5</f>
        <v>0</v>
      </c>
      <c r="E79" s="323">
        <f>ABO5</f>
        <v>0</v>
      </c>
      <c r="F79" s="324">
        <f>ABP5</f>
        <v>0</v>
      </c>
      <c r="G79" s="326">
        <f>ABZ5</f>
        <v>0</v>
      </c>
      <c r="H79" s="320">
        <f>ABR5</f>
        <v>0</v>
      </c>
      <c r="I79" s="105">
        <f t="shared" si="80"/>
        <v>0</v>
      </c>
    </row>
    <row r="80" spans="1:9" x14ac:dyDescent="0.25">
      <c r="A80" s="137">
        <v>77</v>
      </c>
      <c r="B80" s="75">
        <f t="shared" ref="B80:H80" si="126">ABU5</f>
        <v>0</v>
      </c>
      <c r="C80" s="75">
        <f t="shared" si="126"/>
        <v>0</v>
      </c>
      <c r="D80" s="71">
        <f t="shared" si="126"/>
        <v>0</v>
      </c>
      <c r="E80" s="135">
        <f t="shared" si="126"/>
        <v>0</v>
      </c>
      <c r="F80" s="105">
        <f t="shared" si="126"/>
        <v>0</v>
      </c>
      <c r="G80" s="73">
        <f t="shared" si="126"/>
        <v>0</v>
      </c>
      <c r="H80" s="132">
        <f t="shared" si="126"/>
        <v>0</v>
      </c>
      <c r="I80" s="105">
        <f t="shared" si="80"/>
        <v>0</v>
      </c>
    </row>
    <row r="81" spans="1:9" x14ac:dyDescent="0.25">
      <c r="A81" s="137">
        <v>78</v>
      </c>
      <c r="B81" s="321">
        <f t="shared" ref="B81:H81" si="127">ACD5</f>
        <v>0</v>
      </c>
      <c r="C81" s="321">
        <f t="shared" si="127"/>
        <v>0</v>
      </c>
      <c r="D81" s="322">
        <f t="shared" si="127"/>
        <v>0</v>
      </c>
      <c r="E81" s="323">
        <f t="shared" si="127"/>
        <v>0</v>
      </c>
      <c r="F81" s="324">
        <f t="shared" si="127"/>
        <v>0</v>
      </c>
      <c r="G81" s="326">
        <f t="shared" si="127"/>
        <v>0</v>
      </c>
      <c r="H81" s="320">
        <f t="shared" si="127"/>
        <v>0</v>
      </c>
      <c r="I81" s="105">
        <f t="shared" si="80"/>
        <v>0</v>
      </c>
    </row>
    <row r="82" spans="1:9" x14ac:dyDescent="0.25">
      <c r="A82" s="137">
        <v>79</v>
      </c>
      <c r="B82" s="321">
        <f>ACM5</f>
        <v>0</v>
      </c>
      <c r="C82" s="321">
        <f>ACN5</f>
        <v>0</v>
      </c>
      <c r="D82" s="322">
        <f>ACO5</f>
        <v>0</v>
      </c>
      <c r="E82" s="323">
        <f>ACG5</f>
        <v>0</v>
      </c>
      <c r="F82" s="324">
        <f>ACQ5</f>
        <v>0</v>
      </c>
      <c r="G82" s="328">
        <f>ACR5</f>
        <v>0</v>
      </c>
      <c r="H82" s="320">
        <f>ACS5</f>
        <v>0</v>
      </c>
      <c r="I82" s="105">
        <f t="shared" si="80"/>
        <v>0</v>
      </c>
    </row>
    <row r="83" spans="1:9" x14ac:dyDescent="0.25">
      <c r="A83" s="137">
        <v>80</v>
      </c>
      <c r="B83" s="321">
        <f t="shared" ref="B83:H83" si="128">ACV5</f>
        <v>0</v>
      </c>
      <c r="C83" s="321">
        <f t="shared" si="128"/>
        <v>0</v>
      </c>
      <c r="D83" s="322">
        <f t="shared" si="128"/>
        <v>0</v>
      </c>
      <c r="E83" s="323">
        <f t="shared" si="128"/>
        <v>0</v>
      </c>
      <c r="F83" s="324">
        <f t="shared" si="128"/>
        <v>0</v>
      </c>
      <c r="G83" s="326">
        <f t="shared" si="128"/>
        <v>0</v>
      </c>
      <c r="H83" s="320">
        <f t="shared" si="128"/>
        <v>0</v>
      </c>
      <c r="I83" s="105">
        <f t="shared" si="80"/>
        <v>0</v>
      </c>
    </row>
    <row r="84" spans="1:9" x14ac:dyDescent="0.25">
      <c r="A84" s="137">
        <v>81</v>
      </c>
      <c r="B84" s="321">
        <f>ADE5</f>
        <v>0</v>
      </c>
      <c r="C84" s="321">
        <f>ADF5</f>
        <v>0</v>
      </c>
      <c r="D84" s="322">
        <f>ADG5</f>
        <v>0</v>
      </c>
      <c r="E84" s="323">
        <f>ADH5</f>
        <v>0</v>
      </c>
      <c r="F84" s="324">
        <f>ADI5</f>
        <v>0</v>
      </c>
      <c r="G84" s="328">
        <f>AEB5</f>
        <v>0</v>
      </c>
      <c r="H84" s="320">
        <f>ADK5</f>
        <v>0</v>
      </c>
      <c r="I84" s="105">
        <f t="shared" si="80"/>
        <v>0</v>
      </c>
    </row>
    <row r="85" spans="1:9" x14ac:dyDescent="0.25">
      <c r="A85" s="137">
        <v>82</v>
      </c>
      <c r="B85" s="321">
        <f>ADN5</f>
        <v>0</v>
      </c>
      <c r="C85" s="321">
        <f>ADO5</f>
        <v>0</v>
      </c>
      <c r="D85" s="322">
        <f>ADP5</f>
        <v>0</v>
      </c>
      <c r="E85" s="323">
        <f>ADQ5</f>
        <v>0</v>
      </c>
      <c r="F85" s="324">
        <f>AEJ5</f>
        <v>0</v>
      </c>
      <c r="G85" s="328">
        <f>ADS5</f>
        <v>0</v>
      </c>
      <c r="H85" s="320">
        <f>ADT5</f>
        <v>0</v>
      </c>
      <c r="I85" s="105">
        <f t="shared" si="80"/>
        <v>0</v>
      </c>
    </row>
    <row r="86" spans="1:9" x14ac:dyDescent="0.25">
      <c r="A86" s="137">
        <v>83</v>
      </c>
      <c r="B86" s="321">
        <f t="shared" ref="B86:H86" si="129">ADW5</f>
        <v>0</v>
      </c>
      <c r="C86" s="321">
        <f t="shared" si="129"/>
        <v>0</v>
      </c>
      <c r="D86" s="322">
        <f t="shared" si="129"/>
        <v>0</v>
      </c>
      <c r="E86" s="323">
        <f t="shared" si="129"/>
        <v>0</v>
      </c>
      <c r="F86" s="324">
        <f t="shared" si="129"/>
        <v>0</v>
      </c>
      <c r="G86" s="326">
        <f t="shared" si="129"/>
        <v>0</v>
      </c>
      <c r="H86" s="320">
        <f t="shared" si="129"/>
        <v>0</v>
      </c>
      <c r="I86" s="105">
        <f t="shared" si="80"/>
        <v>0</v>
      </c>
    </row>
    <row r="87" spans="1:9" x14ac:dyDescent="0.25">
      <c r="A87" s="137">
        <v>84</v>
      </c>
      <c r="B87" s="321">
        <f t="shared" ref="B87:H87" si="130">AEF5</f>
        <v>0</v>
      </c>
      <c r="C87" s="321">
        <f t="shared" si="130"/>
        <v>0</v>
      </c>
      <c r="D87" s="322">
        <f t="shared" si="130"/>
        <v>0</v>
      </c>
      <c r="E87" s="323">
        <f t="shared" si="130"/>
        <v>0</v>
      </c>
      <c r="F87" s="324">
        <f t="shared" si="130"/>
        <v>0</v>
      </c>
      <c r="G87" s="326">
        <f t="shared" si="130"/>
        <v>0</v>
      </c>
      <c r="H87" s="320">
        <f t="shared" si="130"/>
        <v>0</v>
      </c>
      <c r="I87" s="324">
        <f t="shared" si="80"/>
        <v>0</v>
      </c>
    </row>
    <row r="88" spans="1:9" x14ac:dyDescent="0.25">
      <c r="A88" s="137">
        <v>85</v>
      </c>
      <c r="B88" s="75">
        <f t="shared" ref="B88:H88" si="131">AEO5</f>
        <v>0</v>
      </c>
      <c r="C88" s="75">
        <f t="shared" si="131"/>
        <v>0</v>
      </c>
      <c r="D88" s="71">
        <f t="shared" si="131"/>
        <v>0</v>
      </c>
      <c r="E88" s="135">
        <f t="shared" si="131"/>
        <v>0</v>
      </c>
      <c r="F88" s="105">
        <f t="shared" si="131"/>
        <v>0</v>
      </c>
      <c r="G88" s="73">
        <f t="shared" si="131"/>
        <v>0</v>
      </c>
      <c r="H88" s="132">
        <f t="shared" si="131"/>
        <v>0</v>
      </c>
      <c r="I88" s="105">
        <f t="shared" si="80"/>
        <v>0</v>
      </c>
    </row>
    <row r="89" spans="1:9" x14ac:dyDescent="0.25">
      <c r="I89" s="105">
        <f t="shared" si="80"/>
        <v>0</v>
      </c>
    </row>
    <row r="90" spans="1:9" x14ac:dyDescent="0.25">
      <c r="I90" s="105">
        <f t="shared" si="80"/>
        <v>0</v>
      </c>
    </row>
    <row r="91" spans="1:9" x14ac:dyDescent="0.25">
      <c r="I91" s="105">
        <f t="shared" si="80"/>
        <v>0</v>
      </c>
    </row>
    <row r="92" spans="1:9" x14ac:dyDescent="0.25">
      <c r="I92" s="105">
        <f t="shared" si="80"/>
        <v>0</v>
      </c>
    </row>
  </sheetData>
  <mergeCells count="170">
    <mergeCell ref="FY1:GE1"/>
    <mergeCell ref="FO1:FU1"/>
    <mergeCell ref="EA1:EG1"/>
    <mergeCell ref="EK1:EQ1"/>
    <mergeCell ref="FE1:FK1"/>
    <mergeCell ref="EU1:FA1"/>
    <mergeCell ref="CM5:CM6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DQ5:DQ6"/>
    <mergeCell ref="BI5:BI6"/>
    <mergeCell ref="BS5:BS6"/>
    <mergeCell ref="K5:K6"/>
    <mergeCell ref="SK33:SL33"/>
    <mergeCell ref="SK34:SL34"/>
    <mergeCell ref="RX1:SD1"/>
    <mergeCell ref="NG1:NM1"/>
    <mergeCell ref="QJ1:QP1"/>
    <mergeCell ref="LS1:LY1"/>
    <mergeCell ref="MM1:MS1"/>
    <mergeCell ref="PE1:PK1"/>
    <mergeCell ref="SA34:SB34"/>
    <mergeCell ref="SA33:SB33"/>
    <mergeCell ref="IQ1:IW1"/>
    <mergeCell ref="IG1:IM1"/>
    <mergeCell ref="HW1:IC1"/>
    <mergeCell ref="SH1:SN1"/>
    <mergeCell ref="HM1:HS1"/>
    <mergeCell ref="HC1:HI1"/>
    <mergeCell ref="GS1:GY1"/>
    <mergeCell ref="GI1:GO1"/>
    <mergeCell ref="HC5:HC6"/>
    <mergeCell ref="HW5:HW6"/>
    <mergeCell ref="IQ5:IQ6"/>
    <mergeCell ref="KE5:KE6"/>
    <mergeCell ref="GS5:GS6"/>
    <mergeCell ref="IG5:IG6"/>
    <mergeCell ref="JK5:JK6"/>
    <mergeCell ref="SU33:SV33"/>
    <mergeCell ref="SU34:SV34"/>
    <mergeCell ref="TB1:TH1"/>
    <mergeCell ref="TE33:TF33"/>
    <mergeCell ref="UW1:VC1"/>
    <mergeCell ref="UZ33:VA33"/>
    <mergeCell ref="UZ34:VA34"/>
    <mergeCell ref="TE34:TF34"/>
    <mergeCell ref="TL1:TR1"/>
    <mergeCell ref="TO33:TP33"/>
    <mergeCell ref="TO34:TP34"/>
    <mergeCell ref="TY34:TZ34"/>
    <mergeCell ref="UE1:UK1"/>
    <mergeCell ref="UH33:UI33"/>
    <mergeCell ref="UH34:UI34"/>
    <mergeCell ref="UN1:UT1"/>
    <mergeCell ref="UQ33:UR33"/>
    <mergeCell ref="UQ34:UR34"/>
    <mergeCell ref="TY33:TZ33"/>
    <mergeCell ref="TV1:UB1"/>
    <mergeCell ref="VO1:VU1"/>
    <mergeCell ref="VX1:WD1"/>
    <mergeCell ref="WA33:WB33"/>
    <mergeCell ref="WA34:WB34"/>
    <mergeCell ref="QT1:QZ1"/>
    <mergeCell ref="JA1:JG1"/>
    <mergeCell ref="MC1:MI1"/>
    <mergeCell ref="KY1:LE1"/>
    <mergeCell ref="KE1:KK1"/>
    <mergeCell ref="JU1:KA1"/>
    <mergeCell ref="KO1:KU1"/>
    <mergeCell ref="JK1:JQ1"/>
    <mergeCell ref="OU1:PA1"/>
    <mergeCell ref="OK1:OQ1"/>
    <mergeCell ref="MW1:NC1"/>
    <mergeCell ref="LI1:LO1"/>
    <mergeCell ref="OA1:OG1"/>
    <mergeCell ref="NQ1:NW1"/>
    <mergeCell ref="PP1:PV1"/>
    <mergeCell ref="PZ1:QF1"/>
    <mergeCell ref="RD1:RJ1"/>
    <mergeCell ref="RN1:RT1"/>
    <mergeCell ref="VF1:VL1"/>
    <mergeCell ref="SR1:SX1"/>
    <mergeCell ref="WG1:WM1"/>
    <mergeCell ref="WJ33:WK33"/>
    <mergeCell ref="WJ34:WK34"/>
    <mergeCell ref="WP1:WV1"/>
    <mergeCell ref="WS33:WT33"/>
    <mergeCell ref="WS34:WT34"/>
    <mergeCell ref="WY1:XE1"/>
    <mergeCell ref="XB33:XC33"/>
    <mergeCell ref="XB34:XC34"/>
    <mergeCell ref="XH1:XN1"/>
    <mergeCell ref="XK33:XL33"/>
    <mergeCell ref="XK34:XL34"/>
    <mergeCell ref="XQ1:XW1"/>
    <mergeCell ref="XT33:XU33"/>
    <mergeCell ref="XT34:XU34"/>
    <mergeCell ref="XZ1:YF1"/>
    <mergeCell ref="YC33:YD33"/>
    <mergeCell ref="YC34:YD34"/>
    <mergeCell ref="YI1:YO1"/>
    <mergeCell ref="YL33:YM33"/>
    <mergeCell ref="YL34:YM34"/>
    <mergeCell ref="YR1:YX1"/>
    <mergeCell ref="YU33:YV33"/>
    <mergeCell ref="YU34:YV34"/>
    <mergeCell ref="ZA1:ZG1"/>
    <mergeCell ref="ZD33:ZE33"/>
    <mergeCell ref="ZD34:ZE34"/>
    <mergeCell ref="ACV1:ADB1"/>
    <mergeCell ref="ACY33:ACZ33"/>
    <mergeCell ref="ACY34:ACZ34"/>
    <mergeCell ref="ZJ1:ZP1"/>
    <mergeCell ref="ZM33:ZN33"/>
    <mergeCell ref="ZM34:ZN34"/>
    <mergeCell ref="ZS1:ZY1"/>
    <mergeCell ref="ZV33:ZW33"/>
    <mergeCell ref="ZV34:ZW34"/>
    <mergeCell ref="AAB1:AAH1"/>
    <mergeCell ref="AAE33:AAF33"/>
    <mergeCell ref="AAE34:AAF34"/>
    <mergeCell ref="AAK1:AAQ1"/>
    <mergeCell ref="AAN33:AAO33"/>
    <mergeCell ref="AAN34:AAO34"/>
    <mergeCell ref="ABX33:ABY33"/>
    <mergeCell ref="ABX34:ABY34"/>
    <mergeCell ref="ACD1:ACJ1"/>
    <mergeCell ref="ACG33:ACH33"/>
    <mergeCell ref="ACG34:ACH34"/>
    <mergeCell ref="ACM1:ACS1"/>
    <mergeCell ref="ACP33:ACQ33"/>
    <mergeCell ref="ACP34:ACQ34"/>
    <mergeCell ref="AAT1:AAZ1"/>
    <mergeCell ref="ADE1:ADK1"/>
    <mergeCell ref="ADH33:ADI33"/>
    <mergeCell ref="ADH34:ADI34"/>
    <mergeCell ref="ADN1:ADT1"/>
    <mergeCell ref="ADQ33:ADR33"/>
    <mergeCell ref="ADQ34:ADR34"/>
    <mergeCell ref="AEX1:AFD1"/>
    <mergeCell ref="AFA33:AFB33"/>
    <mergeCell ref="AFA34:AFB34"/>
    <mergeCell ref="ADW1:AEC1"/>
    <mergeCell ref="ADZ33:AEA33"/>
    <mergeCell ref="ADZ34:AEA34"/>
    <mergeCell ref="AEF1:AEL1"/>
    <mergeCell ref="AEI33:AEJ33"/>
    <mergeCell ref="AEI34:AEJ34"/>
    <mergeCell ref="AEO1:AEU1"/>
    <mergeCell ref="AER33:AES33"/>
    <mergeCell ref="AER34:AES34"/>
    <mergeCell ref="AAW33:AAX33"/>
    <mergeCell ref="AAW34:AAX34"/>
    <mergeCell ref="ABC1:ABI1"/>
    <mergeCell ref="ABF33:ABG33"/>
    <mergeCell ref="ABF34:ABG34"/>
    <mergeCell ref="ABL1:ABR1"/>
    <mergeCell ref="ABO33:ABP33"/>
    <mergeCell ref="ABO34:ABP34"/>
    <mergeCell ref="ABU1:ACA1"/>
  </mergeCells>
  <phoneticPr fontId="48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4"/>
  <sheetViews>
    <sheetView workbookViewId="0">
      <pane ySplit="8" topLeftCell="A9" activePane="bottomLeft" state="frozen"/>
      <selection pane="bottomLeft" activeCell="A7" sqref="A7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379"/>
      <c r="B1" s="1379"/>
      <c r="C1" s="1379"/>
      <c r="D1" s="1379"/>
      <c r="E1" s="1379"/>
      <c r="F1" s="1379"/>
      <c r="G1" s="1379"/>
      <c r="H1" s="268">
        <v>1</v>
      </c>
      <c r="I1" s="394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393"/>
    </row>
    <row r="3" spans="1:10" ht="16.5" thickTop="1" thickBot="1" x14ac:dyDescent="0.3">
      <c r="A3" s="72"/>
      <c r="B3" s="503" t="s">
        <v>1</v>
      </c>
      <c r="C3" s="72"/>
      <c r="D3" s="72"/>
      <c r="E3" s="72"/>
      <c r="F3" s="72"/>
      <c r="G3" s="278" t="s">
        <v>20</v>
      </c>
      <c r="H3" s="277" t="s">
        <v>6</v>
      </c>
      <c r="I3" s="395"/>
    </row>
    <row r="4" spans="1:10" ht="15.75" customHeight="1" thickTop="1" x14ac:dyDescent="0.25">
      <c r="A4" s="75"/>
      <c r="B4" s="571"/>
      <c r="C4" s="243"/>
      <c r="D4" s="134"/>
      <c r="E4" s="378"/>
      <c r="F4" s="73"/>
      <c r="G4" s="237"/>
      <c r="H4" s="148"/>
      <c r="I4" s="399"/>
    </row>
    <row r="5" spans="1:10" ht="14.25" customHeight="1" x14ac:dyDescent="0.25">
      <c r="A5" s="1398"/>
      <c r="B5" s="1410" t="s">
        <v>96</v>
      </c>
      <c r="C5" s="391"/>
      <c r="D5" s="134"/>
      <c r="E5" s="86"/>
      <c r="F5" s="73"/>
      <c r="G5" s="48">
        <f>F30</f>
        <v>0</v>
      </c>
      <c r="H5" s="138">
        <f>E5-G5+E4+E6+E7</f>
        <v>0</v>
      </c>
      <c r="I5" s="396"/>
    </row>
    <row r="6" spans="1:10" x14ac:dyDescent="0.25">
      <c r="A6" s="1398"/>
      <c r="B6" s="1410"/>
      <c r="C6" s="393"/>
      <c r="D6" s="134"/>
      <c r="E6" s="75"/>
      <c r="F6" s="73"/>
      <c r="G6" s="73"/>
      <c r="H6" s="75"/>
      <c r="I6" s="243"/>
    </row>
    <row r="7" spans="1:10" ht="15.75" thickBot="1" x14ac:dyDescent="0.3">
      <c r="A7" s="225"/>
      <c r="B7" s="469"/>
      <c r="C7" s="393"/>
      <c r="D7" s="134"/>
      <c r="E7" s="75"/>
      <c r="F7" s="73"/>
      <c r="G7" s="73"/>
      <c r="H7" s="75"/>
      <c r="I7" s="243"/>
    </row>
    <row r="8" spans="1:10" ht="16.5" thickTop="1" thickBot="1" x14ac:dyDescent="0.3">
      <c r="A8" s="75"/>
      <c r="B8" s="285" t="s">
        <v>7</v>
      </c>
      <c r="C8" s="281" t="s">
        <v>8</v>
      </c>
      <c r="D8" s="282" t="s">
        <v>17</v>
      </c>
      <c r="E8" s="283" t="s">
        <v>2</v>
      </c>
      <c r="F8" s="276" t="s">
        <v>18</v>
      </c>
      <c r="G8" s="284"/>
      <c r="H8" s="279"/>
      <c r="I8" s="397"/>
    </row>
    <row r="9" spans="1:10" ht="15.75" thickTop="1" x14ac:dyDescent="0.25">
      <c r="A9" s="61"/>
      <c r="B9" s="182">
        <f>F4+F5+F6-C9+F7</f>
        <v>0</v>
      </c>
      <c r="C9" s="15"/>
      <c r="D9" s="69">
        <v>0</v>
      </c>
      <c r="E9" s="252"/>
      <c r="F9" s="92">
        <f>D9</f>
        <v>0</v>
      </c>
      <c r="G9" s="70"/>
      <c r="H9" s="71"/>
      <c r="I9" s="243">
        <f>E4+E5+E6-F9+E7</f>
        <v>0</v>
      </c>
      <c r="J9" s="60">
        <f>H9*F9</f>
        <v>0</v>
      </c>
    </row>
    <row r="10" spans="1:10" x14ac:dyDescent="0.25">
      <c r="A10" s="75"/>
      <c r="B10" s="182">
        <f>B9-C10</f>
        <v>0</v>
      </c>
      <c r="C10" s="15"/>
      <c r="D10" s="69">
        <v>0</v>
      </c>
      <c r="E10" s="252"/>
      <c r="F10" s="92">
        <f t="shared" ref="F10:F29" si="0">D10</f>
        <v>0</v>
      </c>
      <c r="G10" s="70"/>
      <c r="H10" s="71"/>
      <c r="I10" s="243">
        <f>I9-F10</f>
        <v>0</v>
      </c>
      <c r="J10" s="60">
        <f t="shared" ref="J10:J28" si="1">H10*F10</f>
        <v>0</v>
      </c>
    </row>
    <row r="11" spans="1:10" x14ac:dyDescent="0.25">
      <c r="A11" s="75"/>
      <c r="B11" s="182">
        <f t="shared" ref="B11:B29" si="2">B10-C11</f>
        <v>0</v>
      </c>
      <c r="C11" s="15"/>
      <c r="D11" s="69">
        <v>0</v>
      </c>
      <c r="E11" s="252"/>
      <c r="F11" s="92">
        <f t="shared" si="0"/>
        <v>0</v>
      </c>
      <c r="G11" s="70"/>
      <c r="H11" s="71"/>
      <c r="I11" s="243">
        <f t="shared" ref="I11:I28" si="3">I10-F11</f>
        <v>0</v>
      </c>
      <c r="J11" s="60">
        <f t="shared" si="1"/>
        <v>0</v>
      </c>
    </row>
    <row r="12" spans="1:10" x14ac:dyDescent="0.25">
      <c r="A12" s="61"/>
      <c r="B12" s="182">
        <f t="shared" si="2"/>
        <v>0</v>
      </c>
      <c r="C12" s="15"/>
      <c r="D12" s="69">
        <v>0</v>
      </c>
      <c r="E12" s="252"/>
      <c r="F12" s="92">
        <f t="shared" si="0"/>
        <v>0</v>
      </c>
      <c r="G12" s="70"/>
      <c r="H12" s="71"/>
      <c r="I12" s="243">
        <f t="shared" si="3"/>
        <v>0</v>
      </c>
      <c r="J12" s="60">
        <f t="shared" si="1"/>
        <v>0</v>
      </c>
    </row>
    <row r="13" spans="1:10" x14ac:dyDescent="0.25">
      <c r="A13" s="75"/>
      <c r="B13" s="182">
        <f t="shared" si="2"/>
        <v>0</v>
      </c>
      <c r="C13" s="15"/>
      <c r="D13" s="69">
        <v>0</v>
      </c>
      <c r="E13" s="252"/>
      <c r="F13" s="92">
        <f t="shared" si="0"/>
        <v>0</v>
      </c>
      <c r="G13" s="70"/>
      <c r="H13" s="71"/>
      <c r="I13" s="243">
        <f t="shared" si="3"/>
        <v>0</v>
      </c>
      <c r="J13" s="60">
        <f t="shared" si="1"/>
        <v>0</v>
      </c>
    </row>
    <row r="14" spans="1:10" x14ac:dyDescent="0.25">
      <c r="A14" s="75"/>
      <c r="B14" s="182">
        <f t="shared" si="2"/>
        <v>0</v>
      </c>
      <c r="C14" s="15"/>
      <c r="D14" s="69">
        <v>0</v>
      </c>
      <c r="E14" s="252"/>
      <c r="F14" s="92">
        <f t="shared" si="0"/>
        <v>0</v>
      </c>
      <c r="G14" s="70"/>
      <c r="H14" s="71"/>
      <c r="I14" s="243">
        <f t="shared" si="3"/>
        <v>0</v>
      </c>
      <c r="J14" s="60">
        <f t="shared" si="1"/>
        <v>0</v>
      </c>
    </row>
    <row r="15" spans="1:10" x14ac:dyDescent="0.25">
      <c r="A15" s="75"/>
      <c r="B15" s="182">
        <f t="shared" si="2"/>
        <v>0</v>
      </c>
      <c r="C15" s="15"/>
      <c r="D15" s="69">
        <v>0</v>
      </c>
      <c r="E15" s="252"/>
      <c r="F15" s="92">
        <f t="shared" si="0"/>
        <v>0</v>
      </c>
      <c r="G15" s="70"/>
      <c r="H15" s="71"/>
      <c r="I15" s="243">
        <f t="shared" si="3"/>
        <v>0</v>
      </c>
      <c r="J15" s="60">
        <f t="shared" si="1"/>
        <v>0</v>
      </c>
    </row>
    <row r="16" spans="1:10" x14ac:dyDescent="0.25">
      <c r="A16" s="75"/>
      <c r="B16" s="182">
        <f t="shared" si="2"/>
        <v>0</v>
      </c>
      <c r="C16" s="15"/>
      <c r="D16" s="69">
        <v>0</v>
      </c>
      <c r="E16" s="252"/>
      <c r="F16" s="92">
        <f t="shared" si="0"/>
        <v>0</v>
      </c>
      <c r="G16" s="70"/>
      <c r="H16" s="71"/>
      <c r="I16" s="243">
        <f t="shared" si="3"/>
        <v>0</v>
      </c>
      <c r="J16" s="60">
        <f t="shared" si="1"/>
        <v>0</v>
      </c>
    </row>
    <row r="17" spans="1:10" x14ac:dyDescent="0.25">
      <c r="A17" s="75"/>
      <c r="B17" s="182">
        <f t="shared" si="2"/>
        <v>0</v>
      </c>
      <c r="C17" s="15"/>
      <c r="D17" s="69">
        <v>0</v>
      </c>
      <c r="E17" s="252"/>
      <c r="F17" s="92">
        <f t="shared" si="0"/>
        <v>0</v>
      </c>
      <c r="G17" s="70"/>
      <c r="H17" s="71"/>
      <c r="I17" s="243">
        <f t="shared" si="3"/>
        <v>0</v>
      </c>
      <c r="J17" s="60">
        <f t="shared" si="1"/>
        <v>0</v>
      </c>
    </row>
    <row r="18" spans="1:10" x14ac:dyDescent="0.25">
      <c r="A18" s="75"/>
      <c r="B18" s="182">
        <f t="shared" si="2"/>
        <v>0</v>
      </c>
      <c r="C18" s="15"/>
      <c r="D18" s="69">
        <v>0</v>
      </c>
      <c r="E18" s="252"/>
      <c r="F18" s="92">
        <f t="shared" si="0"/>
        <v>0</v>
      </c>
      <c r="G18" s="70"/>
      <c r="H18" s="71"/>
      <c r="I18" s="243">
        <f t="shared" si="3"/>
        <v>0</v>
      </c>
      <c r="J18" s="60">
        <f t="shared" si="1"/>
        <v>0</v>
      </c>
    </row>
    <row r="19" spans="1:10" x14ac:dyDescent="0.25">
      <c r="A19" s="75"/>
      <c r="B19" s="182">
        <f t="shared" si="2"/>
        <v>0</v>
      </c>
      <c r="C19" s="15"/>
      <c r="D19" s="69">
        <v>0</v>
      </c>
      <c r="E19" s="252"/>
      <c r="F19" s="92">
        <f t="shared" si="0"/>
        <v>0</v>
      </c>
      <c r="G19" s="70"/>
      <c r="H19" s="71"/>
      <c r="I19" s="243">
        <f t="shared" si="3"/>
        <v>0</v>
      </c>
      <c r="J19" s="60">
        <f t="shared" si="1"/>
        <v>0</v>
      </c>
    </row>
    <row r="20" spans="1:10" x14ac:dyDescent="0.25">
      <c r="A20" s="75"/>
      <c r="B20" s="182">
        <f t="shared" si="2"/>
        <v>0</v>
      </c>
      <c r="C20" s="15"/>
      <c r="D20" s="69">
        <v>0</v>
      </c>
      <c r="E20" s="252"/>
      <c r="F20" s="92">
        <f t="shared" si="0"/>
        <v>0</v>
      </c>
      <c r="G20" s="70"/>
      <c r="H20" s="71"/>
      <c r="I20" s="243">
        <f t="shared" si="3"/>
        <v>0</v>
      </c>
      <c r="J20" s="60">
        <f t="shared" si="1"/>
        <v>0</v>
      </c>
    </row>
    <row r="21" spans="1:10" x14ac:dyDescent="0.25">
      <c r="A21" s="75"/>
      <c r="B21" s="182">
        <f t="shared" si="2"/>
        <v>0</v>
      </c>
      <c r="C21" s="15"/>
      <c r="D21" s="69">
        <v>0</v>
      </c>
      <c r="E21" s="252"/>
      <c r="F21" s="92">
        <f t="shared" si="0"/>
        <v>0</v>
      </c>
      <c r="G21" s="70"/>
      <c r="H21" s="71"/>
      <c r="I21" s="243">
        <f t="shared" si="3"/>
        <v>0</v>
      </c>
      <c r="J21" s="60">
        <f t="shared" si="1"/>
        <v>0</v>
      </c>
    </row>
    <row r="22" spans="1:10" x14ac:dyDescent="0.25">
      <c r="A22" s="75"/>
      <c r="B22" s="182">
        <f t="shared" si="2"/>
        <v>0</v>
      </c>
      <c r="C22" s="15"/>
      <c r="D22" s="69">
        <v>0</v>
      </c>
      <c r="E22" s="252"/>
      <c r="F22" s="92">
        <f t="shared" si="0"/>
        <v>0</v>
      </c>
      <c r="G22" s="70"/>
      <c r="H22" s="71"/>
      <c r="I22" s="243">
        <f t="shared" si="3"/>
        <v>0</v>
      </c>
      <c r="J22" s="60">
        <f t="shared" si="1"/>
        <v>0</v>
      </c>
    </row>
    <row r="23" spans="1:10" x14ac:dyDescent="0.25">
      <c r="A23" s="19"/>
      <c r="B23" s="182">
        <f t="shared" si="2"/>
        <v>0</v>
      </c>
      <c r="C23" s="73"/>
      <c r="D23" s="69">
        <v>0</v>
      </c>
      <c r="E23" s="134"/>
      <c r="F23" s="92">
        <f t="shared" si="0"/>
        <v>0</v>
      </c>
      <c r="G23" s="70"/>
      <c r="H23" s="71"/>
      <c r="I23" s="243">
        <f t="shared" si="3"/>
        <v>0</v>
      </c>
      <c r="J23" s="60">
        <f t="shared" si="1"/>
        <v>0</v>
      </c>
    </row>
    <row r="24" spans="1:10" x14ac:dyDescent="0.25">
      <c r="A24" s="19"/>
      <c r="B24" s="182">
        <f t="shared" si="2"/>
        <v>0</v>
      </c>
      <c r="C24" s="73"/>
      <c r="D24" s="69">
        <v>0</v>
      </c>
      <c r="E24" s="563"/>
      <c r="F24" s="92">
        <f t="shared" si="0"/>
        <v>0</v>
      </c>
      <c r="G24" s="70"/>
      <c r="H24" s="71"/>
      <c r="I24" s="243">
        <f t="shared" si="3"/>
        <v>0</v>
      </c>
      <c r="J24" s="60">
        <f t="shared" si="1"/>
        <v>0</v>
      </c>
    </row>
    <row r="25" spans="1:10" x14ac:dyDescent="0.25">
      <c r="A25" s="19"/>
      <c r="B25" s="182">
        <f t="shared" si="2"/>
        <v>0</v>
      </c>
      <c r="C25" s="73"/>
      <c r="D25" s="69">
        <v>0</v>
      </c>
      <c r="E25" s="563"/>
      <c r="F25" s="92">
        <f t="shared" si="0"/>
        <v>0</v>
      </c>
      <c r="G25" s="561"/>
      <c r="H25" s="562"/>
      <c r="I25" s="243">
        <f t="shared" si="3"/>
        <v>0</v>
      </c>
      <c r="J25" s="60">
        <f t="shared" si="1"/>
        <v>0</v>
      </c>
    </row>
    <row r="26" spans="1:10" x14ac:dyDescent="0.25">
      <c r="A26" s="19"/>
      <c r="B26" s="182">
        <f t="shared" si="2"/>
        <v>0</v>
      </c>
      <c r="C26" s="15"/>
      <c r="D26" s="69">
        <v>0</v>
      </c>
      <c r="E26" s="563"/>
      <c r="F26" s="92">
        <f t="shared" si="0"/>
        <v>0</v>
      </c>
      <c r="G26" s="561"/>
      <c r="H26" s="562"/>
      <c r="I26" s="243">
        <f t="shared" si="3"/>
        <v>0</v>
      </c>
      <c r="J26" s="60">
        <f t="shared" si="1"/>
        <v>0</v>
      </c>
    </row>
    <row r="27" spans="1:10" x14ac:dyDescent="0.25">
      <c r="A27" s="19"/>
      <c r="B27" s="182">
        <f t="shared" si="2"/>
        <v>0</v>
      </c>
      <c r="C27" s="15"/>
      <c r="D27" s="69">
        <v>0</v>
      </c>
      <c r="E27" s="563"/>
      <c r="F27" s="92">
        <f t="shared" si="0"/>
        <v>0</v>
      </c>
      <c r="G27" s="561"/>
      <c r="H27" s="562"/>
      <c r="I27" s="243">
        <f t="shared" si="3"/>
        <v>0</v>
      </c>
      <c r="J27" s="60">
        <f t="shared" si="1"/>
        <v>0</v>
      </c>
    </row>
    <row r="28" spans="1:10" x14ac:dyDescent="0.25">
      <c r="B28" s="182">
        <f t="shared" si="2"/>
        <v>0</v>
      </c>
      <c r="C28" s="15"/>
      <c r="D28" s="69">
        <v>0</v>
      </c>
      <c r="E28" s="134"/>
      <c r="F28" s="92">
        <f t="shared" si="0"/>
        <v>0</v>
      </c>
      <c r="G28" s="70"/>
      <c r="H28" s="71"/>
      <c r="I28" s="243">
        <f t="shared" si="3"/>
        <v>0</v>
      </c>
      <c r="J28" s="60">
        <f t="shared" si="1"/>
        <v>0</v>
      </c>
    </row>
    <row r="29" spans="1:10" ht="15.75" thickBot="1" x14ac:dyDescent="0.3">
      <c r="A29" s="121"/>
      <c r="B29" s="182">
        <f t="shared" si="2"/>
        <v>0</v>
      </c>
      <c r="C29" s="37"/>
      <c r="D29" s="69">
        <v>0</v>
      </c>
      <c r="E29" s="246"/>
      <c r="F29" s="92">
        <f t="shared" si="0"/>
        <v>0</v>
      </c>
      <c r="G29" s="139"/>
      <c r="H29" s="198"/>
      <c r="I29" s="152"/>
      <c r="J29" s="60">
        <f>SUM(J9:J28)</f>
        <v>0</v>
      </c>
    </row>
    <row r="30" spans="1:10" ht="15.75" thickTop="1" x14ac:dyDescent="0.25">
      <c r="A30" s="47">
        <f>SUM(A29:A29)</f>
        <v>0</v>
      </c>
      <c r="C30" s="73"/>
      <c r="D30" s="105">
        <f>SUM(D9:D29)</f>
        <v>0</v>
      </c>
      <c r="E30" s="134"/>
      <c r="F30" s="105">
        <f>SUM(F9:F29)</f>
        <v>0</v>
      </c>
      <c r="G30" s="152"/>
      <c r="H30" s="152"/>
    </row>
    <row r="31" spans="1:10" ht="15.75" thickBot="1" x14ac:dyDescent="0.3">
      <c r="A31" s="47"/>
    </row>
    <row r="32" spans="1:10" x14ac:dyDescent="0.25">
      <c r="B32" s="184"/>
      <c r="D32" s="1375" t="s">
        <v>21</v>
      </c>
      <c r="E32" s="1376"/>
      <c r="F32" s="141">
        <f>G5-F30</f>
        <v>0</v>
      </c>
    </row>
    <row r="33" spans="1:6" ht="15.75" thickBot="1" x14ac:dyDescent="0.3">
      <c r="A33" s="125"/>
      <c r="D33" s="262" t="s">
        <v>4</v>
      </c>
      <c r="E33" s="263"/>
      <c r="F33" s="49">
        <v>0</v>
      </c>
    </row>
    <row r="34" spans="1:6" x14ac:dyDescent="0.25">
      <c r="B34" s="184"/>
    </row>
  </sheetData>
  <mergeCells count="4">
    <mergeCell ref="A1:G1"/>
    <mergeCell ref="A5:A6"/>
    <mergeCell ref="B5:B6"/>
    <mergeCell ref="D32:E3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1"/>
  <sheetViews>
    <sheetView zoomScaleNormal="100" workbookViewId="0">
      <selection activeCell="F19" sqref="F19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390" t="s">
        <v>339</v>
      </c>
      <c r="B1" s="1390"/>
      <c r="C1" s="1390"/>
      <c r="D1" s="1390"/>
      <c r="E1" s="1390"/>
      <c r="F1" s="1390"/>
      <c r="G1" s="1390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5"/>
      <c r="F4" s="12"/>
      <c r="G4" s="155"/>
      <c r="H4" s="155"/>
    </row>
    <row r="5" spans="1:9" x14ac:dyDescent="0.25">
      <c r="A5" t="s">
        <v>375</v>
      </c>
      <c r="C5" s="66">
        <v>300</v>
      </c>
      <c r="D5" s="134">
        <v>44900</v>
      </c>
      <c r="E5" s="86">
        <v>5</v>
      </c>
      <c r="F5" s="73">
        <v>1</v>
      </c>
      <c r="G5" s="237"/>
    </row>
    <row r="6" spans="1:9" ht="15.75" x14ac:dyDescent="0.25">
      <c r="A6" s="75"/>
      <c r="B6" s="495" t="s">
        <v>75</v>
      </c>
      <c r="C6" s="66"/>
      <c r="D6" s="134"/>
      <c r="E6" s="105"/>
      <c r="F6" s="73"/>
      <c r="G6" s="88">
        <f>F27</f>
        <v>5</v>
      </c>
      <c r="H6" s="7">
        <f>E6-G6+E5+E7+E4</f>
        <v>0</v>
      </c>
    </row>
    <row r="7" spans="1:9" ht="15.75" thickBot="1" x14ac:dyDescent="0.3">
      <c r="B7" s="178"/>
      <c r="C7" s="66"/>
      <c r="D7" s="134"/>
      <c r="E7" s="86"/>
      <c r="F7" s="73"/>
    </row>
    <row r="8" spans="1:9" ht="16.5" thickTop="1" thickBot="1" x14ac:dyDescent="0.3">
      <c r="B8" s="286" t="s">
        <v>7</v>
      </c>
      <c r="C8" s="281" t="s">
        <v>8</v>
      </c>
      <c r="D8" s="545" t="s">
        <v>17</v>
      </c>
      <c r="E8" s="283" t="s">
        <v>2</v>
      </c>
      <c r="F8" s="276" t="s">
        <v>18</v>
      </c>
      <c r="G8" s="284" t="s">
        <v>15</v>
      </c>
      <c r="H8" s="24"/>
    </row>
    <row r="9" spans="1:9" ht="15.75" thickTop="1" x14ac:dyDescent="0.25">
      <c r="A9" s="55" t="s">
        <v>32</v>
      </c>
      <c r="B9" s="416">
        <f>F5+F6+F7-C9+F4</f>
        <v>0</v>
      </c>
      <c r="C9" s="73">
        <v>1</v>
      </c>
      <c r="D9" s="69">
        <v>5</v>
      </c>
      <c r="E9" s="244">
        <v>44901</v>
      </c>
      <c r="F9" s="105">
        <f t="shared" ref="F9:F26" si="0">D9</f>
        <v>5</v>
      </c>
      <c r="G9" s="70" t="s">
        <v>616</v>
      </c>
      <c r="H9" s="71">
        <v>300</v>
      </c>
      <c r="I9" s="47">
        <f>E5+E6+E7-F9+E4</f>
        <v>0</v>
      </c>
    </row>
    <row r="10" spans="1:9" x14ac:dyDescent="0.25">
      <c r="B10" s="416">
        <f>B9-C10</f>
        <v>0</v>
      </c>
      <c r="C10" s="73"/>
      <c r="D10" s="69"/>
      <c r="E10" s="244"/>
      <c r="F10" s="1163">
        <f t="shared" si="0"/>
        <v>0</v>
      </c>
      <c r="G10" s="1166"/>
      <c r="H10" s="1167"/>
      <c r="I10" s="1170">
        <f>I9-F10</f>
        <v>0</v>
      </c>
    </row>
    <row r="11" spans="1:9" x14ac:dyDescent="0.25">
      <c r="B11" s="416">
        <f>B10-C11</f>
        <v>0</v>
      </c>
      <c r="C11" s="73"/>
      <c r="D11" s="69"/>
      <c r="E11" s="244"/>
      <c r="F11" s="1163">
        <f t="shared" si="0"/>
        <v>0</v>
      </c>
      <c r="G11" s="1166"/>
      <c r="H11" s="1167"/>
      <c r="I11" s="1170">
        <f t="shared" ref="I11:I26" si="1">I10-F11</f>
        <v>0</v>
      </c>
    </row>
    <row r="12" spans="1:9" x14ac:dyDescent="0.25">
      <c r="A12" s="55" t="s">
        <v>33</v>
      </c>
      <c r="B12" s="416">
        <f t="shared" ref="B12:B14" si="2">B11-C12</f>
        <v>0</v>
      </c>
      <c r="C12" s="73"/>
      <c r="D12" s="69"/>
      <c r="E12" s="244"/>
      <c r="F12" s="1163">
        <f t="shared" si="0"/>
        <v>0</v>
      </c>
      <c r="G12" s="1166"/>
      <c r="H12" s="1167"/>
      <c r="I12" s="1170">
        <f t="shared" si="1"/>
        <v>0</v>
      </c>
    </row>
    <row r="13" spans="1:9" x14ac:dyDescent="0.25">
      <c r="B13" s="416">
        <f t="shared" si="2"/>
        <v>0</v>
      </c>
      <c r="C13" s="73"/>
      <c r="D13" s="69"/>
      <c r="E13" s="244"/>
      <c r="F13" s="105">
        <f t="shared" si="0"/>
        <v>0</v>
      </c>
      <c r="G13" s="70"/>
      <c r="H13" s="71"/>
      <c r="I13" s="47">
        <f t="shared" si="1"/>
        <v>0</v>
      </c>
    </row>
    <row r="14" spans="1:9" x14ac:dyDescent="0.25">
      <c r="A14" s="19"/>
      <c r="B14" s="416">
        <f t="shared" si="2"/>
        <v>0</v>
      </c>
      <c r="C14" s="73"/>
      <c r="D14" s="69"/>
      <c r="E14" s="244"/>
      <c r="F14" s="105">
        <f t="shared" si="0"/>
        <v>0</v>
      </c>
      <c r="G14" s="70"/>
      <c r="H14" s="71"/>
      <c r="I14" s="47">
        <f t="shared" si="1"/>
        <v>0</v>
      </c>
    </row>
    <row r="15" spans="1:9" x14ac:dyDescent="0.25">
      <c r="B15" s="416">
        <f>B14-C15</f>
        <v>0</v>
      </c>
      <c r="C15" s="73"/>
      <c r="D15" s="69"/>
      <c r="E15" s="244"/>
      <c r="F15" s="105">
        <f t="shared" si="0"/>
        <v>0</v>
      </c>
      <c r="G15" s="70"/>
      <c r="H15" s="71"/>
      <c r="I15" s="47">
        <f t="shared" si="1"/>
        <v>0</v>
      </c>
    </row>
    <row r="16" spans="1:9" x14ac:dyDescent="0.25">
      <c r="B16" s="416">
        <f t="shared" ref="B16:B26" si="3">B15-C16</f>
        <v>0</v>
      </c>
      <c r="C16" s="73"/>
      <c r="D16" s="69"/>
      <c r="E16" s="244"/>
      <c r="F16" s="105">
        <f t="shared" si="0"/>
        <v>0</v>
      </c>
      <c r="G16" s="70"/>
      <c r="H16" s="71"/>
      <c r="I16" s="47">
        <f t="shared" si="1"/>
        <v>0</v>
      </c>
    </row>
    <row r="17" spans="1:9" x14ac:dyDescent="0.25">
      <c r="B17" s="416">
        <f t="shared" si="3"/>
        <v>0</v>
      </c>
      <c r="C17" s="73"/>
      <c r="D17" s="69"/>
      <c r="E17" s="244"/>
      <c r="F17" s="105">
        <f t="shared" si="0"/>
        <v>0</v>
      </c>
      <c r="G17" s="70"/>
      <c r="H17" s="71"/>
      <c r="I17" s="47">
        <f t="shared" si="1"/>
        <v>0</v>
      </c>
    </row>
    <row r="18" spans="1:9" x14ac:dyDescent="0.25">
      <c r="B18" s="416">
        <f t="shared" si="3"/>
        <v>0</v>
      </c>
      <c r="C18" s="73"/>
      <c r="D18" s="69"/>
      <c r="E18" s="244"/>
      <c r="F18" s="105">
        <f t="shared" si="0"/>
        <v>0</v>
      </c>
      <c r="G18" s="70"/>
      <c r="H18" s="71"/>
      <c r="I18" s="47">
        <f t="shared" si="1"/>
        <v>0</v>
      </c>
    </row>
    <row r="19" spans="1:9" x14ac:dyDescent="0.25">
      <c r="B19" s="416">
        <f t="shared" si="3"/>
        <v>0</v>
      </c>
      <c r="C19" s="73"/>
      <c r="D19" s="69"/>
      <c r="E19" s="244"/>
      <c r="F19" s="105">
        <f t="shared" si="0"/>
        <v>0</v>
      </c>
      <c r="G19" s="70"/>
      <c r="H19" s="71"/>
      <c r="I19" s="47">
        <f t="shared" si="1"/>
        <v>0</v>
      </c>
    </row>
    <row r="20" spans="1:9" x14ac:dyDescent="0.25">
      <c r="B20" s="416">
        <f t="shared" si="3"/>
        <v>0</v>
      </c>
      <c r="C20" s="73"/>
      <c r="D20" s="69"/>
      <c r="E20" s="244"/>
      <c r="F20" s="105">
        <f t="shared" si="0"/>
        <v>0</v>
      </c>
      <c r="G20" s="70"/>
      <c r="H20" s="71"/>
      <c r="I20" s="47">
        <f t="shared" si="1"/>
        <v>0</v>
      </c>
    </row>
    <row r="21" spans="1:9" x14ac:dyDescent="0.25">
      <c r="B21" s="416">
        <f t="shared" si="3"/>
        <v>0</v>
      </c>
      <c r="C21" s="73"/>
      <c r="D21" s="69"/>
      <c r="E21" s="244"/>
      <c r="F21" s="105">
        <f t="shared" si="0"/>
        <v>0</v>
      </c>
      <c r="G21" s="70"/>
      <c r="H21" s="71"/>
      <c r="I21" s="47">
        <f t="shared" si="1"/>
        <v>0</v>
      </c>
    </row>
    <row r="22" spans="1:9" x14ac:dyDescent="0.25">
      <c r="B22" s="416">
        <f t="shared" si="3"/>
        <v>0</v>
      </c>
      <c r="C22" s="73"/>
      <c r="D22" s="69"/>
      <c r="E22" s="244"/>
      <c r="F22" s="105">
        <f t="shared" si="0"/>
        <v>0</v>
      </c>
      <c r="G22" s="70"/>
      <c r="H22" s="71"/>
      <c r="I22" s="47">
        <f t="shared" si="1"/>
        <v>0</v>
      </c>
    </row>
    <row r="23" spans="1:9" x14ac:dyDescent="0.25">
      <c r="B23" s="416">
        <f t="shared" si="3"/>
        <v>0</v>
      </c>
      <c r="C23" s="15"/>
      <c r="D23" s="69"/>
      <c r="E23" s="244"/>
      <c r="F23" s="105">
        <f t="shared" si="0"/>
        <v>0</v>
      </c>
      <c r="G23" s="70"/>
      <c r="H23" s="71"/>
      <c r="I23" s="47">
        <f t="shared" si="1"/>
        <v>0</v>
      </c>
    </row>
    <row r="24" spans="1:9" x14ac:dyDescent="0.25">
      <c r="B24" s="416">
        <f t="shared" si="3"/>
        <v>0</v>
      </c>
      <c r="C24" s="15"/>
      <c r="D24" s="69"/>
      <c r="E24" s="244"/>
      <c r="F24" s="105">
        <f t="shared" si="0"/>
        <v>0</v>
      </c>
      <c r="G24" s="70"/>
      <c r="H24" s="71"/>
      <c r="I24" s="47">
        <f t="shared" si="1"/>
        <v>0</v>
      </c>
    </row>
    <row r="25" spans="1:9" x14ac:dyDescent="0.25">
      <c r="B25" s="416">
        <f t="shared" si="3"/>
        <v>0</v>
      </c>
      <c r="C25" s="15"/>
      <c r="D25" s="69"/>
      <c r="E25" s="244"/>
      <c r="F25" s="105">
        <f t="shared" si="0"/>
        <v>0</v>
      </c>
      <c r="G25" s="70"/>
      <c r="H25" s="71"/>
      <c r="I25" s="47">
        <f t="shared" si="1"/>
        <v>0</v>
      </c>
    </row>
    <row r="26" spans="1:9" ht="15.75" thickBot="1" x14ac:dyDescent="0.3">
      <c r="A26" s="121"/>
      <c r="B26" s="416">
        <f t="shared" si="3"/>
        <v>0</v>
      </c>
      <c r="C26" s="37"/>
      <c r="D26" s="69">
        <v>0</v>
      </c>
      <c r="E26" s="203"/>
      <c r="F26" s="105">
        <f t="shared" si="0"/>
        <v>0</v>
      </c>
      <c r="G26" s="139"/>
      <c r="H26" s="198"/>
      <c r="I26" s="47">
        <f t="shared" si="1"/>
        <v>0</v>
      </c>
    </row>
    <row r="27" spans="1:9" ht="15.75" thickTop="1" x14ac:dyDescent="0.25">
      <c r="A27" s="47">
        <f>SUM(A26:A26)</f>
        <v>0</v>
      </c>
      <c r="C27" s="73">
        <f>SUM(C9:C26)</f>
        <v>1</v>
      </c>
      <c r="D27" s="105">
        <f>SUM(D9:D26)</f>
        <v>5</v>
      </c>
      <c r="E27" s="75"/>
      <c r="F27" s="105">
        <f>SUM(F9:F26)</f>
        <v>5</v>
      </c>
      <c r="G27" s="152"/>
      <c r="H27" s="152"/>
    </row>
    <row r="28" spans="1:9" ht="15.75" thickBot="1" x14ac:dyDescent="0.3">
      <c r="A28" s="47"/>
    </row>
    <row r="29" spans="1:9" x14ac:dyDescent="0.25">
      <c r="B29" s="5"/>
      <c r="D29" s="1375" t="s">
        <v>21</v>
      </c>
      <c r="E29" s="1376"/>
      <c r="F29" s="141">
        <f>E5+E6-F27+E7+E4</f>
        <v>0</v>
      </c>
    </row>
    <row r="30" spans="1:9" ht="15.75" thickBot="1" x14ac:dyDescent="0.3">
      <c r="A30" s="125"/>
      <c r="D30" s="262" t="s">
        <v>4</v>
      </c>
      <c r="E30" s="263"/>
      <c r="F30" s="49">
        <f>F5+F6-C27+F7+F4</f>
        <v>0</v>
      </c>
    </row>
    <row r="31" spans="1:9" x14ac:dyDescent="0.25">
      <c r="B31" s="5"/>
    </row>
  </sheetData>
  <sortState ref="D4:F6">
    <sortCondition ref="D4:D6"/>
  </sortState>
  <mergeCells count="2">
    <mergeCell ref="A1:G1"/>
    <mergeCell ref="D29:E29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4"/>
  <sheetViews>
    <sheetView zoomScaleNormal="100" workbookViewId="0">
      <pane ySplit="8" topLeftCell="A9" activePane="bottomLeft" state="frozen"/>
      <selection pane="bottomLeft" activeCell="D21" sqref="D21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5"/>
    <col min="10" max="10" width="14.85546875" style="61" customWidth="1"/>
  </cols>
  <sheetData>
    <row r="1" spans="1:10" ht="36.75" customHeight="1" x14ac:dyDescent="0.55000000000000004">
      <c r="A1" s="1390" t="s">
        <v>339</v>
      </c>
      <c r="B1" s="1390"/>
      <c r="C1" s="1390"/>
      <c r="D1" s="1390"/>
      <c r="E1" s="1390"/>
      <c r="F1" s="1390"/>
      <c r="G1" s="1390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B4" s="73"/>
      <c r="C4" s="156"/>
      <c r="D4" s="149"/>
      <c r="E4" s="132"/>
      <c r="F4" s="73"/>
      <c r="G4" s="38"/>
    </row>
    <row r="5" spans="1:10" ht="15.75" x14ac:dyDescent="0.25">
      <c r="A5" s="75" t="s">
        <v>499</v>
      </c>
      <c r="B5" s="73"/>
      <c r="C5" s="156">
        <v>24.8</v>
      </c>
      <c r="D5" s="149">
        <v>45282</v>
      </c>
      <c r="E5" s="132">
        <v>3945.8</v>
      </c>
      <c r="F5" s="73">
        <v>4</v>
      </c>
      <c r="G5" s="88">
        <f>F30</f>
        <v>7642.1</v>
      </c>
      <c r="H5" s="154">
        <f>E5-G5+E6</f>
        <v>0</v>
      </c>
    </row>
    <row r="6" spans="1:10" ht="15.75" x14ac:dyDescent="0.25">
      <c r="A6" s="225" t="s">
        <v>500</v>
      </c>
      <c r="B6" s="431" t="s">
        <v>57</v>
      </c>
      <c r="C6" s="156">
        <v>24.8</v>
      </c>
      <c r="D6" s="149">
        <v>44921</v>
      </c>
      <c r="E6" s="132">
        <v>3696.3</v>
      </c>
      <c r="F6" s="73">
        <v>4</v>
      </c>
      <c r="G6" s="339"/>
    </row>
    <row r="7" spans="1:10" ht="15.75" thickBot="1" x14ac:dyDescent="0.3">
      <c r="B7" s="73"/>
      <c r="C7" s="156"/>
      <c r="D7" s="149"/>
      <c r="E7" s="132"/>
      <c r="F7" s="73"/>
    </row>
    <row r="8" spans="1:10" ht="17.25" thickTop="1" thickBot="1" x14ac:dyDescent="0.3">
      <c r="B8" s="419" t="s">
        <v>7</v>
      </c>
      <c r="C8" s="420" t="s">
        <v>8</v>
      </c>
      <c r="D8" s="421" t="s">
        <v>17</v>
      </c>
      <c r="E8" s="422" t="s">
        <v>2</v>
      </c>
      <c r="F8" s="423" t="s">
        <v>18</v>
      </c>
      <c r="G8" s="418" t="s">
        <v>55</v>
      </c>
      <c r="H8" s="24"/>
    </row>
    <row r="9" spans="1:10" ht="15.75" thickTop="1" x14ac:dyDescent="0.25">
      <c r="A9" s="55" t="s">
        <v>32</v>
      </c>
      <c r="B9" s="89"/>
      <c r="C9" s="424">
        <v>1</v>
      </c>
      <c r="D9" s="425">
        <v>979.76</v>
      </c>
      <c r="E9" s="426">
        <v>44917</v>
      </c>
      <c r="F9" s="427">
        <f>D9</f>
        <v>979.76</v>
      </c>
      <c r="G9" s="70" t="s">
        <v>788</v>
      </c>
      <c r="H9" s="71">
        <v>25.8</v>
      </c>
      <c r="I9" s="132">
        <f>E5+E6+E4+E7-F9</f>
        <v>6662.34</v>
      </c>
      <c r="J9" s="60">
        <f>H9*F9</f>
        <v>25277.808000000001</v>
      </c>
    </row>
    <row r="10" spans="1:10" x14ac:dyDescent="0.25">
      <c r="B10" s="89"/>
      <c r="C10" s="336">
        <v>1</v>
      </c>
      <c r="D10" s="337">
        <v>989.74</v>
      </c>
      <c r="E10" s="349">
        <v>44917</v>
      </c>
      <c r="F10" s="337">
        <f>D10</f>
        <v>989.74</v>
      </c>
      <c r="G10" s="70" t="s">
        <v>788</v>
      </c>
      <c r="H10" s="71">
        <v>25.8</v>
      </c>
      <c r="I10" s="132">
        <f>I9-F10</f>
        <v>5672.6</v>
      </c>
      <c r="J10" s="60">
        <f t="shared" ref="J10:J28" si="0">H10*F10</f>
        <v>25535.292000000001</v>
      </c>
    </row>
    <row r="11" spans="1:10" x14ac:dyDescent="0.25">
      <c r="B11" s="89"/>
      <c r="C11" s="336">
        <v>1</v>
      </c>
      <c r="D11" s="337">
        <v>978.4</v>
      </c>
      <c r="E11" s="349">
        <v>44917</v>
      </c>
      <c r="F11" s="337">
        <f t="shared" ref="F11:F29" si="1">D11</f>
        <v>978.4</v>
      </c>
      <c r="G11" s="70" t="s">
        <v>788</v>
      </c>
      <c r="H11" s="71">
        <v>25.8</v>
      </c>
      <c r="I11" s="132">
        <f t="shared" ref="I11:I28" si="2">I10-F11</f>
        <v>4694.2000000000007</v>
      </c>
      <c r="J11" s="60">
        <f t="shared" si="0"/>
        <v>25242.720000000001</v>
      </c>
    </row>
    <row r="12" spans="1:10" x14ac:dyDescent="0.25">
      <c r="A12" s="55" t="s">
        <v>33</v>
      </c>
      <c r="B12" s="89"/>
      <c r="C12" s="336">
        <v>1</v>
      </c>
      <c r="D12" s="337">
        <v>997.9</v>
      </c>
      <c r="E12" s="349">
        <v>44917</v>
      </c>
      <c r="F12" s="734">
        <f t="shared" si="1"/>
        <v>997.9</v>
      </c>
      <c r="G12" s="695" t="s">
        <v>788</v>
      </c>
      <c r="H12" s="696">
        <v>25.8</v>
      </c>
      <c r="I12" s="692">
        <f t="shared" si="2"/>
        <v>3696.3000000000006</v>
      </c>
      <c r="J12" s="730">
        <f t="shared" si="0"/>
        <v>25745.82</v>
      </c>
    </row>
    <row r="13" spans="1:10" x14ac:dyDescent="0.25">
      <c r="B13" s="89"/>
      <c r="C13" s="336">
        <v>1</v>
      </c>
      <c r="D13" s="337">
        <v>934.4</v>
      </c>
      <c r="E13" s="349">
        <v>44921</v>
      </c>
      <c r="F13" s="734">
        <f t="shared" si="1"/>
        <v>934.4</v>
      </c>
      <c r="G13" s="695" t="s">
        <v>811</v>
      </c>
      <c r="H13" s="696">
        <v>25.8</v>
      </c>
      <c r="I13" s="692">
        <f t="shared" si="2"/>
        <v>2761.9000000000005</v>
      </c>
      <c r="J13" s="730">
        <f t="shared" si="0"/>
        <v>24107.52</v>
      </c>
    </row>
    <row r="14" spans="1:10" x14ac:dyDescent="0.25">
      <c r="A14" s="19"/>
      <c r="B14" s="89"/>
      <c r="C14" s="336">
        <v>1</v>
      </c>
      <c r="D14" s="337">
        <v>910.35</v>
      </c>
      <c r="E14" s="349">
        <v>44921</v>
      </c>
      <c r="F14" s="734">
        <f t="shared" si="1"/>
        <v>910.35</v>
      </c>
      <c r="G14" s="695" t="s">
        <v>811</v>
      </c>
      <c r="H14" s="696">
        <v>25.8</v>
      </c>
      <c r="I14" s="692">
        <f t="shared" si="2"/>
        <v>1851.5500000000006</v>
      </c>
      <c r="J14" s="730">
        <f t="shared" si="0"/>
        <v>23487.030000000002</v>
      </c>
    </row>
    <row r="15" spans="1:10" x14ac:dyDescent="0.25">
      <c r="B15" s="89"/>
      <c r="C15" s="336">
        <v>1</v>
      </c>
      <c r="D15" s="337">
        <v>966.6</v>
      </c>
      <c r="E15" s="349">
        <v>44921</v>
      </c>
      <c r="F15" s="734">
        <f t="shared" si="1"/>
        <v>966.6</v>
      </c>
      <c r="G15" s="695" t="s">
        <v>811</v>
      </c>
      <c r="H15" s="696">
        <v>25.8</v>
      </c>
      <c r="I15" s="692">
        <f t="shared" si="2"/>
        <v>884.95000000000061</v>
      </c>
      <c r="J15" s="730">
        <f t="shared" si="0"/>
        <v>24938.280000000002</v>
      </c>
    </row>
    <row r="16" spans="1:10" x14ac:dyDescent="0.25">
      <c r="B16" s="89"/>
      <c r="C16" s="336">
        <v>1</v>
      </c>
      <c r="D16" s="337">
        <v>884.95</v>
      </c>
      <c r="E16" s="349">
        <v>44921</v>
      </c>
      <c r="F16" s="734">
        <f t="shared" si="1"/>
        <v>884.95</v>
      </c>
      <c r="G16" s="695" t="s">
        <v>811</v>
      </c>
      <c r="H16" s="696">
        <v>25.8</v>
      </c>
      <c r="I16" s="692">
        <f t="shared" si="2"/>
        <v>0</v>
      </c>
      <c r="J16" s="730">
        <f t="shared" si="0"/>
        <v>22831.710000000003</v>
      </c>
    </row>
    <row r="17" spans="1:10" x14ac:dyDescent="0.25">
      <c r="B17" s="89"/>
      <c r="C17" s="336"/>
      <c r="D17" s="337"/>
      <c r="E17" s="349"/>
      <c r="F17" s="1205">
        <f t="shared" si="1"/>
        <v>0</v>
      </c>
      <c r="G17" s="1166"/>
      <c r="H17" s="1167"/>
      <c r="I17" s="1184">
        <f t="shared" si="2"/>
        <v>0</v>
      </c>
      <c r="J17" s="1182">
        <f t="shared" si="0"/>
        <v>0</v>
      </c>
    </row>
    <row r="18" spans="1:10" x14ac:dyDescent="0.25">
      <c r="B18" s="89"/>
      <c r="C18" s="336"/>
      <c r="D18" s="337"/>
      <c r="E18" s="349"/>
      <c r="F18" s="1205">
        <f t="shared" si="1"/>
        <v>0</v>
      </c>
      <c r="G18" s="1166"/>
      <c r="H18" s="1167"/>
      <c r="I18" s="1184">
        <f t="shared" si="2"/>
        <v>0</v>
      </c>
      <c r="J18" s="1182">
        <f t="shared" si="0"/>
        <v>0</v>
      </c>
    </row>
    <row r="19" spans="1:10" x14ac:dyDescent="0.25">
      <c r="B19" s="89"/>
      <c r="C19" s="336"/>
      <c r="D19" s="337"/>
      <c r="E19" s="349"/>
      <c r="F19" s="1205">
        <f t="shared" si="1"/>
        <v>0</v>
      </c>
      <c r="G19" s="1166"/>
      <c r="H19" s="1167"/>
      <c r="I19" s="1184">
        <f t="shared" si="2"/>
        <v>0</v>
      </c>
      <c r="J19" s="1182">
        <f t="shared" si="0"/>
        <v>0</v>
      </c>
    </row>
    <row r="20" spans="1:10" x14ac:dyDescent="0.25">
      <c r="B20" s="89"/>
      <c r="C20" s="336"/>
      <c r="D20" s="337"/>
      <c r="E20" s="349"/>
      <c r="F20" s="1205">
        <f t="shared" si="1"/>
        <v>0</v>
      </c>
      <c r="G20" s="1166"/>
      <c r="H20" s="1167"/>
      <c r="I20" s="1184">
        <f t="shared" si="2"/>
        <v>0</v>
      </c>
      <c r="J20" s="1182">
        <f t="shared" si="0"/>
        <v>0</v>
      </c>
    </row>
    <row r="21" spans="1:10" x14ac:dyDescent="0.25">
      <c r="B21" s="89"/>
      <c r="C21" s="336"/>
      <c r="D21" s="337"/>
      <c r="E21" s="349"/>
      <c r="F21" s="337">
        <f t="shared" si="1"/>
        <v>0</v>
      </c>
      <c r="G21" s="70"/>
      <c r="H21" s="71"/>
      <c r="I21" s="132">
        <f t="shared" si="2"/>
        <v>0</v>
      </c>
      <c r="J21" s="60">
        <f t="shared" si="0"/>
        <v>0</v>
      </c>
    </row>
    <row r="22" spans="1:10" x14ac:dyDescent="0.25">
      <c r="B22" s="89"/>
      <c r="C22" s="336"/>
      <c r="D22" s="337"/>
      <c r="E22" s="349"/>
      <c r="F22" s="337">
        <f t="shared" si="1"/>
        <v>0</v>
      </c>
      <c r="G22" s="70"/>
      <c r="H22" s="71"/>
      <c r="I22" s="132">
        <f t="shared" si="2"/>
        <v>0</v>
      </c>
      <c r="J22" s="60">
        <f t="shared" si="0"/>
        <v>0</v>
      </c>
    </row>
    <row r="23" spans="1:10" x14ac:dyDescent="0.25">
      <c r="B23" s="89"/>
      <c r="C23" s="336"/>
      <c r="D23" s="337"/>
      <c r="E23" s="349"/>
      <c r="F23" s="337">
        <f t="shared" si="1"/>
        <v>0</v>
      </c>
      <c r="G23" s="70"/>
      <c r="H23" s="71"/>
      <c r="I23" s="132">
        <f t="shared" si="2"/>
        <v>0</v>
      </c>
      <c r="J23" s="60">
        <f t="shared" si="0"/>
        <v>0</v>
      </c>
    </row>
    <row r="24" spans="1:10" x14ac:dyDescent="0.25">
      <c r="B24" s="89"/>
      <c r="C24" s="336"/>
      <c r="D24" s="337"/>
      <c r="E24" s="349"/>
      <c r="F24" s="337">
        <f t="shared" si="1"/>
        <v>0</v>
      </c>
      <c r="G24" s="70"/>
      <c r="H24" s="71"/>
      <c r="I24" s="132">
        <f t="shared" si="2"/>
        <v>0</v>
      </c>
      <c r="J24" s="60">
        <f t="shared" si="0"/>
        <v>0</v>
      </c>
    </row>
    <row r="25" spans="1:10" x14ac:dyDescent="0.25">
      <c r="B25" s="89"/>
      <c r="C25" s="336"/>
      <c r="D25" s="337"/>
      <c r="E25" s="349"/>
      <c r="F25" s="337">
        <f t="shared" si="1"/>
        <v>0</v>
      </c>
      <c r="G25" s="70"/>
      <c r="H25" s="71"/>
      <c r="I25" s="132">
        <f t="shared" si="2"/>
        <v>0</v>
      </c>
      <c r="J25" s="60">
        <f t="shared" si="0"/>
        <v>0</v>
      </c>
    </row>
    <row r="26" spans="1:10" x14ac:dyDescent="0.25">
      <c r="B26" s="89"/>
      <c r="C26" s="336"/>
      <c r="D26" s="337"/>
      <c r="E26" s="349"/>
      <c r="F26" s="337">
        <f t="shared" si="1"/>
        <v>0</v>
      </c>
      <c r="G26" s="70"/>
      <c r="H26" s="71"/>
      <c r="I26" s="132">
        <f t="shared" si="2"/>
        <v>0</v>
      </c>
      <c r="J26" s="60">
        <f t="shared" si="0"/>
        <v>0</v>
      </c>
    </row>
    <row r="27" spans="1:10" x14ac:dyDescent="0.25">
      <c r="B27" s="89"/>
      <c r="C27" s="336"/>
      <c r="D27" s="337"/>
      <c r="E27" s="349"/>
      <c r="F27" s="337">
        <f t="shared" si="1"/>
        <v>0</v>
      </c>
      <c r="G27" s="70"/>
      <c r="H27" s="71"/>
      <c r="I27" s="132">
        <f t="shared" si="2"/>
        <v>0</v>
      </c>
      <c r="J27" s="60">
        <f t="shared" si="0"/>
        <v>0</v>
      </c>
    </row>
    <row r="28" spans="1:10" x14ac:dyDescent="0.25">
      <c r="B28" s="89"/>
      <c r="C28" s="336"/>
      <c r="D28" s="337"/>
      <c r="E28" s="349"/>
      <c r="F28" s="337">
        <f t="shared" si="1"/>
        <v>0</v>
      </c>
      <c r="G28" s="70"/>
      <c r="H28" s="71"/>
      <c r="I28" s="132">
        <f t="shared" si="2"/>
        <v>0</v>
      </c>
      <c r="J28" s="60">
        <f t="shared" si="0"/>
        <v>0</v>
      </c>
    </row>
    <row r="29" spans="1:10" ht="15.75" thickBot="1" x14ac:dyDescent="0.3">
      <c r="A29" s="121"/>
      <c r="B29" s="96"/>
      <c r="C29" s="428"/>
      <c r="D29" s="429"/>
      <c r="E29" s="430"/>
      <c r="F29" s="337">
        <f t="shared" si="1"/>
        <v>0</v>
      </c>
      <c r="G29" s="104"/>
      <c r="H29" s="169"/>
      <c r="J29" s="60">
        <f>SUM(J9:J28)</f>
        <v>197166.18000000002</v>
      </c>
    </row>
    <row r="30" spans="1:10" ht="15.75" thickTop="1" x14ac:dyDescent="0.25">
      <c r="A30" s="47">
        <f>SUM(A29:A29)</f>
        <v>0</v>
      </c>
      <c r="C30" s="73">
        <f>SUM(C9:C29)</f>
        <v>8</v>
      </c>
      <c r="D30" s="105">
        <f>SUM(D9:D29)</f>
        <v>7642.1</v>
      </c>
      <c r="E30" s="75"/>
      <c r="F30" s="105">
        <f>SUM(F9:F29)</f>
        <v>7642.1</v>
      </c>
    </row>
    <row r="31" spans="1:10" ht="15.75" thickBot="1" x14ac:dyDescent="0.3">
      <c r="A31" s="47"/>
    </row>
    <row r="32" spans="1:10" x14ac:dyDescent="0.25">
      <c r="B32" s="5"/>
      <c r="D32" s="1375" t="s">
        <v>21</v>
      </c>
      <c r="E32" s="1376"/>
      <c r="F32" s="141">
        <f>E5-F30+E6+E7</f>
        <v>0</v>
      </c>
    </row>
    <row r="33" spans="1:6" ht="15.75" thickBot="1" x14ac:dyDescent="0.3">
      <c r="A33" s="125"/>
      <c r="D33" s="262" t="s">
        <v>4</v>
      </c>
      <c r="E33" s="263"/>
      <c r="F33" s="49"/>
    </row>
    <row r="34" spans="1:6" x14ac:dyDescent="0.25">
      <c r="B34" s="5"/>
    </row>
  </sheetData>
  <mergeCells count="2">
    <mergeCell ref="A1:G1"/>
    <mergeCell ref="D32:E32"/>
  </mergeCells>
  <phoneticPr fontId="48" type="noConversion"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S31"/>
  <sheetViews>
    <sheetView topLeftCell="G1" workbookViewId="0">
      <selection activeCell="L15" sqref="L15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  <col min="9" max="9" width="11.42578125" style="75"/>
    <col min="11" max="11" width="32.42578125" bestFit="1" customWidth="1"/>
    <col min="12" max="12" width="17.7109375" bestFit="1" customWidth="1"/>
    <col min="13" max="13" width="13.28515625" bestFit="1" customWidth="1"/>
    <col min="16" max="16" width="12" customWidth="1"/>
    <col min="19" max="19" width="11.42578125" style="75"/>
  </cols>
  <sheetData>
    <row r="1" spans="1:19" ht="36.75" customHeight="1" x14ac:dyDescent="0.55000000000000004">
      <c r="A1" s="1386" t="s">
        <v>218</v>
      </c>
      <c r="B1" s="1386"/>
      <c r="C1" s="1386"/>
      <c r="D1" s="1386"/>
      <c r="E1" s="1386"/>
      <c r="F1" s="1386"/>
      <c r="G1" s="1386"/>
      <c r="H1" s="11">
        <v>1</v>
      </c>
      <c r="K1" s="1390" t="s">
        <v>339</v>
      </c>
      <c r="L1" s="1390"/>
      <c r="M1" s="1390"/>
      <c r="N1" s="1390"/>
      <c r="O1" s="1390"/>
      <c r="P1" s="1390"/>
      <c r="Q1" s="1390"/>
      <c r="R1" s="11">
        <v>1</v>
      </c>
    </row>
    <row r="2" spans="1:19" ht="15.75" thickBot="1" x14ac:dyDescent="0.3"/>
    <row r="3" spans="1:1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19" ht="15.75" thickTop="1" x14ac:dyDescent="0.25">
      <c r="A4" s="12"/>
      <c r="B4" s="12"/>
      <c r="C4" s="12"/>
      <c r="D4" s="12"/>
      <c r="E4" s="95"/>
      <c r="F4" s="12"/>
      <c r="G4" s="155"/>
      <c r="H4" s="155"/>
      <c r="K4" s="12"/>
      <c r="L4" s="12"/>
      <c r="M4" s="12"/>
      <c r="N4" s="12"/>
      <c r="O4" s="95"/>
      <c r="P4" s="12"/>
      <c r="Q4" s="155"/>
      <c r="R4" s="155"/>
    </row>
    <row r="5" spans="1:19" ht="15" customHeight="1" x14ac:dyDescent="0.25">
      <c r="A5" s="1398" t="s">
        <v>97</v>
      </c>
      <c r="B5" s="1400" t="s">
        <v>98</v>
      </c>
      <c r="C5" s="66">
        <v>59</v>
      </c>
      <c r="D5" s="134">
        <v>44786</v>
      </c>
      <c r="E5" s="86">
        <v>1019.43</v>
      </c>
      <c r="F5" s="73">
        <v>33</v>
      </c>
      <c r="G5" s="237"/>
      <c r="K5" s="1398" t="s">
        <v>97</v>
      </c>
      <c r="L5" s="1400" t="s">
        <v>98</v>
      </c>
      <c r="M5" s="66">
        <v>85</v>
      </c>
      <c r="N5" s="134">
        <v>44916</v>
      </c>
      <c r="O5" s="86">
        <v>524.9</v>
      </c>
      <c r="P5" s="73">
        <v>17</v>
      </c>
      <c r="Q5" s="1113"/>
    </row>
    <row r="6" spans="1:19" ht="15.75" customHeight="1" x14ac:dyDescent="0.25">
      <c r="A6" s="1398"/>
      <c r="B6" s="1400"/>
      <c r="C6" s="66"/>
      <c r="D6" s="134"/>
      <c r="E6" s="105"/>
      <c r="F6" s="1158"/>
      <c r="G6" s="1192">
        <f>F27</f>
        <v>1019.4300000000001</v>
      </c>
      <c r="H6" s="7">
        <f>E6-G6+E5+E7+E4</f>
        <v>-1.1368683772161603E-13</v>
      </c>
      <c r="K6" s="1398"/>
      <c r="L6" s="1400"/>
      <c r="M6" s="66">
        <v>85</v>
      </c>
      <c r="N6" s="134">
        <v>44919</v>
      </c>
      <c r="O6" s="105">
        <v>495.17</v>
      </c>
      <c r="P6" s="73">
        <v>17</v>
      </c>
      <c r="Q6" s="88">
        <f>P27</f>
        <v>1260.43</v>
      </c>
      <c r="R6" s="7">
        <f>O6-Q6+O5+O7+O4</f>
        <v>788.32</v>
      </c>
    </row>
    <row r="7" spans="1:19" ht="15.75" thickBot="1" x14ac:dyDescent="0.3">
      <c r="B7" s="178"/>
      <c r="C7" s="66"/>
      <c r="D7" s="134"/>
      <c r="E7" s="86"/>
      <c r="F7" s="1158"/>
      <c r="G7" s="671"/>
      <c r="L7" s="178"/>
      <c r="M7" s="66">
        <v>85</v>
      </c>
      <c r="N7" s="134">
        <v>44924</v>
      </c>
      <c r="O7" s="86">
        <v>1028.68</v>
      </c>
      <c r="P7" s="73">
        <v>35</v>
      </c>
    </row>
    <row r="8" spans="1:19" ht="16.5" thickTop="1" thickBot="1" x14ac:dyDescent="0.3">
      <c r="B8" s="286" t="s">
        <v>7</v>
      </c>
      <c r="C8" s="281" t="s">
        <v>8</v>
      </c>
      <c r="D8" s="545" t="s">
        <v>17</v>
      </c>
      <c r="E8" s="283" t="s">
        <v>2</v>
      </c>
      <c r="F8" s="276" t="s">
        <v>18</v>
      </c>
      <c r="G8" s="284" t="s">
        <v>15</v>
      </c>
      <c r="H8" s="24"/>
      <c r="L8" s="286" t="s">
        <v>7</v>
      </c>
      <c r="M8" s="281" t="s">
        <v>8</v>
      </c>
      <c r="N8" s="545" t="s">
        <v>17</v>
      </c>
      <c r="O8" s="283" t="s">
        <v>2</v>
      </c>
      <c r="P8" s="276" t="s">
        <v>18</v>
      </c>
      <c r="Q8" s="284" t="s">
        <v>15</v>
      </c>
      <c r="R8" s="24"/>
    </row>
    <row r="9" spans="1:19" ht="15.75" thickTop="1" x14ac:dyDescent="0.25">
      <c r="A9" s="55" t="s">
        <v>32</v>
      </c>
      <c r="B9" s="416">
        <f>F5+F6+F7-C9+F4</f>
        <v>26</v>
      </c>
      <c r="C9" s="73">
        <v>7</v>
      </c>
      <c r="D9" s="69">
        <v>205.24</v>
      </c>
      <c r="E9" s="244">
        <v>44786</v>
      </c>
      <c r="F9" s="105">
        <f t="shared" ref="F9:F26" si="0">D9</f>
        <v>205.24</v>
      </c>
      <c r="G9" s="70" t="s">
        <v>129</v>
      </c>
      <c r="H9" s="71">
        <v>61</v>
      </c>
      <c r="I9" s="132">
        <f>E5+E6+E7-F9+E4</f>
        <v>814.18999999999994</v>
      </c>
      <c r="K9" s="55" t="s">
        <v>32</v>
      </c>
      <c r="L9" s="416">
        <f>P5+P6+P7-M9+P4</f>
        <v>49</v>
      </c>
      <c r="M9" s="73">
        <v>20</v>
      </c>
      <c r="N9" s="69">
        <v>616.96</v>
      </c>
      <c r="O9" s="244">
        <v>44922</v>
      </c>
      <c r="P9" s="105">
        <f t="shared" ref="P9:P26" si="1">N9</f>
        <v>616.96</v>
      </c>
      <c r="Q9" s="70" t="s">
        <v>834</v>
      </c>
      <c r="R9" s="71">
        <v>87</v>
      </c>
      <c r="S9" s="132">
        <f>O5+O6+O7-P9+O4</f>
        <v>1431.79</v>
      </c>
    </row>
    <row r="10" spans="1:19" x14ac:dyDescent="0.25">
      <c r="B10" s="416">
        <f>B9-C10</f>
        <v>25</v>
      </c>
      <c r="C10" s="73">
        <v>1</v>
      </c>
      <c r="D10" s="69">
        <v>27.51</v>
      </c>
      <c r="E10" s="244">
        <v>44788</v>
      </c>
      <c r="F10" s="105">
        <f t="shared" si="0"/>
        <v>27.51</v>
      </c>
      <c r="G10" s="70" t="s">
        <v>130</v>
      </c>
      <c r="H10" s="71">
        <v>61</v>
      </c>
      <c r="I10" s="132">
        <f>I9-F10</f>
        <v>786.68</v>
      </c>
      <c r="L10" s="416">
        <f>L9-M10</f>
        <v>38</v>
      </c>
      <c r="M10" s="73">
        <v>11</v>
      </c>
      <c r="N10" s="69">
        <v>312.37</v>
      </c>
      <c r="O10" s="244">
        <v>44922</v>
      </c>
      <c r="P10" s="105">
        <f t="shared" si="1"/>
        <v>312.37</v>
      </c>
      <c r="Q10" s="70" t="s">
        <v>804</v>
      </c>
      <c r="R10" s="71">
        <v>87</v>
      </c>
      <c r="S10" s="132">
        <f>S9-P10</f>
        <v>1119.42</v>
      </c>
    </row>
    <row r="11" spans="1:19" x14ac:dyDescent="0.25">
      <c r="B11" s="416">
        <f>B10-C11</f>
        <v>24</v>
      </c>
      <c r="C11" s="73">
        <v>1</v>
      </c>
      <c r="D11" s="124">
        <v>29.71</v>
      </c>
      <c r="E11" s="289">
        <v>44795</v>
      </c>
      <c r="F11" s="464">
        <f t="shared" si="0"/>
        <v>29.71</v>
      </c>
      <c r="G11" s="465" t="s">
        <v>138</v>
      </c>
      <c r="H11" s="379">
        <v>58</v>
      </c>
      <c r="I11" s="132">
        <f t="shared" ref="I11:I26" si="2">I10-F11</f>
        <v>756.96999999999991</v>
      </c>
      <c r="L11" s="416">
        <f>L10-M11</f>
        <v>37</v>
      </c>
      <c r="M11" s="73">
        <v>1</v>
      </c>
      <c r="N11" s="69">
        <v>33.03</v>
      </c>
      <c r="O11" s="244">
        <v>44922</v>
      </c>
      <c r="P11" s="105">
        <f t="shared" si="1"/>
        <v>33.03</v>
      </c>
      <c r="Q11" s="70" t="s">
        <v>835</v>
      </c>
      <c r="R11" s="71">
        <v>87</v>
      </c>
      <c r="S11" s="132">
        <f t="shared" ref="S11:S26" si="3">S10-P11</f>
        <v>1086.3900000000001</v>
      </c>
    </row>
    <row r="12" spans="1:19" x14ac:dyDescent="0.25">
      <c r="A12" s="55" t="s">
        <v>33</v>
      </c>
      <c r="B12" s="416">
        <f t="shared" ref="B12:B14" si="4">B11-C12</f>
        <v>23</v>
      </c>
      <c r="C12" s="73">
        <v>1</v>
      </c>
      <c r="D12" s="626">
        <v>34.119999999999997</v>
      </c>
      <c r="E12" s="628">
        <v>44807</v>
      </c>
      <c r="F12" s="629">
        <f t="shared" si="0"/>
        <v>34.119999999999997</v>
      </c>
      <c r="G12" s="627" t="s">
        <v>151</v>
      </c>
      <c r="H12" s="379">
        <v>61</v>
      </c>
      <c r="I12" s="132">
        <f t="shared" si="2"/>
        <v>722.84999999999991</v>
      </c>
      <c r="K12" s="55" t="s">
        <v>33</v>
      </c>
      <c r="L12" s="1116">
        <f t="shared" ref="L12:L14" si="5">L11-M12</f>
        <v>27</v>
      </c>
      <c r="M12" s="709">
        <v>10</v>
      </c>
      <c r="N12" s="697">
        <v>298.07</v>
      </c>
      <c r="O12" s="836">
        <v>44932</v>
      </c>
      <c r="P12" s="731">
        <f t="shared" si="1"/>
        <v>298.07</v>
      </c>
      <c r="Q12" s="695" t="s">
        <v>900</v>
      </c>
      <c r="R12" s="696">
        <v>85</v>
      </c>
      <c r="S12" s="692">
        <f t="shared" si="3"/>
        <v>788.32000000000016</v>
      </c>
    </row>
    <row r="13" spans="1:19" x14ac:dyDescent="0.25">
      <c r="B13" s="416">
        <f t="shared" si="4"/>
        <v>22</v>
      </c>
      <c r="C13" s="73">
        <v>1</v>
      </c>
      <c r="D13" s="626">
        <v>32.950000000000003</v>
      </c>
      <c r="E13" s="628">
        <v>44818</v>
      </c>
      <c r="F13" s="629">
        <f t="shared" si="0"/>
        <v>32.950000000000003</v>
      </c>
      <c r="G13" s="627" t="s">
        <v>158</v>
      </c>
      <c r="H13" s="379">
        <v>62</v>
      </c>
      <c r="I13" s="132">
        <f t="shared" si="2"/>
        <v>689.89999999999986</v>
      </c>
      <c r="L13" s="1116">
        <f t="shared" si="5"/>
        <v>27</v>
      </c>
      <c r="M13" s="709"/>
      <c r="N13" s="697"/>
      <c r="O13" s="836"/>
      <c r="P13" s="731">
        <f t="shared" si="1"/>
        <v>0</v>
      </c>
      <c r="Q13" s="695"/>
      <c r="R13" s="1117"/>
      <c r="S13" s="692">
        <f t="shared" si="3"/>
        <v>788.32000000000016</v>
      </c>
    </row>
    <row r="14" spans="1:19" x14ac:dyDescent="0.25">
      <c r="A14" s="19"/>
      <c r="B14" s="416">
        <f t="shared" si="4"/>
        <v>21</v>
      </c>
      <c r="C14" s="73">
        <v>1</v>
      </c>
      <c r="D14" s="626">
        <v>32.700000000000003</v>
      </c>
      <c r="E14" s="628">
        <v>44819</v>
      </c>
      <c r="F14" s="629">
        <f t="shared" si="0"/>
        <v>32.700000000000003</v>
      </c>
      <c r="G14" s="627" t="s">
        <v>159</v>
      </c>
      <c r="H14" s="379">
        <v>61</v>
      </c>
      <c r="I14" s="132">
        <f t="shared" si="2"/>
        <v>657.19999999999982</v>
      </c>
      <c r="K14" s="19"/>
      <c r="L14" s="1116">
        <f t="shared" si="5"/>
        <v>27</v>
      </c>
      <c r="M14" s="709"/>
      <c r="N14" s="697"/>
      <c r="O14" s="836"/>
      <c r="P14" s="731">
        <f t="shared" si="1"/>
        <v>0</v>
      </c>
      <c r="Q14" s="695"/>
      <c r="R14" s="1117"/>
      <c r="S14" s="692">
        <f t="shared" si="3"/>
        <v>788.32000000000016</v>
      </c>
    </row>
    <row r="15" spans="1:19" x14ac:dyDescent="0.25">
      <c r="B15" s="812">
        <f>B14-C15</f>
        <v>20</v>
      </c>
      <c r="C15" s="73">
        <v>1</v>
      </c>
      <c r="D15" s="626">
        <v>32.630000000000003</v>
      </c>
      <c r="E15" s="628">
        <v>44819</v>
      </c>
      <c r="F15" s="629">
        <f t="shared" si="0"/>
        <v>32.630000000000003</v>
      </c>
      <c r="G15" s="627" t="s">
        <v>161</v>
      </c>
      <c r="H15" s="379">
        <v>61</v>
      </c>
      <c r="I15" s="320">
        <f t="shared" si="2"/>
        <v>624.56999999999982</v>
      </c>
      <c r="L15" s="1116">
        <f>L14-M15</f>
        <v>27</v>
      </c>
      <c r="M15" s="709"/>
      <c r="N15" s="697"/>
      <c r="O15" s="836"/>
      <c r="P15" s="731">
        <f t="shared" si="1"/>
        <v>0</v>
      </c>
      <c r="Q15" s="695"/>
      <c r="R15" s="1117"/>
      <c r="S15" s="692">
        <f t="shared" si="3"/>
        <v>788.32000000000016</v>
      </c>
    </row>
    <row r="16" spans="1:19" x14ac:dyDescent="0.25">
      <c r="B16" s="416">
        <f t="shared" ref="B16:B26" si="6">B15-C16</f>
        <v>17</v>
      </c>
      <c r="C16" s="73">
        <v>3</v>
      </c>
      <c r="D16" s="534">
        <v>88.2</v>
      </c>
      <c r="E16" s="735">
        <v>44837</v>
      </c>
      <c r="F16" s="736">
        <f t="shared" si="0"/>
        <v>88.2</v>
      </c>
      <c r="G16" s="329" t="s">
        <v>181</v>
      </c>
      <c r="H16" s="330">
        <v>61</v>
      </c>
      <c r="I16" s="132">
        <f t="shared" si="2"/>
        <v>536.36999999999978</v>
      </c>
      <c r="L16" s="1116">
        <f t="shared" ref="L16:L26" si="7">L15-M16</f>
        <v>27</v>
      </c>
      <c r="M16" s="709"/>
      <c r="N16" s="697"/>
      <c r="O16" s="836"/>
      <c r="P16" s="731">
        <f t="shared" si="1"/>
        <v>0</v>
      </c>
      <c r="Q16" s="695"/>
      <c r="R16" s="986"/>
      <c r="S16" s="692">
        <f t="shared" si="3"/>
        <v>788.32000000000016</v>
      </c>
    </row>
    <row r="17" spans="1:19" x14ac:dyDescent="0.25">
      <c r="B17" s="416">
        <f t="shared" si="6"/>
        <v>16</v>
      </c>
      <c r="C17" s="73">
        <v>1</v>
      </c>
      <c r="D17" s="534">
        <v>32.49</v>
      </c>
      <c r="E17" s="735">
        <v>44844</v>
      </c>
      <c r="F17" s="736">
        <f t="shared" si="0"/>
        <v>32.49</v>
      </c>
      <c r="G17" s="329" t="s">
        <v>188</v>
      </c>
      <c r="H17" s="330">
        <v>61</v>
      </c>
      <c r="I17" s="132">
        <f t="shared" si="2"/>
        <v>503.87999999999977</v>
      </c>
      <c r="L17" s="1116">
        <f t="shared" si="7"/>
        <v>27</v>
      </c>
      <c r="M17" s="709"/>
      <c r="N17" s="697"/>
      <c r="O17" s="836"/>
      <c r="P17" s="731">
        <f t="shared" si="1"/>
        <v>0</v>
      </c>
      <c r="Q17" s="695"/>
      <c r="R17" s="986"/>
      <c r="S17" s="692">
        <f t="shared" si="3"/>
        <v>788.32000000000016</v>
      </c>
    </row>
    <row r="18" spans="1:19" x14ac:dyDescent="0.25">
      <c r="B18" s="840">
        <f t="shared" si="6"/>
        <v>15</v>
      </c>
      <c r="C18" s="73">
        <v>1</v>
      </c>
      <c r="D18" s="534">
        <v>29.94</v>
      </c>
      <c r="E18" s="735">
        <v>44858</v>
      </c>
      <c r="F18" s="736">
        <f t="shared" si="0"/>
        <v>29.94</v>
      </c>
      <c r="G18" s="329" t="s">
        <v>208</v>
      </c>
      <c r="H18" s="330">
        <v>61</v>
      </c>
      <c r="I18" s="819">
        <f t="shared" si="2"/>
        <v>473.93999999999977</v>
      </c>
      <c r="L18" s="1116">
        <f t="shared" si="7"/>
        <v>27</v>
      </c>
      <c r="M18" s="709"/>
      <c r="N18" s="697"/>
      <c r="O18" s="836"/>
      <c r="P18" s="731">
        <f t="shared" si="1"/>
        <v>0</v>
      </c>
      <c r="Q18" s="695"/>
      <c r="R18" s="986"/>
      <c r="S18" s="692">
        <f t="shared" si="3"/>
        <v>788.32000000000016</v>
      </c>
    </row>
    <row r="19" spans="1:19" x14ac:dyDescent="0.25">
      <c r="B19" s="416">
        <f t="shared" si="6"/>
        <v>14</v>
      </c>
      <c r="C19" s="73">
        <v>1</v>
      </c>
      <c r="D19" s="829">
        <v>31.74</v>
      </c>
      <c r="E19" s="838">
        <v>44870</v>
      </c>
      <c r="F19" s="839">
        <f t="shared" si="0"/>
        <v>31.74</v>
      </c>
      <c r="G19" s="831" t="s">
        <v>242</v>
      </c>
      <c r="H19" s="832">
        <v>61</v>
      </c>
      <c r="I19" s="132">
        <f t="shared" si="2"/>
        <v>442.19999999999976</v>
      </c>
      <c r="L19" s="1116">
        <f t="shared" si="7"/>
        <v>27</v>
      </c>
      <c r="M19" s="709"/>
      <c r="N19" s="697"/>
      <c r="O19" s="836"/>
      <c r="P19" s="731">
        <f t="shared" si="1"/>
        <v>0</v>
      </c>
      <c r="Q19" s="695"/>
      <c r="R19" s="1118"/>
      <c r="S19" s="692">
        <f t="shared" si="3"/>
        <v>788.32000000000016</v>
      </c>
    </row>
    <row r="20" spans="1:19" x14ac:dyDescent="0.25">
      <c r="B20" s="416">
        <f t="shared" si="6"/>
        <v>13</v>
      </c>
      <c r="C20" s="73">
        <v>1</v>
      </c>
      <c r="D20" s="829">
        <v>31.36</v>
      </c>
      <c r="E20" s="838">
        <v>44877</v>
      </c>
      <c r="F20" s="839">
        <f t="shared" si="0"/>
        <v>31.36</v>
      </c>
      <c r="G20" s="831" t="s">
        <v>265</v>
      </c>
      <c r="H20" s="832">
        <v>61</v>
      </c>
      <c r="I20" s="132">
        <f t="shared" si="2"/>
        <v>410.83999999999975</v>
      </c>
      <c r="L20" s="1116">
        <f t="shared" si="7"/>
        <v>27</v>
      </c>
      <c r="M20" s="709"/>
      <c r="N20" s="697"/>
      <c r="O20" s="836"/>
      <c r="P20" s="731">
        <f t="shared" si="1"/>
        <v>0</v>
      </c>
      <c r="Q20" s="695"/>
      <c r="R20" s="1118"/>
      <c r="S20" s="692">
        <f t="shared" si="3"/>
        <v>788.32000000000016</v>
      </c>
    </row>
    <row r="21" spans="1:19" x14ac:dyDescent="0.25">
      <c r="B21" s="840">
        <f t="shared" si="6"/>
        <v>12</v>
      </c>
      <c r="C21" s="73">
        <v>1</v>
      </c>
      <c r="D21" s="829">
        <v>26.53</v>
      </c>
      <c r="E21" s="838">
        <v>44881</v>
      </c>
      <c r="F21" s="839">
        <f t="shared" si="0"/>
        <v>26.53</v>
      </c>
      <c r="G21" s="831" t="s">
        <v>279</v>
      </c>
      <c r="H21" s="832">
        <v>61</v>
      </c>
      <c r="I21" s="819">
        <f t="shared" si="2"/>
        <v>384.30999999999972</v>
      </c>
      <c r="L21" s="1116">
        <f t="shared" si="7"/>
        <v>27</v>
      </c>
      <c r="M21" s="709"/>
      <c r="N21" s="697"/>
      <c r="O21" s="836"/>
      <c r="P21" s="731">
        <f t="shared" si="1"/>
        <v>0</v>
      </c>
      <c r="Q21" s="695"/>
      <c r="R21" s="1118"/>
      <c r="S21" s="692">
        <f t="shared" si="3"/>
        <v>788.32000000000016</v>
      </c>
    </row>
    <row r="22" spans="1:19" x14ac:dyDescent="0.25">
      <c r="B22" s="416">
        <f t="shared" si="6"/>
        <v>11</v>
      </c>
      <c r="C22" s="73">
        <v>1</v>
      </c>
      <c r="D22" s="676">
        <v>31.37</v>
      </c>
      <c r="E22" s="1177">
        <v>44903</v>
      </c>
      <c r="F22" s="1178">
        <f t="shared" si="0"/>
        <v>31.37</v>
      </c>
      <c r="G22" s="678" t="s">
        <v>642</v>
      </c>
      <c r="H22" s="205">
        <v>61</v>
      </c>
      <c r="I22" s="132">
        <f t="shared" si="2"/>
        <v>352.93999999999971</v>
      </c>
      <c r="L22" s="1116">
        <f t="shared" si="7"/>
        <v>27</v>
      </c>
      <c r="M22" s="709"/>
      <c r="N22" s="697">
        <v>0</v>
      </c>
      <c r="O22" s="836"/>
      <c r="P22" s="731">
        <f t="shared" si="1"/>
        <v>0</v>
      </c>
      <c r="Q22" s="695"/>
      <c r="R22" s="986"/>
      <c r="S22" s="692">
        <f t="shared" si="3"/>
        <v>788.32000000000016</v>
      </c>
    </row>
    <row r="23" spans="1:19" x14ac:dyDescent="0.25">
      <c r="B23" s="416">
        <f t="shared" si="6"/>
        <v>7</v>
      </c>
      <c r="C23" s="15">
        <v>4</v>
      </c>
      <c r="D23" s="676">
        <v>129.43</v>
      </c>
      <c r="E23" s="1177">
        <v>44912</v>
      </c>
      <c r="F23" s="1178">
        <f t="shared" si="0"/>
        <v>129.43</v>
      </c>
      <c r="G23" s="678" t="s">
        <v>742</v>
      </c>
      <c r="H23" s="205">
        <v>61</v>
      </c>
      <c r="I23" s="132">
        <f t="shared" si="2"/>
        <v>223.50999999999971</v>
      </c>
      <c r="L23" s="1116">
        <f t="shared" si="7"/>
        <v>27</v>
      </c>
      <c r="M23" s="811"/>
      <c r="N23" s="697">
        <v>0</v>
      </c>
      <c r="O23" s="836"/>
      <c r="P23" s="731">
        <f t="shared" si="1"/>
        <v>0</v>
      </c>
      <c r="Q23" s="695"/>
      <c r="R23" s="986"/>
      <c r="S23" s="692">
        <f t="shared" si="3"/>
        <v>788.32000000000016</v>
      </c>
    </row>
    <row r="24" spans="1:19" x14ac:dyDescent="0.25">
      <c r="B24" s="416">
        <f t="shared" si="6"/>
        <v>0</v>
      </c>
      <c r="C24" s="15">
        <v>7</v>
      </c>
      <c r="D24" s="676">
        <v>223.51</v>
      </c>
      <c r="E24" s="1177">
        <v>44916</v>
      </c>
      <c r="F24" s="1178">
        <f t="shared" si="0"/>
        <v>223.51</v>
      </c>
      <c r="G24" s="678" t="s">
        <v>774</v>
      </c>
      <c r="H24" s="205">
        <v>61</v>
      </c>
      <c r="I24" s="132">
        <f t="shared" si="2"/>
        <v>-2.8421709430404007E-13</v>
      </c>
      <c r="L24" s="1116">
        <f t="shared" si="7"/>
        <v>27</v>
      </c>
      <c r="M24" s="811"/>
      <c r="N24" s="697">
        <v>0</v>
      </c>
      <c r="O24" s="836"/>
      <c r="P24" s="731">
        <f t="shared" si="1"/>
        <v>0</v>
      </c>
      <c r="Q24" s="695"/>
      <c r="R24" s="986"/>
      <c r="S24" s="692">
        <f t="shared" si="3"/>
        <v>788.32000000000016</v>
      </c>
    </row>
    <row r="25" spans="1:19" x14ac:dyDescent="0.25">
      <c r="B25" s="416">
        <f t="shared" si="6"/>
        <v>0</v>
      </c>
      <c r="C25" s="15"/>
      <c r="D25" s="676">
        <v>0</v>
      </c>
      <c r="E25" s="1177"/>
      <c r="F25" s="1189">
        <f t="shared" si="0"/>
        <v>0</v>
      </c>
      <c r="G25" s="1154"/>
      <c r="H25" s="1155"/>
      <c r="I25" s="1184">
        <f t="shared" si="2"/>
        <v>-2.8421709430404007E-13</v>
      </c>
      <c r="L25" s="416">
        <f t="shared" si="7"/>
        <v>27</v>
      </c>
      <c r="M25" s="15"/>
      <c r="N25" s="69">
        <v>0</v>
      </c>
      <c r="O25" s="244"/>
      <c r="P25" s="105">
        <f t="shared" si="1"/>
        <v>0</v>
      </c>
      <c r="Q25" s="70"/>
      <c r="R25" s="330"/>
      <c r="S25" s="132">
        <f t="shared" si="3"/>
        <v>788.32000000000016</v>
      </c>
    </row>
    <row r="26" spans="1:19" ht="15.75" thickBot="1" x14ac:dyDescent="0.3">
      <c r="A26" s="121"/>
      <c r="B26" s="416">
        <f t="shared" si="6"/>
        <v>0</v>
      </c>
      <c r="C26" s="37"/>
      <c r="D26" s="676">
        <v>0</v>
      </c>
      <c r="E26" s="1179"/>
      <c r="F26" s="1189">
        <f t="shared" si="0"/>
        <v>0</v>
      </c>
      <c r="G26" s="1190"/>
      <c r="H26" s="1191"/>
      <c r="I26" s="1184">
        <f t="shared" si="2"/>
        <v>-2.8421709430404007E-13</v>
      </c>
      <c r="K26" s="121"/>
      <c r="L26" s="416">
        <f t="shared" si="7"/>
        <v>27</v>
      </c>
      <c r="M26" s="37"/>
      <c r="N26" s="69">
        <v>0</v>
      </c>
      <c r="O26" s="203"/>
      <c r="P26" s="105">
        <f t="shared" si="1"/>
        <v>0</v>
      </c>
      <c r="Q26" s="139"/>
      <c r="R26" s="992"/>
      <c r="S26" s="132">
        <f t="shared" si="3"/>
        <v>788.32000000000016</v>
      </c>
    </row>
    <row r="27" spans="1:19" ht="15.75" thickTop="1" x14ac:dyDescent="0.25">
      <c r="A27" s="47">
        <f>SUM(A26:A26)</f>
        <v>0</v>
      </c>
      <c r="C27" s="73">
        <f>SUM(C9:C26)</f>
        <v>33</v>
      </c>
      <c r="D27" s="105">
        <f>SUM(D9:D26)</f>
        <v>1019.4300000000001</v>
      </c>
      <c r="E27" s="75"/>
      <c r="F27" s="105">
        <f>SUM(F9:F26)</f>
        <v>1019.4300000000001</v>
      </c>
      <c r="G27" s="152"/>
      <c r="H27" s="152"/>
      <c r="K27" s="47">
        <f>SUM(K26:K26)</f>
        <v>0</v>
      </c>
      <c r="M27" s="73">
        <f>SUM(M9:M26)</f>
        <v>42</v>
      </c>
      <c r="N27" s="105">
        <f>SUM(N9:N26)</f>
        <v>1260.43</v>
      </c>
      <c r="O27" s="75"/>
      <c r="P27" s="105">
        <f>SUM(P9:P26)</f>
        <v>1260.43</v>
      </c>
      <c r="Q27" s="152"/>
      <c r="R27" s="152"/>
    </row>
    <row r="28" spans="1:19" ht="15.75" thickBot="1" x14ac:dyDescent="0.3">
      <c r="A28" s="47"/>
      <c r="K28" s="47"/>
    </row>
    <row r="29" spans="1:19" x14ac:dyDescent="0.25">
      <c r="B29" s="5"/>
      <c r="D29" s="1375" t="s">
        <v>21</v>
      </c>
      <c r="E29" s="1376"/>
      <c r="F29" s="141">
        <f>E5+E6-F27+E7+E4</f>
        <v>-1.1368683772161603E-13</v>
      </c>
      <c r="L29" s="5"/>
      <c r="N29" s="1375" t="s">
        <v>21</v>
      </c>
      <c r="O29" s="1376"/>
      <c r="P29" s="141">
        <f>O5+O6-P27+O7+O4</f>
        <v>788.31999999999994</v>
      </c>
    </row>
    <row r="30" spans="1:19" ht="15.75" thickBot="1" x14ac:dyDescent="0.3">
      <c r="A30" s="125"/>
      <c r="D30" s="262" t="s">
        <v>4</v>
      </c>
      <c r="E30" s="263"/>
      <c r="F30" s="49">
        <f>F5+F6-C27+F7+F4</f>
        <v>0</v>
      </c>
      <c r="K30" s="125"/>
      <c r="N30" s="1110" t="s">
        <v>4</v>
      </c>
      <c r="O30" s="1111"/>
      <c r="P30" s="49">
        <f>P5+P6-M27+P7+P4</f>
        <v>27</v>
      </c>
    </row>
    <row r="31" spans="1:19" x14ac:dyDescent="0.25">
      <c r="B31" s="5"/>
      <c r="L31" s="5"/>
    </row>
  </sheetData>
  <mergeCells count="8">
    <mergeCell ref="A1:G1"/>
    <mergeCell ref="A5:A6"/>
    <mergeCell ref="B5:B6"/>
    <mergeCell ref="D29:E29"/>
    <mergeCell ref="K1:Q1"/>
    <mergeCell ref="K5:K6"/>
    <mergeCell ref="L5:L6"/>
    <mergeCell ref="N29:O29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activeCell="H19" sqref="H19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390"/>
      <c r="B1" s="1390"/>
      <c r="C1" s="1390"/>
      <c r="D1" s="1390"/>
      <c r="E1" s="1390"/>
      <c r="F1" s="1390"/>
      <c r="G1" s="1390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12"/>
      <c r="B4" s="12"/>
      <c r="C4" s="355"/>
      <c r="D4" s="118"/>
      <c r="E4" s="5"/>
      <c r="F4" s="12"/>
      <c r="G4" s="155"/>
      <c r="H4" s="155"/>
    </row>
    <row r="5" spans="1:8" ht="15" hidden="1" customHeight="1" x14ac:dyDescent="0.25">
      <c r="A5" s="73"/>
      <c r="C5" s="365"/>
      <c r="D5" s="118"/>
      <c r="E5" s="47"/>
      <c r="F5" s="12"/>
      <c r="G5" s="475"/>
    </row>
    <row r="6" spans="1:8" ht="15.75" customHeight="1" thickTop="1" x14ac:dyDescent="0.25">
      <c r="A6" s="1391"/>
      <c r="B6" s="1411" t="s">
        <v>70</v>
      </c>
      <c r="C6" s="365"/>
      <c r="D6" s="118"/>
      <c r="E6" s="47"/>
      <c r="F6" s="12"/>
      <c r="G6" s="88"/>
      <c r="H6" s="5"/>
    </row>
    <row r="7" spans="1:8" ht="16.5" customHeight="1" thickBot="1" x14ac:dyDescent="0.3">
      <c r="A7" s="1391"/>
      <c r="B7" s="1412"/>
      <c r="C7" s="366"/>
      <c r="D7" s="118"/>
      <c r="E7" s="356"/>
      <c r="F7" s="73"/>
      <c r="G7" s="5">
        <f>D28</f>
        <v>320</v>
      </c>
      <c r="H7" s="504">
        <f>E7-G7</f>
        <v>-320</v>
      </c>
    </row>
    <row r="8" spans="1:8" ht="16.5" customHeight="1" thickBot="1" x14ac:dyDescent="0.3">
      <c r="A8" s="546"/>
      <c r="B8" s="343"/>
      <c r="C8" s="366"/>
      <c r="D8" s="118"/>
      <c r="E8" s="356"/>
      <c r="F8" s="73"/>
    </row>
    <row r="9" spans="1:8" ht="16.5" thickTop="1" thickBot="1" x14ac:dyDescent="0.3">
      <c r="B9" s="64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5" t="s">
        <v>32</v>
      </c>
      <c r="B10" s="357">
        <f>F4+F5+F6+F7+F8-C10</f>
        <v>0</v>
      </c>
      <c r="C10" s="15"/>
      <c r="D10" s="124">
        <v>0</v>
      </c>
      <c r="E10" s="463"/>
      <c r="F10" s="464">
        <f>D10</f>
        <v>0</v>
      </c>
      <c r="G10" s="465"/>
      <c r="H10" s="290"/>
    </row>
    <row r="11" spans="1:8" x14ac:dyDescent="0.25">
      <c r="B11" s="357">
        <f>B10-C11</f>
        <v>0</v>
      </c>
      <c r="C11" s="15"/>
      <c r="D11" s="124">
        <v>0</v>
      </c>
      <c r="E11" s="135"/>
      <c r="F11" s="105">
        <f>D11</f>
        <v>0</v>
      </c>
      <c r="G11" s="70"/>
      <c r="H11" s="71"/>
    </row>
    <row r="12" spans="1:8" x14ac:dyDescent="0.25">
      <c r="B12" s="357">
        <f t="shared" ref="B12:B27" si="0">B11-C12</f>
        <v>0</v>
      </c>
      <c r="C12" s="15"/>
      <c r="D12" s="124">
        <v>20</v>
      </c>
      <c r="E12" s="135"/>
      <c r="F12" s="105">
        <f t="shared" ref="F12:F27" si="1">D12</f>
        <v>20</v>
      </c>
      <c r="G12" s="70"/>
      <c r="H12" s="71"/>
    </row>
    <row r="13" spans="1:8" x14ac:dyDescent="0.25">
      <c r="A13" s="55" t="s">
        <v>33</v>
      </c>
      <c r="B13" s="357">
        <f t="shared" si="0"/>
        <v>0</v>
      </c>
      <c r="C13" s="15"/>
      <c r="D13" s="124">
        <v>20</v>
      </c>
      <c r="E13" s="135"/>
      <c r="F13" s="105">
        <f t="shared" si="1"/>
        <v>20</v>
      </c>
      <c r="G13" s="70"/>
      <c r="H13" s="71"/>
    </row>
    <row r="14" spans="1:8" x14ac:dyDescent="0.25">
      <c r="B14" s="357">
        <f t="shared" si="0"/>
        <v>0</v>
      </c>
      <c r="C14" s="15"/>
      <c r="D14" s="124">
        <v>20</v>
      </c>
      <c r="E14" s="587"/>
      <c r="F14" s="105">
        <f t="shared" si="1"/>
        <v>20</v>
      </c>
      <c r="G14" s="329"/>
      <c r="H14" s="330"/>
    </row>
    <row r="15" spans="1:8" x14ac:dyDescent="0.25">
      <c r="A15" s="19"/>
      <c r="B15" s="357">
        <f t="shared" si="0"/>
        <v>0</v>
      </c>
      <c r="C15" s="15"/>
      <c r="D15" s="124">
        <v>20</v>
      </c>
      <c r="E15" s="587"/>
      <c r="F15" s="105">
        <f t="shared" si="1"/>
        <v>20</v>
      </c>
      <c r="G15" s="329"/>
      <c r="H15" s="330"/>
    </row>
    <row r="16" spans="1:8" x14ac:dyDescent="0.25">
      <c r="B16" s="357">
        <f t="shared" si="0"/>
        <v>0</v>
      </c>
      <c r="C16" s="15"/>
      <c r="D16" s="124">
        <v>20</v>
      </c>
      <c r="E16" s="630"/>
      <c r="F16" s="105">
        <f t="shared" si="1"/>
        <v>20</v>
      </c>
      <c r="G16" s="627"/>
      <c r="H16" s="379"/>
    </row>
    <row r="17" spans="1:8" x14ac:dyDescent="0.25">
      <c r="B17" s="357">
        <f t="shared" si="0"/>
        <v>0</v>
      </c>
      <c r="C17" s="15"/>
      <c r="D17" s="124">
        <v>20</v>
      </c>
      <c r="E17" s="630"/>
      <c r="F17" s="105">
        <f t="shared" si="1"/>
        <v>20</v>
      </c>
      <c r="G17" s="627"/>
      <c r="H17" s="379"/>
    </row>
    <row r="18" spans="1:8" x14ac:dyDescent="0.25">
      <c r="B18" s="357">
        <f t="shared" si="0"/>
        <v>0</v>
      </c>
      <c r="C18" s="15"/>
      <c r="D18" s="124">
        <v>20</v>
      </c>
      <c r="E18" s="630"/>
      <c r="F18" s="105">
        <f t="shared" si="1"/>
        <v>20</v>
      </c>
      <c r="G18" s="627"/>
      <c r="H18" s="379"/>
    </row>
    <row r="19" spans="1:8" x14ac:dyDescent="0.25">
      <c r="B19" s="357">
        <f t="shared" si="0"/>
        <v>0</v>
      </c>
      <c r="C19" s="15"/>
      <c r="D19" s="124">
        <v>20</v>
      </c>
      <c r="E19" s="630"/>
      <c r="F19" s="105">
        <f t="shared" si="1"/>
        <v>20</v>
      </c>
      <c r="G19" s="627"/>
      <c r="H19" s="379"/>
    </row>
    <row r="20" spans="1:8" x14ac:dyDescent="0.25">
      <c r="B20" s="357">
        <f t="shared" si="0"/>
        <v>0</v>
      </c>
      <c r="C20" s="15"/>
      <c r="D20" s="124">
        <v>20</v>
      </c>
      <c r="E20" s="630"/>
      <c r="F20" s="105">
        <f t="shared" si="1"/>
        <v>20</v>
      </c>
      <c r="G20" s="627"/>
      <c r="H20" s="379"/>
    </row>
    <row r="21" spans="1:8" x14ac:dyDescent="0.25">
      <c r="B21" s="357">
        <f t="shared" si="0"/>
        <v>0</v>
      </c>
      <c r="C21" s="15"/>
      <c r="D21" s="124">
        <v>20</v>
      </c>
      <c r="E21" s="630"/>
      <c r="F21" s="105">
        <f t="shared" si="1"/>
        <v>20</v>
      </c>
      <c r="G21" s="627"/>
      <c r="H21" s="379"/>
    </row>
    <row r="22" spans="1:8" x14ac:dyDescent="0.25">
      <c r="B22" s="357">
        <f t="shared" si="0"/>
        <v>0</v>
      </c>
      <c r="C22" s="15"/>
      <c r="D22" s="124">
        <v>20</v>
      </c>
      <c r="E22" s="630"/>
      <c r="F22" s="105">
        <f t="shared" si="1"/>
        <v>20</v>
      </c>
      <c r="G22" s="627"/>
      <c r="H22" s="379"/>
    </row>
    <row r="23" spans="1:8" x14ac:dyDescent="0.25">
      <c r="B23" s="357">
        <f t="shared" si="0"/>
        <v>0</v>
      </c>
      <c r="C23" s="15"/>
      <c r="D23" s="124">
        <v>20</v>
      </c>
      <c r="E23" s="630"/>
      <c r="F23" s="105">
        <f t="shared" si="1"/>
        <v>20</v>
      </c>
      <c r="G23" s="627"/>
      <c r="H23" s="379"/>
    </row>
    <row r="24" spans="1:8" x14ac:dyDescent="0.25">
      <c r="B24" s="357">
        <f t="shared" si="0"/>
        <v>0</v>
      </c>
      <c r="C24" s="15"/>
      <c r="D24" s="124">
        <v>20</v>
      </c>
      <c r="E24" s="630"/>
      <c r="F24" s="105">
        <f t="shared" si="1"/>
        <v>20</v>
      </c>
      <c r="G24" s="627"/>
      <c r="H24" s="379"/>
    </row>
    <row r="25" spans="1:8" x14ac:dyDescent="0.25">
      <c r="B25" s="357">
        <f t="shared" si="0"/>
        <v>0</v>
      </c>
      <c r="C25" s="15"/>
      <c r="D25" s="124">
        <v>20</v>
      </c>
      <c r="E25" s="630"/>
      <c r="F25" s="105">
        <f t="shared" si="1"/>
        <v>20</v>
      </c>
      <c r="G25" s="627"/>
      <c r="H25" s="379"/>
    </row>
    <row r="26" spans="1:8" x14ac:dyDescent="0.25">
      <c r="B26" s="357">
        <f t="shared" si="0"/>
        <v>0</v>
      </c>
      <c r="C26" s="15"/>
      <c r="D26" s="124">
        <v>20</v>
      </c>
      <c r="E26" s="135"/>
      <c r="F26" s="105">
        <f t="shared" si="1"/>
        <v>20</v>
      </c>
      <c r="G26" s="70"/>
      <c r="H26" s="71"/>
    </row>
    <row r="27" spans="1:8" ht="15.75" thickBot="1" x14ac:dyDescent="0.3">
      <c r="A27" s="121"/>
      <c r="B27" s="358">
        <f t="shared" si="0"/>
        <v>0</v>
      </c>
      <c r="C27" s="37"/>
      <c r="D27" s="124">
        <v>20</v>
      </c>
      <c r="E27" s="247"/>
      <c r="F27" s="105">
        <f t="shared" si="1"/>
        <v>20</v>
      </c>
      <c r="G27" s="248"/>
      <c r="H27" s="249"/>
    </row>
    <row r="28" spans="1:8" ht="15.75" thickTop="1" x14ac:dyDescent="0.25">
      <c r="A28" s="47">
        <f>SUM(A27:A27)</f>
        <v>0</v>
      </c>
      <c r="C28" s="73">
        <f>SUM(C10:C27)</f>
        <v>0</v>
      </c>
      <c r="D28" s="105">
        <f>SUM(D10:D27)</f>
        <v>320</v>
      </c>
      <c r="E28" s="75"/>
      <c r="F28" s="105">
        <f>SUM(F10:F27)</f>
        <v>320</v>
      </c>
    </row>
    <row r="29" spans="1:8" ht="15.75" thickBot="1" x14ac:dyDescent="0.3">
      <c r="A29" s="47"/>
    </row>
    <row r="30" spans="1:8" x14ac:dyDescent="0.25">
      <c r="B30" s="5"/>
      <c r="D30" s="1375" t="s">
        <v>21</v>
      </c>
      <c r="E30" s="1376"/>
      <c r="F30" s="141">
        <f>E5+E6-F28+E7+E4+E8</f>
        <v>-320</v>
      </c>
    </row>
    <row r="31" spans="1:8" ht="15.75" thickBot="1" x14ac:dyDescent="0.3">
      <c r="A31" s="125"/>
      <c r="D31" s="262" t="s">
        <v>4</v>
      </c>
      <c r="E31" s="263"/>
      <c r="F31" s="49">
        <f>F5+F6-C28+F7+F4+F8</f>
        <v>0</v>
      </c>
    </row>
    <row r="32" spans="1:8" x14ac:dyDescent="0.25">
      <c r="B32" s="5"/>
    </row>
  </sheetData>
  <mergeCells count="4">
    <mergeCell ref="A1:G1"/>
    <mergeCell ref="A6:A7"/>
    <mergeCell ref="D30:E30"/>
    <mergeCell ref="B6:B7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U120"/>
  <sheetViews>
    <sheetView topLeftCell="AL1" zoomScaleNormal="100" workbookViewId="0">
      <pane ySplit="8" topLeftCell="A9" activePane="bottomLeft" state="frozen"/>
      <selection pane="bottomLeft" activeCell="AM16" sqref="AM16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  <col min="13" max="13" width="28" bestFit="1" customWidth="1"/>
    <col min="14" max="14" width="16.28515625" bestFit="1" customWidth="1"/>
    <col min="15" max="15" width="14.7109375" customWidth="1"/>
    <col min="16" max="16" width="14.85546875" customWidth="1"/>
    <col min="17" max="17" width="14.5703125" customWidth="1"/>
    <col min="18" max="18" width="8.85546875" bestFit="1" customWidth="1"/>
    <col min="19" max="19" width="12.85546875" bestFit="1" customWidth="1"/>
    <col min="21" max="21" width="16.28515625" customWidth="1"/>
    <col min="23" max="23" width="16.140625" customWidth="1"/>
    <col min="25" max="25" width="28" bestFit="1" customWidth="1"/>
    <col min="26" max="26" width="16.28515625" bestFit="1" customWidth="1"/>
    <col min="27" max="27" width="14.7109375" customWidth="1"/>
    <col min="28" max="28" width="14.85546875" customWidth="1"/>
    <col min="29" max="29" width="14.5703125" customWidth="1"/>
    <col min="30" max="30" width="8.85546875" bestFit="1" customWidth="1"/>
    <col min="31" max="31" width="12.85546875" bestFit="1" customWidth="1"/>
    <col min="33" max="33" width="16.28515625" customWidth="1"/>
    <col min="35" max="35" width="16.140625" customWidth="1"/>
    <col min="37" max="37" width="28" bestFit="1" customWidth="1"/>
    <col min="38" max="38" width="16.28515625" bestFit="1" customWidth="1"/>
    <col min="39" max="39" width="14.7109375" customWidth="1"/>
    <col min="40" max="40" width="14.85546875" customWidth="1"/>
    <col min="41" max="41" width="14.5703125" customWidth="1"/>
    <col min="42" max="42" width="8.85546875" bestFit="1" customWidth="1"/>
    <col min="43" max="43" width="12.85546875" bestFit="1" customWidth="1"/>
    <col min="45" max="45" width="16.28515625" customWidth="1"/>
    <col min="47" max="47" width="16.140625" customWidth="1"/>
  </cols>
  <sheetData>
    <row r="1" spans="1:47" ht="40.5" customHeight="1" x14ac:dyDescent="0.25">
      <c r="A1" s="1416" t="s">
        <v>324</v>
      </c>
      <c r="B1" s="1416"/>
      <c r="C1" s="1416"/>
      <c r="D1" s="1416"/>
      <c r="E1" s="1416"/>
      <c r="F1" s="1416"/>
      <c r="G1" s="1416"/>
      <c r="H1" s="1416"/>
      <c r="I1" s="1416"/>
      <c r="J1" s="1416"/>
      <c r="K1" s="478">
        <v>1</v>
      </c>
      <c r="M1" s="1413" t="s">
        <v>339</v>
      </c>
      <c r="N1" s="1413"/>
      <c r="O1" s="1413"/>
      <c r="P1" s="1413"/>
      <c r="Q1" s="1413"/>
      <c r="R1" s="1413"/>
      <c r="S1" s="1413"/>
      <c r="T1" s="1413"/>
      <c r="U1" s="1413"/>
      <c r="V1" s="1413"/>
      <c r="W1" s="478">
        <v>2</v>
      </c>
      <c r="Y1" s="1413" t="s">
        <v>339</v>
      </c>
      <c r="Z1" s="1413"/>
      <c r="AA1" s="1413"/>
      <c r="AB1" s="1413"/>
      <c r="AC1" s="1413"/>
      <c r="AD1" s="1413"/>
      <c r="AE1" s="1413"/>
      <c r="AF1" s="1413"/>
      <c r="AG1" s="1413"/>
      <c r="AH1" s="1413"/>
      <c r="AI1" s="478">
        <v>2</v>
      </c>
      <c r="AK1" s="1413" t="s">
        <v>339</v>
      </c>
      <c r="AL1" s="1413"/>
      <c r="AM1" s="1413"/>
      <c r="AN1" s="1413"/>
      <c r="AO1" s="1413"/>
      <c r="AP1" s="1413"/>
      <c r="AQ1" s="1413"/>
      <c r="AR1" s="1413"/>
      <c r="AS1" s="1413"/>
      <c r="AT1" s="1413"/>
      <c r="AU1" s="478">
        <v>3</v>
      </c>
    </row>
    <row r="2" spans="1:47" ht="15.75" thickBot="1" x14ac:dyDescent="0.3">
      <c r="C2" s="12"/>
      <c r="D2" s="12"/>
      <c r="F2" s="12"/>
      <c r="O2" s="12"/>
      <c r="P2" s="12"/>
      <c r="R2" s="12"/>
      <c r="AA2" s="12"/>
      <c r="AB2" s="12"/>
      <c r="AD2" s="12"/>
      <c r="AM2" s="12"/>
      <c r="AN2" s="12"/>
      <c r="AP2" s="12"/>
    </row>
    <row r="3" spans="1:47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M3" s="63" t="s">
        <v>0</v>
      </c>
      <c r="N3" s="8" t="s">
        <v>1</v>
      </c>
      <c r="O3" s="9"/>
      <c r="P3" s="9" t="s">
        <v>2</v>
      </c>
      <c r="Q3" s="9" t="s">
        <v>3</v>
      </c>
      <c r="R3" s="9" t="s">
        <v>4</v>
      </c>
      <c r="S3" s="26" t="s">
        <v>20</v>
      </c>
      <c r="T3" s="35" t="s">
        <v>24</v>
      </c>
      <c r="Y3" s="63" t="s">
        <v>0</v>
      </c>
      <c r="Z3" s="8" t="s">
        <v>1</v>
      </c>
      <c r="AA3" s="9"/>
      <c r="AB3" s="9" t="s">
        <v>2</v>
      </c>
      <c r="AC3" s="9" t="s">
        <v>3</v>
      </c>
      <c r="AD3" s="9" t="s">
        <v>4</v>
      </c>
      <c r="AE3" s="26" t="s">
        <v>20</v>
      </c>
      <c r="AF3" s="35" t="s">
        <v>24</v>
      </c>
      <c r="AK3" s="63" t="s">
        <v>0</v>
      </c>
      <c r="AL3" s="8" t="s">
        <v>1</v>
      </c>
      <c r="AM3" s="9"/>
      <c r="AN3" s="9" t="s">
        <v>2</v>
      </c>
      <c r="AO3" s="9" t="s">
        <v>3</v>
      </c>
      <c r="AP3" s="9" t="s">
        <v>4</v>
      </c>
      <c r="AQ3" s="26" t="s">
        <v>20</v>
      </c>
      <c r="AR3" s="35" t="s">
        <v>24</v>
      </c>
    </row>
    <row r="4" spans="1:47" ht="19.5" customHeight="1" thickTop="1" thickBot="1" x14ac:dyDescent="0.35">
      <c r="B4" s="241"/>
      <c r="C4" s="414"/>
      <c r="D4" s="135"/>
      <c r="E4" s="132">
        <v>4.99</v>
      </c>
      <c r="F4" s="73"/>
      <c r="G4" s="378"/>
      <c r="N4" s="241"/>
      <c r="O4" s="414"/>
      <c r="P4" s="135"/>
      <c r="Q4" s="132"/>
      <c r="R4" s="73"/>
      <c r="S4" s="378"/>
      <c r="Z4" s="241"/>
      <c r="AA4" s="414"/>
      <c r="AB4" s="135"/>
      <c r="AC4" s="132"/>
      <c r="AD4" s="73"/>
      <c r="AE4" s="378"/>
      <c r="AL4" s="241"/>
      <c r="AM4" s="414"/>
      <c r="AN4" s="135"/>
      <c r="AO4" s="132"/>
      <c r="AP4" s="73"/>
      <c r="AQ4" s="378"/>
    </row>
    <row r="5" spans="1:47" ht="15.75" customHeight="1" thickTop="1" x14ac:dyDescent="0.25">
      <c r="A5" s="1414" t="s">
        <v>97</v>
      </c>
      <c r="B5" s="73" t="s">
        <v>48</v>
      </c>
      <c r="C5" s="870">
        <v>92</v>
      </c>
      <c r="D5" s="713">
        <v>44870</v>
      </c>
      <c r="E5" s="692">
        <v>5008.4799999999996</v>
      </c>
      <c r="F5" s="709">
        <v>184</v>
      </c>
      <c r="G5" s="47">
        <f>F115</f>
        <v>5013.4699999999993</v>
      </c>
      <c r="H5" s="154">
        <f>E5+E6-G5+E4</f>
        <v>2.1849189124623081E-13</v>
      </c>
      <c r="M5" s="1414" t="s">
        <v>97</v>
      </c>
      <c r="N5" s="73" t="s">
        <v>48</v>
      </c>
      <c r="O5" s="870">
        <v>88.5</v>
      </c>
      <c r="P5" s="713">
        <v>44898</v>
      </c>
      <c r="Q5" s="692">
        <v>5008.4799999999996</v>
      </c>
      <c r="R5" s="709">
        <v>184</v>
      </c>
      <c r="S5" s="47">
        <f>R115</f>
        <v>5199.0199999999986</v>
      </c>
      <c r="T5" s="154">
        <f>Q5+Q6-S5+Q4</f>
        <v>4.9900000000006912</v>
      </c>
      <c r="Y5" s="1414" t="s">
        <v>52</v>
      </c>
      <c r="Z5" s="73" t="s">
        <v>48</v>
      </c>
      <c r="AA5" s="870">
        <v>86</v>
      </c>
      <c r="AB5" s="713">
        <v>44900</v>
      </c>
      <c r="AC5" s="692">
        <v>9016.44</v>
      </c>
      <c r="AD5" s="709">
        <v>331</v>
      </c>
      <c r="AE5" s="47">
        <f>AD115</f>
        <v>9206.9399999999987</v>
      </c>
      <c r="AF5" s="154">
        <f>AC5+AC6-AE5+AC4</f>
        <v>5.0300000000024738</v>
      </c>
      <c r="AK5" s="1414" t="s">
        <v>97</v>
      </c>
      <c r="AL5" s="73" t="s">
        <v>48</v>
      </c>
      <c r="AM5" s="870">
        <v>84.5</v>
      </c>
      <c r="AN5" s="713">
        <v>44930</v>
      </c>
      <c r="AO5" s="692">
        <v>9227.58</v>
      </c>
      <c r="AP5" s="709">
        <v>339</v>
      </c>
      <c r="AQ5" s="47">
        <f>AP115</f>
        <v>2722</v>
      </c>
      <c r="AR5" s="154">
        <f>AO5+AO6-AQ5+AO4</f>
        <v>6505.58</v>
      </c>
    </row>
    <row r="6" spans="1:47" ht="15.75" customHeight="1" x14ac:dyDescent="0.25">
      <c r="A6" s="1415"/>
      <c r="B6" s="665" t="s">
        <v>142</v>
      </c>
      <c r="C6" s="871"/>
      <c r="D6" s="713"/>
      <c r="E6" s="843"/>
      <c r="F6" s="872"/>
      <c r="M6" s="1415"/>
      <c r="N6" s="665" t="s">
        <v>142</v>
      </c>
      <c r="O6" s="871"/>
      <c r="P6" s="713"/>
      <c r="Q6" s="843">
        <v>195.53</v>
      </c>
      <c r="R6" s="872">
        <v>7</v>
      </c>
      <c r="Y6" s="1415"/>
      <c r="Z6" s="665" t="s">
        <v>142</v>
      </c>
      <c r="AA6" s="871"/>
      <c r="AB6" s="713"/>
      <c r="AC6" s="843">
        <v>195.53</v>
      </c>
      <c r="AD6" s="872">
        <v>7</v>
      </c>
      <c r="AK6" s="1415"/>
      <c r="AL6" s="665" t="s">
        <v>142</v>
      </c>
      <c r="AM6" s="871"/>
      <c r="AN6" s="713"/>
      <c r="AO6" s="843"/>
      <c r="AP6" s="872"/>
    </row>
    <row r="7" spans="1:47" ht="15.75" customHeight="1" thickBot="1" x14ac:dyDescent="0.3">
      <c r="A7" s="549"/>
      <c r="B7" s="158"/>
      <c r="C7" s="516"/>
      <c r="D7" s="517"/>
      <c r="E7" s="518"/>
      <c r="F7" s="480"/>
      <c r="M7" s="549"/>
      <c r="N7" s="158"/>
      <c r="O7" s="516"/>
      <c r="P7" s="517"/>
      <c r="Q7" s="518"/>
      <c r="R7" s="480"/>
      <c r="Y7" s="549"/>
      <c r="Z7" s="158"/>
      <c r="AA7" s="516"/>
      <c r="AB7" s="517"/>
      <c r="AC7" s="518"/>
      <c r="AD7" s="480"/>
      <c r="AK7" s="549"/>
      <c r="AL7" s="158"/>
      <c r="AM7" s="516"/>
      <c r="AN7" s="517"/>
      <c r="AO7" s="518"/>
      <c r="AP7" s="480"/>
    </row>
    <row r="8" spans="1:47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433" t="s">
        <v>58</v>
      </c>
      <c r="I8" s="851" t="s">
        <v>59</v>
      </c>
      <c r="J8" s="851" t="s">
        <v>60</v>
      </c>
      <c r="K8" s="218" t="s">
        <v>61</v>
      </c>
      <c r="N8" s="64" t="s">
        <v>7</v>
      </c>
      <c r="O8" s="27" t="s">
        <v>8</v>
      </c>
      <c r="P8" s="32" t="s">
        <v>3</v>
      </c>
      <c r="Q8" s="33" t="s">
        <v>2</v>
      </c>
      <c r="R8" s="9" t="s">
        <v>9</v>
      </c>
      <c r="S8" s="9" t="s">
        <v>15</v>
      </c>
      <c r="T8" s="433" t="s">
        <v>58</v>
      </c>
      <c r="U8" s="955" t="s">
        <v>59</v>
      </c>
      <c r="V8" s="955" t="s">
        <v>60</v>
      </c>
      <c r="W8" s="218" t="s">
        <v>61</v>
      </c>
      <c r="Z8" s="64" t="s">
        <v>7</v>
      </c>
      <c r="AA8" s="27" t="s">
        <v>8</v>
      </c>
      <c r="AB8" s="32" t="s">
        <v>3</v>
      </c>
      <c r="AC8" s="33" t="s">
        <v>2</v>
      </c>
      <c r="AD8" s="9" t="s">
        <v>9</v>
      </c>
      <c r="AE8" s="9" t="s">
        <v>15</v>
      </c>
      <c r="AF8" s="433" t="s">
        <v>58</v>
      </c>
      <c r="AG8" s="955" t="s">
        <v>59</v>
      </c>
      <c r="AH8" s="955" t="s">
        <v>60</v>
      </c>
      <c r="AI8" s="218" t="s">
        <v>61</v>
      </c>
      <c r="AL8" s="64" t="s">
        <v>7</v>
      </c>
      <c r="AM8" s="27" t="s">
        <v>8</v>
      </c>
      <c r="AN8" s="32" t="s">
        <v>3</v>
      </c>
      <c r="AO8" s="33" t="s">
        <v>2</v>
      </c>
      <c r="AP8" s="9" t="s">
        <v>9</v>
      </c>
      <c r="AQ8" s="9" t="s">
        <v>15</v>
      </c>
      <c r="AR8" s="433" t="s">
        <v>58</v>
      </c>
      <c r="AS8" s="1199" t="s">
        <v>59</v>
      </c>
      <c r="AT8" s="1199" t="s">
        <v>60</v>
      </c>
      <c r="AU8" s="218" t="s">
        <v>61</v>
      </c>
    </row>
    <row r="9" spans="1:47" ht="15.75" thickTop="1" x14ac:dyDescent="0.25">
      <c r="A9" s="55" t="s">
        <v>32</v>
      </c>
      <c r="B9">
        <v>27.22</v>
      </c>
      <c r="C9" s="15">
        <v>20</v>
      </c>
      <c r="D9" s="296">
        <f t="shared" ref="D9" si="0">C9*B9</f>
        <v>544.4</v>
      </c>
      <c r="E9" s="244">
        <v>44891</v>
      </c>
      <c r="F9" s="69">
        <f t="shared" ref="F9" si="1">D9</f>
        <v>544.4</v>
      </c>
      <c r="G9" s="70" t="s">
        <v>314</v>
      </c>
      <c r="H9" s="71">
        <v>97</v>
      </c>
      <c r="I9" s="978">
        <f>E5-F9+E4+E6+E7</f>
        <v>4469.07</v>
      </c>
      <c r="J9" s="979">
        <f>F5-C9+F4+F6+F7</f>
        <v>164</v>
      </c>
      <c r="K9" s="434">
        <f>F9*H9</f>
        <v>52806.799999999996</v>
      </c>
      <c r="M9" s="55" t="s">
        <v>32</v>
      </c>
      <c r="N9">
        <v>27.22</v>
      </c>
      <c r="O9" s="15">
        <v>24</v>
      </c>
      <c r="P9" s="296">
        <f t="shared" ref="P9" si="2">O9*N9</f>
        <v>653.28</v>
      </c>
      <c r="Q9" s="244">
        <v>44901</v>
      </c>
      <c r="R9" s="69">
        <f t="shared" ref="R9" si="3">P9</f>
        <v>653.28</v>
      </c>
      <c r="S9" s="70" t="s">
        <v>623</v>
      </c>
      <c r="T9" s="71">
        <v>95</v>
      </c>
      <c r="U9" s="1022">
        <f>Q5-R9+Q4+Q6+Q7</f>
        <v>4550.7299999999996</v>
      </c>
      <c r="V9" s="1023">
        <f>R5-O9+R4+R6+R7</f>
        <v>167</v>
      </c>
      <c r="W9" s="434">
        <f>R9*T9</f>
        <v>62061.599999999999</v>
      </c>
      <c r="Y9" s="55" t="s">
        <v>32</v>
      </c>
      <c r="Z9">
        <v>27.22</v>
      </c>
      <c r="AA9" s="15">
        <v>9</v>
      </c>
      <c r="AB9" s="296">
        <f t="shared" ref="AB9" si="4">AA9*Z9</f>
        <v>244.98</v>
      </c>
      <c r="AC9" s="244">
        <v>44912</v>
      </c>
      <c r="AD9" s="69">
        <f t="shared" ref="AD9" si="5">AB9</f>
        <v>244.98</v>
      </c>
      <c r="AE9" s="70" t="s">
        <v>708</v>
      </c>
      <c r="AF9" s="71">
        <v>95</v>
      </c>
      <c r="AG9" s="1022">
        <f>AC5-AD9+AC4+AC6+AC7</f>
        <v>8966.9900000000016</v>
      </c>
      <c r="AH9" s="1023">
        <f>AD5-AA9+AD4+AD6+AD7</f>
        <v>329</v>
      </c>
      <c r="AI9" s="434">
        <f>AD9*AF9</f>
        <v>23273.1</v>
      </c>
      <c r="AK9" s="55" t="s">
        <v>32</v>
      </c>
      <c r="AL9">
        <v>27.22</v>
      </c>
      <c r="AM9" s="15">
        <v>24</v>
      </c>
      <c r="AN9" s="296">
        <f t="shared" ref="AN9" si="6">AM9*AL9</f>
        <v>653.28</v>
      </c>
      <c r="AO9" s="244">
        <v>44930</v>
      </c>
      <c r="AP9" s="69">
        <f t="shared" ref="AP9" si="7">AN9</f>
        <v>653.28</v>
      </c>
      <c r="AQ9" s="70" t="s">
        <v>891</v>
      </c>
      <c r="AR9" s="71">
        <v>95</v>
      </c>
      <c r="AS9" s="1022">
        <f>AO5-AP9+AO4+AO6+AO7</f>
        <v>8574.2999999999993</v>
      </c>
      <c r="AT9" s="1023">
        <f>AP5-AM9+AP4+AP6+AP7</f>
        <v>315</v>
      </c>
      <c r="AU9" s="434">
        <f>AP9*AR9</f>
        <v>62061.599999999999</v>
      </c>
    </row>
    <row r="10" spans="1:47" x14ac:dyDescent="0.25">
      <c r="A10" s="550"/>
      <c r="B10">
        <v>27.22</v>
      </c>
      <c r="C10" s="15">
        <v>10</v>
      </c>
      <c r="D10" s="993">
        <f>C10*B10</f>
        <v>272.2</v>
      </c>
      <c r="E10" s="570">
        <v>44893</v>
      </c>
      <c r="F10" s="534">
        <f>D10</f>
        <v>272.2</v>
      </c>
      <c r="G10" s="329" t="s">
        <v>570</v>
      </c>
      <c r="H10" s="330">
        <v>90</v>
      </c>
      <c r="I10" s="435">
        <f>I9-F10</f>
        <v>4196.87</v>
      </c>
      <c r="J10" s="436">
        <f>J9-C10</f>
        <v>154</v>
      </c>
      <c r="K10" s="437">
        <f t="shared" ref="K10:K73" si="8">F10*H10</f>
        <v>24498</v>
      </c>
      <c r="M10" s="550"/>
      <c r="N10">
        <v>27.22</v>
      </c>
      <c r="O10" s="15">
        <v>1</v>
      </c>
      <c r="P10" s="707">
        <f>O10*N10</f>
        <v>27.22</v>
      </c>
      <c r="Q10" s="245">
        <v>44903</v>
      </c>
      <c r="R10" s="69">
        <f>P10</f>
        <v>27.22</v>
      </c>
      <c r="S10" s="70" t="s">
        <v>642</v>
      </c>
      <c r="T10" s="71">
        <v>95</v>
      </c>
      <c r="U10" s="435">
        <f>U9-R10</f>
        <v>4523.5099999999993</v>
      </c>
      <c r="V10" s="436">
        <f>V9-O10</f>
        <v>166</v>
      </c>
      <c r="W10" s="437">
        <f t="shared" ref="W10:W73" si="9">R10*T10</f>
        <v>2585.9</v>
      </c>
      <c r="Y10" s="550"/>
      <c r="Z10">
        <v>27.24</v>
      </c>
      <c r="AA10" s="15">
        <v>100</v>
      </c>
      <c r="AB10" s="707">
        <f>AA10*Z10</f>
        <v>2724</v>
      </c>
      <c r="AC10" s="245">
        <v>44912</v>
      </c>
      <c r="AD10" s="69">
        <f>AB10</f>
        <v>2724</v>
      </c>
      <c r="AE10" s="70" t="s">
        <v>745</v>
      </c>
      <c r="AF10" s="71">
        <v>95</v>
      </c>
      <c r="AG10" s="435">
        <f>AG9-AD10</f>
        <v>6242.9900000000016</v>
      </c>
      <c r="AH10" s="436">
        <f>AH9-AA10</f>
        <v>229</v>
      </c>
      <c r="AI10" s="437">
        <f t="shared" ref="AI10:AI73" si="10">AD10*AF10</f>
        <v>258780</v>
      </c>
      <c r="AK10" s="550"/>
      <c r="AL10">
        <v>27.22</v>
      </c>
      <c r="AM10" s="15">
        <v>24</v>
      </c>
      <c r="AN10" s="707">
        <f>AM10*AL10</f>
        <v>653.28</v>
      </c>
      <c r="AO10" s="245">
        <v>44931</v>
      </c>
      <c r="AP10" s="69">
        <f>AN10</f>
        <v>653.28</v>
      </c>
      <c r="AQ10" s="70" t="s">
        <v>895</v>
      </c>
      <c r="AR10" s="71">
        <v>90</v>
      </c>
      <c r="AS10" s="435">
        <f>AS9-AP10</f>
        <v>7921.0199999999995</v>
      </c>
      <c r="AT10" s="436">
        <f>AT9-AM10</f>
        <v>291</v>
      </c>
      <c r="AU10" s="437">
        <f t="shared" ref="AU10:AU73" si="11">AP10*AR10</f>
        <v>58795.199999999997</v>
      </c>
    </row>
    <row r="11" spans="1:47" x14ac:dyDescent="0.25">
      <c r="A11" s="551"/>
      <c r="B11">
        <v>27.22</v>
      </c>
      <c r="C11" s="15">
        <v>36</v>
      </c>
      <c r="D11" s="737">
        <f t="shared" ref="D11:D74" si="12">C11*B11</f>
        <v>979.92</v>
      </c>
      <c r="E11" s="735">
        <v>44894</v>
      </c>
      <c r="F11" s="534">
        <f t="shared" ref="F11:F74" si="13">D11</f>
        <v>979.92</v>
      </c>
      <c r="G11" s="329" t="s">
        <v>571</v>
      </c>
      <c r="H11" s="330">
        <v>95</v>
      </c>
      <c r="I11" s="435">
        <f t="shared" ref="I11:I74" si="14">I10-F11</f>
        <v>3216.95</v>
      </c>
      <c r="J11" s="436">
        <f t="shared" ref="J11" si="15">J10-C11</f>
        <v>118</v>
      </c>
      <c r="K11" s="437">
        <f t="shared" si="8"/>
        <v>93092.4</v>
      </c>
      <c r="M11" s="551"/>
      <c r="N11">
        <v>27.22</v>
      </c>
      <c r="O11" s="15">
        <v>24</v>
      </c>
      <c r="P11" s="296">
        <f t="shared" ref="P11:P74" si="16">O11*N11</f>
        <v>653.28</v>
      </c>
      <c r="Q11" s="244">
        <v>44904</v>
      </c>
      <c r="R11" s="69">
        <f t="shared" ref="R11:R74" si="17">P11</f>
        <v>653.28</v>
      </c>
      <c r="S11" s="70" t="s">
        <v>654</v>
      </c>
      <c r="T11" s="71">
        <v>95</v>
      </c>
      <c r="U11" s="435">
        <f t="shared" ref="U11:U74" si="18">U10-R11</f>
        <v>3870.2299999999996</v>
      </c>
      <c r="V11" s="436">
        <f t="shared" ref="V11" si="19">V10-O11</f>
        <v>142</v>
      </c>
      <c r="W11" s="437">
        <f t="shared" si="9"/>
        <v>62061.599999999999</v>
      </c>
      <c r="Y11" s="551"/>
      <c r="Z11">
        <v>27.24</v>
      </c>
      <c r="AA11" s="15">
        <v>32</v>
      </c>
      <c r="AB11" s="296">
        <f t="shared" ref="AB11:AB74" si="20">AA11*Z11</f>
        <v>871.68</v>
      </c>
      <c r="AC11" s="244">
        <v>44913</v>
      </c>
      <c r="AD11" s="69">
        <f t="shared" ref="AD11:AD74" si="21">AB11</f>
        <v>871.68</v>
      </c>
      <c r="AE11" s="70" t="s">
        <v>747</v>
      </c>
      <c r="AF11" s="71">
        <v>95</v>
      </c>
      <c r="AG11" s="435">
        <f t="shared" ref="AG11:AG74" si="22">AG10-AD11</f>
        <v>5371.3100000000013</v>
      </c>
      <c r="AH11" s="436">
        <f t="shared" ref="AH11" si="23">AH10-AA11</f>
        <v>197</v>
      </c>
      <c r="AI11" s="437">
        <f t="shared" si="10"/>
        <v>82809.599999999991</v>
      </c>
      <c r="AK11" s="551"/>
      <c r="AL11">
        <v>27.22</v>
      </c>
      <c r="AM11" s="15">
        <v>1</v>
      </c>
      <c r="AN11" s="296">
        <f t="shared" ref="AN11:AN74" si="24">AM11*AL11</f>
        <v>27.22</v>
      </c>
      <c r="AO11" s="244">
        <v>44931</v>
      </c>
      <c r="AP11" s="69">
        <f t="shared" ref="AP11:AP74" si="25">AN11</f>
        <v>27.22</v>
      </c>
      <c r="AQ11" s="70" t="s">
        <v>895</v>
      </c>
      <c r="AR11" s="71">
        <v>90</v>
      </c>
      <c r="AS11" s="435">
        <f t="shared" ref="AS11:AS74" si="26">AS10-AP11</f>
        <v>7893.7999999999993</v>
      </c>
      <c r="AT11" s="436">
        <f t="shared" ref="AT11" si="27">AT10-AM11</f>
        <v>290</v>
      </c>
      <c r="AU11" s="437">
        <f t="shared" si="11"/>
        <v>2449.7999999999997</v>
      </c>
    </row>
    <row r="12" spans="1:47" x14ac:dyDescent="0.25">
      <c r="A12" s="55" t="s">
        <v>33</v>
      </c>
      <c r="B12">
        <v>27.22</v>
      </c>
      <c r="C12" s="15">
        <v>1</v>
      </c>
      <c r="D12" s="737">
        <f t="shared" si="12"/>
        <v>27.22</v>
      </c>
      <c r="E12" s="735">
        <v>44895</v>
      </c>
      <c r="F12" s="534">
        <f t="shared" si="13"/>
        <v>27.22</v>
      </c>
      <c r="G12" s="329" t="s">
        <v>575</v>
      </c>
      <c r="H12" s="330">
        <v>95</v>
      </c>
      <c r="I12" s="435">
        <f t="shared" si="14"/>
        <v>3189.73</v>
      </c>
      <c r="J12" s="436">
        <f>J11-C12</f>
        <v>117</v>
      </c>
      <c r="K12" s="437">
        <f t="shared" si="8"/>
        <v>2585.9</v>
      </c>
      <c r="M12" s="55" t="s">
        <v>33</v>
      </c>
      <c r="N12">
        <v>27.22</v>
      </c>
      <c r="O12" s="15">
        <v>32</v>
      </c>
      <c r="P12" s="296">
        <f t="shared" si="16"/>
        <v>871.04</v>
      </c>
      <c r="Q12" s="244">
        <v>44905</v>
      </c>
      <c r="R12" s="69">
        <f t="shared" si="17"/>
        <v>871.04</v>
      </c>
      <c r="S12" s="70" t="s">
        <v>668</v>
      </c>
      <c r="T12" s="71">
        <v>95</v>
      </c>
      <c r="U12" s="435">
        <f t="shared" si="18"/>
        <v>2999.1899999999996</v>
      </c>
      <c r="V12" s="436">
        <f>V11-O12</f>
        <v>110</v>
      </c>
      <c r="W12" s="437">
        <f t="shared" si="9"/>
        <v>82748.800000000003</v>
      </c>
      <c r="Y12" s="55" t="s">
        <v>33</v>
      </c>
      <c r="Z12">
        <v>27.24</v>
      </c>
      <c r="AA12" s="15">
        <v>32</v>
      </c>
      <c r="AB12" s="296">
        <f t="shared" si="20"/>
        <v>871.68</v>
      </c>
      <c r="AC12" s="244">
        <v>44914</v>
      </c>
      <c r="AD12" s="69">
        <f t="shared" si="21"/>
        <v>871.68</v>
      </c>
      <c r="AE12" s="70" t="s">
        <v>755</v>
      </c>
      <c r="AF12" s="71">
        <v>95</v>
      </c>
      <c r="AG12" s="435">
        <f t="shared" si="22"/>
        <v>4499.630000000001</v>
      </c>
      <c r="AH12" s="436">
        <f>AH11-AA12</f>
        <v>165</v>
      </c>
      <c r="AI12" s="437">
        <f t="shared" si="10"/>
        <v>82809.599999999991</v>
      </c>
      <c r="AK12" s="55" t="s">
        <v>33</v>
      </c>
      <c r="AL12">
        <v>27.22</v>
      </c>
      <c r="AM12" s="15">
        <v>2</v>
      </c>
      <c r="AN12" s="296">
        <f t="shared" si="24"/>
        <v>54.44</v>
      </c>
      <c r="AO12" s="244">
        <v>44931</v>
      </c>
      <c r="AP12" s="69">
        <f t="shared" si="25"/>
        <v>54.44</v>
      </c>
      <c r="AQ12" s="70" t="s">
        <v>896</v>
      </c>
      <c r="AR12" s="71">
        <v>90</v>
      </c>
      <c r="AS12" s="435">
        <f t="shared" si="26"/>
        <v>7839.36</v>
      </c>
      <c r="AT12" s="436">
        <f>AT11-AM12</f>
        <v>288</v>
      </c>
      <c r="AU12" s="437">
        <f t="shared" si="11"/>
        <v>4899.5999999999995</v>
      </c>
    </row>
    <row r="13" spans="1:47" ht="15" customHeight="1" x14ac:dyDescent="0.25">
      <c r="A13" s="413"/>
      <c r="B13">
        <v>27.22</v>
      </c>
      <c r="C13" s="15">
        <v>24</v>
      </c>
      <c r="D13" s="737">
        <f t="shared" si="12"/>
        <v>653.28</v>
      </c>
      <c r="E13" s="735">
        <v>44895</v>
      </c>
      <c r="F13" s="534">
        <f t="shared" si="13"/>
        <v>653.28</v>
      </c>
      <c r="G13" s="329" t="s">
        <v>579</v>
      </c>
      <c r="H13" s="330">
        <v>95</v>
      </c>
      <c r="I13" s="435">
        <f t="shared" si="14"/>
        <v>2536.4499999999998</v>
      </c>
      <c r="J13" s="436">
        <f t="shared" ref="J13:J76" si="28">J12-C13</f>
        <v>93</v>
      </c>
      <c r="K13" s="437">
        <f t="shared" si="8"/>
        <v>62061.599999999999</v>
      </c>
      <c r="M13" s="413"/>
      <c r="N13">
        <v>27.22</v>
      </c>
      <c r="O13" s="15">
        <v>10</v>
      </c>
      <c r="P13" s="296">
        <f t="shared" si="16"/>
        <v>272.2</v>
      </c>
      <c r="Q13" s="244">
        <v>44905</v>
      </c>
      <c r="R13" s="69">
        <f t="shared" si="17"/>
        <v>272.2</v>
      </c>
      <c r="S13" s="70" t="s">
        <v>669</v>
      </c>
      <c r="T13" s="71">
        <v>90</v>
      </c>
      <c r="U13" s="435">
        <f t="shared" si="18"/>
        <v>2726.99</v>
      </c>
      <c r="V13" s="436">
        <f t="shared" ref="V13:V76" si="29">V12-O13</f>
        <v>100</v>
      </c>
      <c r="W13" s="437">
        <f t="shared" si="9"/>
        <v>24498</v>
      </c>
      <c r="Y13" s="413"/>
      <c r="Z13">
        <v>27.24</v>
      </c>
      <c r="AA13" s="15">
        <v>32</v>
      </c>
      <c r="AB13" s="296">
        <f t="shared" si="20"/>
        <v>871.68</v>
      </c>
      <c r="AC13" s="244">
        <v>44916</v>
      </c>
      <c r="AD13" s="69">
        <f t="shared" si="21"/>
        <v>871.68</v>
      </c>
      <c r="AE13" s="70" t="s">
        <v>768</v>
      </c>
      <c r="AF13" s="71">
        <v>95</v>
      </c>
      <c r="AG13" s="435">
        <f t="shared" si="22"/>
        <v>3627.9500000000012</v>
      </c>
      <c r="AH13" s="436">
        <f t="shared" ref="AH13:AH76" si="30">AH12-AA13</f>
        <v>133</v>
      </c>
      <c r="AI13" s="437">
        <f t="shared" si="10"/>
        <v>82809.599999999991</v>
      </c>
      <c r="AK13" s="413"/>
      <c r="AL13">
        <v>27.22</v>
      </c>
      <c r="AM13" s="15">
        <v>24</v>
      </c>
      <c r="AN13" s="296">
        <f t="shared" si="24"/>
        <v>653.28</v>
      </c>
      <c r="AO13" s="244">
        <v>44931</v>
      </c>
      <c r="AP13" s="69">
        <f t="shared" si="25"/>
        <v>653.28</v>
      </c>
      <c r="AQ13" s="70" t="s">
        <v>899</v>
      </c>
      <c r="AR13" s="71">
        <v>90</v>
      </c>
      <c r="AS13" s="435">
        <f t="shared" si="26"/>
        <v>7186.08</v>
      </c>
      <c r="AT13" s="436">
        <f t="shared" ref="AT13:AT76" si="31">AT12-AM13</f>
        <v>264</v>
      </c>
      <c r="AU13" s="437">
        <f t="shared" si="11"/>
        <v>58795.199999999997</v>
      </c>
    </row>
    <row r="14" spans="1:47" x14ac:dyDescent="0.25">
      <c r="A14" s="413"/>
      <c r="B14">
        <v>27.22</v>
      </c>
      <c r="C14" s="15">
        <v>6</v>
      </c>
      <c r="D14" s="737">
        <f t="shared" si="12"/>
        <v>163.32</v>
      </c>
      <c r="E14" s="735">
        <v>44898</v>
      </c>
      <c r="F14" s="534">
        <f t="shared" si="13"/>
        <v>163.32</v>
      </c>
      <c r="G14" s="329" t="s">
        <v>605</v>
      </c>
      <c r="H14" s="330">
        <v>95</v>
      </c>
      <c r="I14" s="435">
        <f t="shared" si="14"/>
        <v>2373.1299999999997</v>
      </c>
      <c r="J14" s="436">
        <f t="shared" si="28"/>
        <v>87</v>
      </c>
      <c r="K14" s="437">
        <f t="shared" si="8"/>
        <v>15515.4</v>
      </c>
      <c r="M14" s="413"/>
      <c r="N14">
        <v>27.22</v>
      </c>
      <c r="O14" s="15">
        <v>10</v>
      </c>
      <c r="P14" s="296">
        <f t="shared" si="16"/>
        <v>272.2</v>
      </c>
      <c r="Q14" s="244">
        <v>44907</v>
      </c>
      <c r="R14" s="69">
        <f t="shared" si="17"/>
        <v>272.2</v>
      </c>
      <c r="S14" s="70" t="s">
        <v>680</v>
      </c>
      <c r="T14" s="71">
        <v>90</v>
      </c>
      <c r="U14" s="435">
        <f t="shared" si="18"/>
        <v>2454.79</v>
      </c>
      <c r="V14" s="436">
        <f t="shared" si="29"/>
        <v>90</v>
      </c>
      <c r="W14" s="437">
        <f t="shared" si="9"/>
        <v>24498</v>
      </c>
      <c r="Y14" s="413"/>
      <c r="Z14">
        <v>27.24</v>
      </c>
      <c r="AA14" s="15">
        <v>10</v>
      </c>
      <c r="AB14" s="296">
        <f t="shared" si="20"/>
        <v>272.39999999999998</v>
      </c>
      <c r="AC14" s="244">
        <v>44917</v>
      </c>
      <c r="AD14" s="69">
        <f t="shared" si="21"/>
        <v>272.39999999999998</v>
      </c>
      <c r="AE14" s="70" t="s">
        <v>785</v>
      </c>
      <c r="AF14" s="71">
        <v>95</v>
      </c>
      <c r="AG14" s="435">
        <f t="shared" si="22"/>
        <v>3355.5500000000011</v>
      </c>
      <c r="AH14" s="436">
        <f t="shared" si="30"/>
        <v>123</v>
      </c>
      <c r="AI14" s="437">
        <f t="shared" si="10"/>
        <v>25877.999999999996</v>
      </c>
      <c r="AK14" s="413"/>
      <c r="AL14">
        <v>27.22</v>
      </c>
      <c r="AM14" s="15">
        <v>1</v>
      </c>
      <c r="AN14" s="296">
        <f t="shared" si="24"/>
        <v>27.22</v>
      </c>
      <c r="AO14" s="244">
        <v>44932</v>
      </c>
      <c r="AP14" s="69">
        <f t="shared" si="25"/>
        <v>27.22</v>
      </c>
      <c r="AQ14" s="70" t="s">
        <v>901</v>
      </c>
      <c r="AR14" s="71">
        <v>90</v>
      </c>
      <c r="AS14" s="435">
        <f t="shared" si="26"/>
        <v>7158.86</v>
      </c>
      <c r="AT14" s="436">
        <f t="shared" si="31"/>
        <v>263</v>
      </c>
      <c r="AU14" s="437">
        <f t="shared" si="11"/>
        <v>2449.7999999999997</v>
      </c>
    </row>
    <row r="15" spans="1:47" x14ac:dyDescent="0.25">
      <c r="A15" s="413"/>
      <c r="B15">
        <v>27.22</v>
      </c>
      <c r="C15" s="15">
        <v>1</v>
      </c>
      <c r="D15" s="737">
        <f t="shared" si="12"/>
        <v>27.22</v>
      </c>
      <c r="E15" s="735">
        <v>44898</v>
      </c>
      <c r="F15" s="534">
        <f t="shared" si="13"/>
        <v>27.22</v>
      </c>
      <c r="G15" s="329" t="s">
        <v>606</v>
      </c>
      <c r="H15" s="330">
        <v>95</v>
      </c>
      <c r="I15" s="435">
        <f t="shared" si="14"/>
        <v>2345.91</v>
      </c>
      <c r="J15" s="436">
        <f t="shared" si="28"/>
        <v>86</v>
      </c>
      <c r="K15" s="437">
        <f t="shared" si="8"/>
        <v>2585.9</v>
      </c>
      <c r="M15" s="413"/>
      <c r="N15">
        <v>27.22</v>
      </c>
      <c r="O15" s="15">
        <v>4</v>
      </c>
      <c r="P15" s="296">
        <f t="shared" si="16"/>
        <v>108.88</v>
      </c>
      <c r="Q15" s="244">
        <v>44909</v>
      </c>
      <c r="R15" s="69">
        <f t="shared" si="17"/>
        <v>108.88</v>
      </c>
      <c r="S15" s="70" t="s">
        <v>698</v>
      </c>
      <c r="T15" s="71">
        <v>95</v>
      </c>
      <c r="U15" s="435">
        <f t="shared" si="18"/>
        <v>2345.91</v>
      </c>
      <c r="V15" s="436">
        <f t="shared" si="29"/>
        <v>86</v>
      </c>
      <c r="W15" s="437">
        <f t="shared" si="9"/>
        <v>10343.6</v>
      </c>
      <c r="Y15" s="413"/>
      <c r="Z15">
        <v>27.24</v>
      </c>
      <c r="AA15" s="15">
        <v>6</v>
      </c>
      <c r="AB15" s="296">
        <f t="shared" si="20"/>
        <v>163.44</v>
      </c>
      <c r="AC15" s="244">
        <v>44917</v>
      </c>
      <c r="AD15" s="69">
        <f t="shared" si="21"/>
        <v>163.44</v>
      </c>
      <c r="AE15" s="70" t="s">
        <v>796</v>
      </c>
      <c r="AF15" s="71">
        <v>95</v>
      </c>
      <c r="AG15" s="435">
        <f t="shared" si="22"/>
        <v>3192.110000000001</v>
      </c>
      <c r="AH15" s="436">
        <f t="shared" si="30"/>
        <v>117</v>
      </c>
      <c r="AI15" s="437">
        <f t="shared" si="10"/>
        <v>15526.8</v>
      </c>
      <c r="AK15" s="413"/>
      <c r="AL15">
        <v>27.22</v>
      </c>
      <c r="AM15" s="15">
        <v>24</v>
      </c>
      <c r="AN15" s="296">
        <f t="shared" si="24"/>
        <v>653.28</v>
      </c>
      <c r="AO15" s="244">
        <v>44933</v>
      </c>
      <c r="AP15" s="69">
        <f t="shared" si="25"/>
        <v>653.28</v>
      </c>
      <c r="AQ15" s="70" t="s">
        <v>910</v>
      </c>
      <c r="AR15" s="71">
        <v>90</v>
      </c>
      <c r="AS15" s="435">
        <f t="shared" si="26"/>
        <v>6505.58</v>
      </c>
      <c r="AT15" s="436">
        <f t="shared" si="31"/>
        <v>239</v>
      </c>
      <c r="AU15" s="437">
        <f t="shared" si="11"/>
        <v>58795.199999999997</v>
      </c>
    </row>
    <row r="16" spans="1:47" x14ac:dyDescent="0.25">
      <c r="A16" s="413"/>
      <c r="B16">
        <v>27.22</v>
      </c>
      <c r="C16" s="15">
        <v>37</v>
      </c>
      <c r="D16" s="737">
        <f t="shared" si="12"/>
        <v>1007.14</v>
      </c>
      <c r="E16" s="735">
        <v>44898</v>
      </c>
      <c r="F16" s="534">
        <f t="shared" si="13"/>
        <v>1007.14</v>
      </c>
      <c r="G16" s="329" t="s">
        <v>608</v>
      </c>
      <c r="H16" s="330">
        <v>95</v>
      </c>
      <c r="I16" s="435">
        <f t="shared" si="14"/>
        <v>1338.77</v>
      </c>
      <c r="J16" s="436">
        <f t="shared" si="28"/>
        <v>49</v>
      </c>
      <c r="K16" s="437">
        <f t="shared" si="8"/>
        <v>95678.3</v>
      </c>
      <c r="M16" s="413"/>
      <c r="N16">
        <v>27.22</v>
      </c>
      <c r="O16" s="15">
        <v>1</v>
      </c>
      <c r="P16" s="296">
        <f t="shared" si="16"/>
        <v>27.22</v>
      </c>
      <c r="Q16" s="244">
        <v>44909</v>
      </c>
      <c r="R16" s="69">
        <f t="shared" si="17"/>
        <v>27.22</v>
      </c>
      <c r="S16" s="70" t="s">
        <v>700</v>
      </c>
      <c r="T16" s="71">
        <v>95</v>
      </c>
      <c r="U16" s="435">
        <f t="shared" si="18"/>
        <v>2318.69</v>
      </c>
      <c r="V16" s="436">
        <f t="shared" si="29"/>
        <v>85</v>
      </c>
      <c r="W16" s="437">
        <f t="shared" si="9"/>
        <v>2585.9</v>
      </c>
      <c r="Y16" s="413"/>
      <c r="Z16">
        <v>27.24</v>
      </c>
      <c r="AA16" s="15">
        <v>10</v>
      </c>
      <c r="AB16" s="296">
        <f t="shared" si="20"/>
        <v>272.39999999999998</v>
      </c>
      <c r="AC16" s="244">
        <v>44918</v>
      </c>
      <c r="AD16" s="69">
        <f t="shared" si="21"/>
        <v>272.39999999999998</v>
      </c>
      <c r="AE16" s="70" t="s">
        <v>797</v>
      </c>
      <c r="AF16" s="71">
        <v>95</v>
      </c>
      <c r="AG16" s="435">
        <f t="shared" si="22"/>
        <v>2919.7100000000009</v>
      </c>
      <c r="AH16" s="436">
        <f t="shared" si="30"/>
        <v>107</v>
      </c>
      <c r="AI16" s="437">
        <f t="shared" si="10"/>
        <v>25877.999999999996</v>
      </c>
      <c r="AK16" s="413"/>
      <c r="AL16">
        <v>27.22</v>
      </c>
      <c r="AM16" s="15"/>
      <c r="AN16" s="296">
        <f t="shared" si="24"/>
        <v>0</v>
      </c>
      <c r="AO16" s="244"/>
      <c r="AP16" s="69">
        <f t="shared" si="25"/>
        <v>0</v>
      </c>
      <c r="AQ16" s="70"/>
      <c r="AR16" s="71"/>
      <c r="AS16" s="435">
        <f t="shared" si="26"/>
        <v>6505.58</v>
      </c>
      <c r="AT16" s="436">
        <f t="shared" si="31"/>
        <v>239</v>
      </c>
      <c r="AU16" s="437">
        <f t="shared" si="11"/>
        <v>0</v>
      </c>
    </row>
    <row r="17" spans="1:47" x14ac:dyDescent="0.25">
      <c r="A17" s="413"/>
      <c r="B17">
        <v>27.22</v>
      </c>
      <c r="C17" s="15">
        <v>10</v>
      </c>
      <c r="D17" s="737">
        <f t="shared" si="12"/>
        <v>272.2</v>
      </c>
      <c r="E17" s="735">
        <v>44900</v>
      </c>
      <c r="F17" s="534">
        <f t="shared" si="13"/>
        <v>272.2</v>
      </c>
      <c r="G17" s="329" t="s">
        <v>613</v>
      </c>
      <c r="H17" s="1169">
        <v>90</v>
      </c>
      <c r="I17" s="435">
        <f t="shared" si="14"/>
        <v>1066.57</v>
      </c>
      <c r="J17" s="436">
        <f t="shared" si="28"/>
        <v>39</v>
      </c>
      <c r="K17" s="437">
        <f t="shared" si="8"/>
        <v>24498</v>
      </c>
      <c r="M17" s="413"/>
      <c r="N17">
        <v>27.22</v>
      </c>
      <c r="O17" s="15">
        <v>1</v>
      </c>
      <c r="P17" s="296">
        <f t="shared" si="16"/>
        <v>27.22</v>
      </c>
      <c r="Q17" s="244">
        <v>44909</v>
      </c>
      <c r="R17" s="69">
        <f t="shared" si="17"/>
        <v>27.22</v>
      </c>
      <c r="S17" s="70" t="s">
        <v>701</v>
      </c>
      <c r="T17" s="71">
        <v>95</v>
      </c>
      <c r="U17" s="435">
        <f t="shared" si="18"/>
        <v>2291.4700000000003</v>
      </c>
      <c r="V17" s="436">
        <f t="shared" si="29"/>
        <v>84</v>
      </c>
      <c r="W17" s="437">
        <f t="shared" si="9"/>
        <v>2585.9</v>
      </c>
      <c r="Y17" s="413"/>
      <c r="Z17">
        <v>27.24</v>
      </c>
      <c r="AA17" s="15">
        <v>32</v>
      </c>
      <c r="AB17" s="296">
        <f t="shared" si="20"/>
        <v>871.68</v>
      </c>
      <c r="AC17" s="244">
        <v>44918</v>
      </c>
      <c r="AD17" s="69">
        <f t="shared" si="21"/>
        <v>871.68</v>
      </c>
      <c r="AE17" s="70" t="s">
        <v>800</v>
      </c>
      <c r="AF17" s="71">
        <v>95</v>
      </c>
      <c r="AG17" s="435">
        <f t="shared" si="22"/>
        <v>2048.0300000000011</v>
      </c>
      <c r="AH17" s="436">
        <f t="shared" si="30"/>
        <v>75</v>
      </c>
      <c r="AI17" s="437">
        <f t="shared" si="10"/>
        <v>82809.599999999991</v>
      </c>
      <c r="AK17" s="413"/>
      <c r="AL17">
        <v>27.22</v>
      </c>
      <c r="AM17" s="15"/>
      <c r="AN17" s="296">
        <f t="shared" si="24"/>
        <v>0</v>
      </c>
      <c r="AO17" s="244"/>
      <c r="AP17" s="69">
        <f t="shared" si="25"/>
        <v>0</v>
      </c>
      <c r="AQ17" s="70"/>
      <c r="AR17" s="71"/>
      <c r="AS17" s="435">
        <f t="shared" si="26"/>
        <v>6505.58</v>
      </c>
      <c r="AT17" s="436">
        <f t="shared" si="31"/>
        <v>239</v>
      </c>
      <c r="AU17" s="437">
        <f t="shared" si="11"/>
        <v>0</v>
      </c>
    </row>
    <row r="18" spans="1:47" x14ac:dyDescent="0.25">
      <c r="B18">
        <v>27.22</v>
      </c>
      <c r="C18" s="15">
        <v>32</v>
      </c>
      <c r="D18" s="737">
        <f t="shared" si="12"/>
        <v>871.04</v>
      </c>
      <c r="E18" s="735">
        <v>44901</v>
      </c>
      <c r="F18" s="534">
        <f t="shared" si="13"/>
        <v>871.04</v>
      </c>
      <c r="G18" s="329" t="s">
        <v>622</v>
      </c>
      <c r="H18" s="330">
        <v>95</v>
      </c>
      <c r="I18" s="435">
        <f t="shared" si="14"/>
        <v>195.52999999999997</v>
      </c>
      <c r="J18" s="436">
        <f t="shared" si="28"/>
        <v>7</v>
      </c>
      <c r="K18" s="437">
        <f t="shared" si="8"/>
        <v>82748.800000000003</v>
      </c>
      <c r="N18">
        <v>27.22</v>
      </c>
      <c r="O18" s="15">
        <v>24</v>
      </c>
      <c r="P18" s="296">
        <f t="shared" si="16"/>
        <v>653.28</v>
      </c>
      <c r="Q18" s="244">
        <v>44909</v>
      </c>
      <c r="R18" s="69">
        <f t="shared" si="17"/>
        <v>653.28</v>
      </c>
      <c r="S18" s="70" t="s">
        <v>702</v>
      </c>
      <c r="T18" s="71">
        <v>95</v>
      </c>
      <c r="U18" s="435">
        <f t="shared" si="18"/>
        <v>1638.1900000000003</v>
      </c>
      <c r="V18" s="436">
        <f t="shared" si="29"/>
        <v>60</v>
      </c>
      <c r="W18" s="437">
        <f t="shared" si="9"/>
        <v>62061.599999999999</v>
      </c>
      <c r="Z18">
        <v>27.24</v>
      </c>
      <c r="AA18" s="15">
        <v>18</v>
      </c>
      <c r="AB18" s="296">
        <f t="shared" si="20"/>
        <v>490.32</v>
      </c>
      <c r="AC18" s="244">
        <v>44918</v>
      </c>
      <c r="AD18" s="69">
        <f t="shared" si="21"/>
        <v>490.32</v>
      </c>
      <c r="AE18" s="70" t="s">
        <v>800</v>
      </c>
      <c r="AF18" s="71">
        <v>95</v>
      </c>
      <c r="AG18" s="435">
        <f t="shared" si="22"/>
        <v>1557.7100000000012</v>
      </c>
      <c r="AH18" s="436">
        <f t="shared" si="30"/>
        <v>57</v>
      </c>
      <c r="AI18" s="437">
        <f t="shared" si="10"/>
        <v>46580.4</v>
      </c>
      <c r="AL18">
        <v>27.22</v>
      </c>
      <c r="AM18" s="15"/>
      <c r="AN18" s="296">
        <f t="shared" si="24"/>
        <v>0</v>
      </c>
      <c r="AO18" s="244"/>
      <c r="AP18" s="69">
        <f t="shared" si="25"/>
        <v>0</v>
      </c>
      <c r="AQ18" s="70"/>
      <c r="AR18" s="71"/>
      <c r="AS18" s="435">
        <f t="shared" si="26"/>
        <v>6505.58</v>
      </c>
      <c r="AT18" s="436">
        <f t="shared" si="31"/>
        <v>239</v>
      </c>
      <c r="AU18" s="437">
        <f t="shared" si="11"/>
        <v>0</v>
      </c>
    </row>
    <row r="19" spans="1:47" x14ac:dyDescent="0.25">
      <c r="B19">
        <v>27.22</v>
      </c>
      <c r="C19" s="15"/>
      <c r="D19" s="737">
        <f t="shared" si="12"/>
        <v>0</v>
      </c>
      <c r="E19" s="735"/>
      <c r="F19" s="1160">
        <f t="shared" si="13"/>
        <v>0</v>
      </c>
      <c r="G19" s="1161"/>
      <c r="H19" s="1162"/>
      <c r="I19" s="1175">
        <f t="shared" si="14"/>
        <v>195.52999999999997</v>
      </c>
      <c r="J19" s="1176">
        <f t="shared" si="28"/>
        <v>7</v>
      </c>
      <c r="K19" s="437">
        <f t="shared" si="8"/>
        <v>0</v>
      </c>
      <c r="N19">
        <v>27.22</v>
      </c>
      <c r="O19" s="15">
        <v>28</v>
      </c>
      <c r="P19" s="296">
        <f t="shared" si="16"/>
        <v>762.16</v>
      </c>
      <c r="Q19" s="244">
        <v>44910</v>
      </c>
      <c r="R19" s="69">
        <f t="shared" si="17"/>
        <v>762.16</v>
      </c>
      <c r="S19" s="70" t="s">
        <v>719</v>
      </c>
      <c r="T19" s="71">
        <v>95</v>
      </c>
      <c r="U19" s="435">
        <f t="shared" si="18"/>
        <v>876.03000000000031</v>
      </c>
      <c r="V19" s="436">
        <f t="shared" si="29"/>
        <v>32</v>
      </c>
      <c r="W19" s="437">
        <f t="shared" si="9"/>
        <v>72405.2</v>
      </c>
      <c r="Z19">
        <v>27.24</v>
      </c>
      <c r="AA19" s="15">
        <v>25</v>
      </c>
      <c r="AB19" s="296">
        <f t="shared" si="20"/>
        <v>681</v>
      </c>
      <c r="AC19" s="244">
        <v>44918</v>
      </c>
      <c r="AD19" s="69">
        <f t="shared" si="21"/>
        <v>681</v>
      </c>
      <c r="AE19" s="70" t="s">
        <v>815</v>
      </c>
      <c r="AF19" s="71">
        <v>95</v>
      </c>
      <c r="AG19" s="435">
        <f t="shared" si="22"/>
        <v>876.71000000000117</v>
      </c>
      <c r="AH19" s="436">
        <f t="shared" si="30"/>
        <v>32</v>
      </c>
      <c r="AI19" s="437">
        <f t="shared" si="10"/>
        <v>64695</v>
      </c>
      <c r="AL19">
        <v>27.22</v>
      </c>
      <c r="AM19" s="15"/>
      <c r="AN19" s="296">
        <f t="shared" si="24"/>
        <v>0</v>
      </c>
      <c r="AO19" s="244"/>
      <c r="AP19" s="69">
        <f t="shared" si="25"/>
        <v>0</v>
      </c>
      <c r="AQ19" s="70"/>
      <c r="AR19" s="71"/>
      <c r="AS19" s="435">
        <f t="shared" si="26"/>
        <v>6505.58</v>
      </c>
      <c r="AT19" s="436">
        <f t="shared" si="31"/>
        <v>239</v>
      </c>
      <c r="AU19" s="437">
        <f t="shared" si="11"/>
        <v>0</v>
      </c>
    </row>
    <row r="20" spans="1:47" x14ac:dyDescent="0.25">
      <c r="B20">
        <v>27.22</v>
      </c>
      <c r="C20" s="15"/>
      <c r="D20" s="737">
        <f t="shared" si="12"/>
        <v>0</v>
      </c>
      <c r="E20" s="735"/>
      <c r="F20" s="1160">
        <f t="shared" si="13"/>
        <v>0</v>
      </c>
      <c r="G20" s="1161"/>
      <c r="H20" s="1162"/>
      <c r="I20" s="1175">
        <f t="shared" si="14"/>
        <v>195.52999999999997</v>
      </c>
      <c r="J20" s="1176">
        <f t="shared" si="28"/>
        <v>7</v>
      </c>
      <c r="K20" s="437">
        <f t="shared" si="8"/>
        <v>0</v>
      </c>
      <c r="N20">
        <v>27.22</v>
      </c>
      <c r="O20" s="15">
        <v>24</v>
      </c>
      <c r="P20" s="296">
        <f t="shared" si="16"/>
        <v>653.28</v>
      </c>
      <c r="Q20" s="244">
        <v>44911</v>
      </c>
      <c r="R20" s="69">
        <f t="shared" si="17"/>
        <v>653.28</v>
      </c>
      <c r="S20" s="70" t="s">
        <v>724</v>
      </c>
      <c r="T20" s="71">
        <v>95</v>
      </c>
      <c r="U20" s="435">
        <f t="shared" si="18"/>
        <v>222.75000000000034</v>
      </c>
      <c r="V20" s="436">
        <f t="shared" si="29"/>
        <v>8</v>
      </c>
      <c r="W20" s="437">
        <f t="shared" si="9"/>
        <v>62061.599999999999</v>
      </c>
      <c r="Z20">
        <v>27.24</v>
      </c>
      <c r="AA20" s="15">
        <v>2</v>
      </c>
      <c r="AB20" s="296">
        <f t="shared" si="20"/>
        <v>54.48</v>
      </c>
      <c r="AC20" s="244">
        <v>44918</v>
      </c>
      <c r="AD20" s="69">
        <f t="shared" si="21"/>
        <v>54.48</v>
      </c>
      <c r="AE20" s="70" t="s">
        <v>810</v>
      </c>
      <c r="AF20" s="71">
        <v>95</v>
      </c>
      <c r="AG20" s="435">
        <f t="shared" si="22"/>
        <v>822.23000000000116</v>
      </c>
      <c r="AH20" s="436">
        <f t="shared" si="30"/>
        <v>30</v>
      </c>
      <c r="AI20" s="437">
        <f t="shared" si="10"/>
        <v>5175.5999999999995</v>
      </c>
      <c r="AL20">
        <v>27.22</v>
      </c>
      <c r="AM20" s="15"/>
      <c r="AN20" s="296">
        <f t="shared" si="24"/>
        <v>0</v>
      </c>
      <c r="AO20" s="244"/>
      <c r="AP20" s="69">
        <f t="shared" si="25"/>
        <v>0</v>
      </c>
      <c r="AQ20" s="70"/>
      <c r="AR20" s="71"/>
      <c r="AS20" s="435">
        <f t="shared" si="26"/>
        <v>6505.58</v>
      </c>
      <c r="AT20" s="436">
        <f t="shared" si="31"/>
        <v>239</v>
      </c>
      <c r="AU20" s="437">
        <f t="shared" si="11"/>
        <v>0</v>
      </c>
    </row>
    <row r="21" spans="1:47" x14ac:dyDescent="0.25">
      <c r="B21">
        <v>27.22</v>
      </c>
      <c r="C21" s="15"/>
      <c r="D21" s="737">
        <f t="shared" si="12"/>
        <v>0</v>
      </c>
      <c r="E21" s="735"/>
      <c r="F21" s="1160">
        <f t="shared" si="13"/>
        <v>0</v>
      </c>
      <c r="G21" s="1161"/>
      <c r="H21" s="1162"/>
      <c r="I21" s="1175">
        <f t="shared" si="14"/>
        <v>195.52999999999997</v>
      </c>
      <c r="J21" s="1176">
        <f t="shared" si="28"/>
        <v>7</v>
      </c>
      <c r="K21" s="437">
        <f t="shared" si="8"/>
        <v>0</v>
      </c>
      <c r="N21">
        <v>27.22</v>
      </c>
      <c r="O21" s="15">
        <v>1</v>
      </c>
      <c r="P21" s="296">
        <f t="shared" si="16"/>
        <v>27.22</v>
      </c>
      <c r="Q21" s="244">
        <v>44911</v>
      </c>
      <c r="R21" s="69">
        <f t="shared" si="17"/>
        <v>27.22</v>
      </c>
      <c r="S21" s="70" t="s">
        <v>736</v>
      </c>
      <c r="T21" s="71">
        <v>95</v>
      </c>
      <c r="U21" s="435">
        <f t="shared" si="18"/>
        <v>195.53000000000034</v>
      </c>
      <c r="V21" s="436">
        <f t="shared" si="29"/>
        <v>7</v>
      </c>
      <c r="W21" s="437">
        <f t="shared" si="9"/>
        <v>2585.9</v>
      </c>
      <c r="Z21">
        <v>27.24</v>
      </c>
      <c r="AA21" s="15">
        <v>30</v>
      </c>
      <c r="AB21" s="296">
        <f t="shared" si="20"/>
        <v>817.19999999999993</v>
      </c>
      <c r="AC21" s="244">
        <v>44919</v>
      </c>
      <c r="AD21" s="69">
        <f t="shared" si="21"/>
        <v>817.19999999999993</v>
      </c>
      <c r="AE21" s="70" t="s">
        <v>827</v>
      </c>
      <c r="AF21" s="71">
        <v>95</v>
      </c>
      <c r="AG21" s="435">
        <f t="shared" si="22"/>
        <v>5.0300000000012233</v>
      </c>
      <c r="AH21" s="436">
        <f t="shared" si="30"/>
        <v>0</v>
      </c>
      <c r="AI21" s="437">
        <f t="shared" si="10"/>
        <v>77634</v>
      </c>
      <c r="AL21">
        <v>27.22</v>
      </c>
      <c r="AM21" s="15"/>
      <c r="AN21" s="296">
        <f t="shared" si="24"/>
        <v>0</v>
      </c>
      <c r="AO21" s="244"/>
      <c r="AP21" s="69">
        <f t="shared" si="25"/>
        <v>0</v>
      </c>
      <c r="AQ21" s="70"/>
      <c r="AR21" s="71"/>
      <c r="AS21" s="435">
        <f t="shared" si="26"/>
        <v>6505.58</v>
      </c>
      <c r="AT21" s="436">
        <f t="shared" si="31"/>
        <v>239</v>
      </c>
      <c r="AU21" s="437">
        <f t="shared" si="11"/>
        <v>0</v>
      </c>
    </row>
    <row r="22" spans="1:47" x14ac:dyDescent="0.25">
      <c r="A22" t="s">
        <v>22</v>
      </c>
      <c r="B22">
        <v>27.22</v>
      </c>
      <c r="C22" s="15">
        <v>7</v>
      </c>
      <c r="D22" s="737">
        <f t="shared" si="12"/>
        <v>190.54</v>
      </c>
      <c r="E22" s="735"/>
      <c r="F22" s="534">
        <v>195.53</v>
      </c>
      <c r="G22" s="329"/>
      <c r="H22" s="330"/>
      <c r="I22" s="435">
        <f t="shared" si="14"/>
        <v>0</v>
      </c>
      <c r="J22" s="436">
        <f t="shared" si="28"/>
        <v>0</v>
      </c>
      <c r="K22" s="437">
        <f t="shared" si="8"/>
        <v>0</v>
      </c>
      <c r="M22" t="s">
        <v>22</v>
      </c>
      <c r="N22">
        <v>27.22</v>
      </c>
      <c r="O22" s="15"/>
      <c r="P22" s="296">
        <f t="shared" si="16"/>
        <v>0</v>
      </c>
      <c r="Q22" s="244"/>
      <c r="R22" s="69">
        <f t="shared" si="17"/>
        <v>0</v>
      </c>
      <c r="S22" s="70"/>
      <c r="T22" s="71"/>
      <c r="U22" s="435">
        <f t="shared" si="18"/>
        <v>195.53000000000034</v>
      </c>
      <c r="V22" s="436">
        <f t="shared" si="29"/>
        <v>7</v>
      </c>
      <c r="W22" s="437">
        <f t="shared" si="9"/>
        <v>0</v>
      </c>
      <c r="Y22" t="s">
        <v>22</v>
      </c>
      <c r="Z22">
        <v>27.24</v>
      </c>
      <c r="AA22" s="15"/>
      <c r="AB22" s="296">
        <f t="shared" si="20"/>
        <v>0</v>
      </c>
      <c r="AC22" s="244"/>
      <c r="AD22" s="69">
        <f t="shared" si="21"/>
        <v>0</v>
      </c>
      <c r="AE22" s="70"/>
      <c r="AF22" s="71"/>
      <c r="AG22" s="435">
        <f t="shared" si="22"/>
        <v>5.0300000000012233</v>
      </c>
      <c r="AH22" s="436">
        <f t="shared" si="30"/>
        <v>0</v>
      </c>
      <c r="AI22" s="437">
        <f t="shared" si="10"/>
        <v>0</v>
      </c>
      <c r="AK22" t="s">
        <v>22</v>
      </c>
      <c r="AL22">
        <v>27.22</v>
      </c>
      <c r="AM22" s="15"/>
      <c r="AN22" s="296">
        <f t="shared" si="24"/>
        <v>0</v>
      </c>
      <c r="AO22" s="244"/>
      <c r="AP22" s="69">
        <f t="shared" si="25"/>
        <v>0</v>
      </c>
      <c r="AQ22" s="70"/>
      <c r="AR22" s="71"/>
      <c r="AS22" s="435">
        <f t="shared" si="26"/>
        <v>6505.58</v>
      </c>
      <c r="AT22" s="436">
        <f t="shared" si="31"/>
        <v>239</v>
      </c>
      <c r="AU22" s="437">
        <f t="shared" si="11"/>
        <v>0</v>
      </c>
    </row>
    <row r="23" spans="1:47" x14ac:dyDescent="0.25">
      <c r="B23">
        <v>27.22</v>
      </c>
      <c r="C23" s="15"/>
      <c r="D23" s="737">
        <f t="shared" si="12"/>
        <v>0</v>
      </c>
      <c r="E23" s="735"/>
      <c r="F23" s="534">
        <f t="shared" si="13"/>
        <v>0</v>
      </c>
      <c r="G23" s="329"/>
      <c r="H23" s="330"/>
      <c r="I23" s="435">
        <f t="shared" si="14"/>
        <v>0</v>
      </c>
      <c r="J23" s="436">
        <f t="shared" si="28"/>
        <v>0</v>
      </c>
      <c r="K23" s="437">
        <f t="shared" si="8"/>
        <v>0</v>
      </c>
      <c r="N23">
        <v>27.22</v>
      </c>
      <c r="O23" s="15"/>
      <c r="P23" s="296">
        <f t="shared" si="16"/>
        <v>0</v>
      </c>
      <c r="Q23" s="244"/>
      <c r="R23" s="69">
        <f t="shared" si="17"/>
        <v>0</v>
      </c>
      <c r="S23" s="70"/>
      <c r="T23" s="71"/>
      <c r="U23" s="435">
        <f t="shared" si="18"/>
        <v>195.53000000000034</v>
      </c>
      <c r="V23" s="436">
        <f t="shared" si="29"/>
        <v>7</v>
      </c>
      <c r="W23" s="437">
        <f t="shared" si="9"/>
        <v>0</v>
      </c>
      <c r="Z23">
        <v>27.24</v>
      </c>
      <c r="AA23" s="15"/>
      <c r="AB23" s="296">
        <f t="shared" si="20"/>
        <v>0</v>
      </c>
      <c r="AC23" s="244"/>
      <c r="AD23" s="69">
        <f t="shared" si="21"/>
        <v>0</v>
      </c>
      <c r="AE23" s="70"/>
      <c r="AF23" s="71"/>
      <c r="AG23" s="435">
        <f t="shared" si="22"/>
        <v>5.0300000000012233</v>
      </c>
      <c r="AH23" s="436">
        <f t="shared" si="30"/>
        <v>0</v>
      </c>
      <c r="AI23" s="437">
        <f t="shared" si="10"/>
        <v>0</v>
      </c>
      <c r="AL23">
        <v>27.22</v>
      </c>
      <c r="AM23" s="15"/>
      <c r="AN23" s="296">
        <f t="shared" si="24"/>
        <v>0</v>
      </c>
      <c r="AO23" s="244"/>
      <c r="AP23" s="69">
        <f t="shared" si="25"/>
        <v>0</v>
      </c>
      <c r="AQ23" s="70"/>
      <c r="AR23" s="71"/>
      <c r="AS23" s="435">
        <f t="shared" si="26"/>
        <v>6505.58</v>
      </c>
      <c r="AT23" s="436">
        <f t="shared" si="31"/>
        <v>239</v>
      </c>
      <c r="AU23" s="437">
        <f t="shared" si="11"/>
        <v>0</v>
      </c>
    </row>
    <row r="24" spans="1:47" x14ac:dyDescent="0.25">
      <c r="B24">
        <v>27.22</v>
      </c>
      <c r="C24" s="15"/>
      <c r="D24" s="737">
        <f t="shared" si="12"/>
        <v>0</v>
      </c>
      <c r="E24" s="735"/>
      <c r="F24" s="534">
        <f t="shared" si="13"/>
        <v>0</v>
      </c>
      <c r="G24" s="329"/>
      <c r="H24" s="330"/>
      <c r="I24" s="435">
        <f t="shared" si="14"/>
        <v>0</v>
      </c>
      <c r="J24" s="436">
        <f t="shared" si="28"/>
        <v>0</v>
      </c>
      <c r="K24" s="437">
        <f t="shared" si="8"/>
        <v>0</v>
      </c>
      <c r="N24">
        <v>27.22</v>
      </c>
      <c r="O24" s="15"/>
      <c r="P24" s="296">
        <f t="shared" si="16"/>
        <v>0</v>
      </c>
      <c r="Q24" s="244"/>
      <c r="R24" s="69">
        <f t="shared" si="17"/>
        <v>0</v>
      </c>
      <c r="S24" s="70"/>
      <c r="T24" s="71"/>
      <c r="U24" s="435">
        <f t="shared" si="18"/>
        <v>195.53000000000034</v>
      </c>
      <c r="V24" s="436">
        <f t="shared" si="29"/>
        <v>7</v>
      </c>
      <c r="W24" s="437">
        <f t="shared" si="9"/>
        <v>0</v>
      </c>
      <c r="Z24">
        <v>27.24</v>
      </c>
      <c r="AA24" s="15"/>
      <c r="AB24" s="296">
        <f t="shared" si="20"/>
        <v>0</v>
      </c>
      <c r="AC24" s="244"/>
      <c r="AD24" s="69">
        <f t="shared" si="21"/>
        <v>0</v>
      </c>
      <c r="AE24" s="70"/>
      <c r="AF24" s="71"/>
      <c r="AG24" s="435">
        <f t="shared" si="22"/>
        <v>5.0300000000012233</v>
      </c>
      <c r="AH24" s="436">
        <f t="shared" si="30"/>
        <v>0</v>
      </c>
      <c r="AI24" s="437">
        <f t="shared" si="10"/>
        <v>0</v>
      </c>
      <c r="AL24">
        <v>27.22</v>
      </c>
      <c r="AM24" s="15"/>
      <c r="AN24" s="296">
        <f t="shared" si="24"/>
        <v>0</v>
      </c>
      <c r="AO24" s="244"/>
      <c r="AP24" s="69">
        <f t="shared" si="25"/>
        <v>0</v>
      </c>
      <c r="AQ24" s="70"/>
      <c r="AR24" s="71"/>
      <c r="AS24" s="435">
        <f t="shared" si="26"/>
        <v>6505.58</v>
      </c>
      <c r="AT24" s="436">
        <f t="shared" si="31"/>
        <v>239</v>
      </c>
      <c r="AU24" s="437">
        <f t="shared" si="11"/>
        <v>0</v>
      </c>
    </row>
    <row r="25" spans="1:47" x14ac:dyDescent="0.25">
      <c r="B25">
        <v>27.22</v>
      </c>
      <c r="C25" s="15"/>
      <c r="D25" s="737">
        <f t="shared" si="12"/>
        <v>0</v>
      </c>
      <c r="E25" s="735"/>
      <c r="F25" s="534">
        <f t="shared" si="13"/>
        <v>0</v>
      </c>
      <c r="G25" s="329"/>
      <c r="H25" s="330"/>
      <c r="I25" s="435">
        <f t="shared" si="14"/>
        <v>0</v>
      </c>
      <c r="J25" s="436">
        <f t="shared" si="28"/>
        <v>0</v>
      </c>
      <c r="K25" s="437">
        <f t="shared" si="8"/>
        <v>0</v>
      </c>
      <c r="N25">
        <v>27.22</v>
      </c>
      <c r="O25" s="15">
        <v>7</v>
      </c>
      <c r="P25" s="296">
        <f t="shared" si="16"/>
        <v>190.54</v>
      </c>
      <c r="Q25" s="244"/>
      <c r="R25" s="69">
        <f t="shared" si="17"/>
        <v>190.54</v>
      </c>
      <c r="S25" s="70"/>
      <c r="T25" s="1167"/>
      <c r="U25" s="1175">
        <f t="shared" si="18"/>
        <v>4.9900000000003502</v>
      </c>
      <c r="V25" s="1176">
        <f t="shared" si="29"/>
        <v>0</v>
      </c>
      <c r="W25" s="1188">
        <f t="shared" si="9"/>
        <v>0</v>
      </c>
      <c r="Z25">
        <v>27.24</v>
      </c>
      <c r="AA25" s="15"/>
      <c r="AB25" s="296">
        <f t="shared" si="20"/>
        <v>0</v>
      </c>
      <c r="AC25" s="244"/>
      <c r="AD25" s="69">
        <f t="shared" si="21"/>
        <v>0</v>
      </c>
      <c r="AE25" s="70"/>
      <c r="AF25" s="71"/>
      <c r="AG25" s="435">
        <f t="shared" si="22"/>
        <v>5.0300000000012233</v>
      </c>
      <c r="AH25" s="436">
        <f t="shared" si="30"/>
        <v>0</v>
      </c>
      <c r="AI25" s="437">
        <f t="shared" si="10"/>
        <v>0</v>
      </c>
      <c r="AL25">
        <v>27.22</v>
      </c>
      <c r="AM25" s="15"/>
      <c r="AN25" s="296">
        <f t="shared" si="24"/>
        <v>0</v>
      </c>
      <c r="AO25" s="244"/>
      <c r="AP25" s="69">
        <f t="shared" si="25"/>
        <v>0</v>
      </c>
      <c r="AQ25" s="70"/>
      <c r="AR25" s="71"/>
      <c r="AS25" s="435">
        <f t="shared" si="26"/>
        <v>6505.58</v>
      </c>
      <c r="AT25" s="436">
        <f t="shared" si="31"/>
        <v>239</v>
      </c>
      <c r="AU25" s="437">
        <f t="shared" si="11"/>
        <v>0</v>
      </c>
    </row>
    <row r="26" spans="1:47" x14ac:dyDescent="0.25">
      <c r="B26">
        <v>27.22</v>
      </c>
      <c r="C26" s="15"/>
      <c r="D26" s="737">
        <f t="shared" si="12"/>
        <v>0</v>
      </c>
      <c r="E26" s="735"/>
      <c r="F26" s="534">
        <f t="shared" si="13"/>
        <v>0</v>
      </c>
      <c r="G26" s="329"/>
      <c r="H26" s="330"/>
      <c r="I26" s="435">
        <f t="shared" si="14"/>
        <v>0</v>
      </c>
      <c r="J26" s="436">
        <f t="shared" si="28"/>
        <v>0</v>
      </c>
      <c r="K26" s="437">
        <f t="shared" si="8"/>
        <v>0</v>
      </c>
      <c r="N26">
        <v>27.22</v>
      </c>
      <c r="O26" s="15"/>
      <c r="P26" s="296">
        <f t="shared" si="16"/>
        <v>0</v>
      </c>
      <c r="Q26" s="244"/>
      <c r="R26" s="69">
        <f t="shared" si="17"/>
        <v>0</v>
      </c>
      <c r="S26" s="70"/>
      <c r="T26" s="1167"/>
      <c r="U26" s="1175">
        <f t="shared" si="18"/>
        <v>4.9900000000003502</v>
      </c>
      <c r="V26" s="1176">
        <f t="shared" si="29"/>
        <v>0</v>
      </c>
      <c r="W26" s="1188">
        <f t="shared" si="9"/>
        <v>0</v>
      </c>
      <c r="Z26">
        <v>27.24</v>
      </c>
      <c r="AA26" s="15"/>
      <c r="AB26" s="296">
        <f t="shared" si="20"/>
        <v>0</v>
      </c>
      <c r="AC26" s="244"/>
      <c r="AD26" s="69">
        <f t="shared" si="21"/>
        <v>0</v>
      </c>
      <c r="AE26" s="70"/>
      <c r="AF26" s="71"/>
      <c r="AG26" s="435">
        <f t="shared" si="22"/>
        <v>5.0300000000012233</v>
      </c>
      <c r="AH26" s="436">
        <f t="shared" si="30"/>
        <v>0</v>
      </c>
      <c r="AI26" s="437">
        <f t="shared" si="10"/>
        <v>0</v>
      </c>
      <c r="AL26">
        <v>27.22</v>
      </c>
      <c r="AM26" s="15"/>
      <c r="AN26" s="296">
        <f t="shared" si="24"/>
        <v>0</v>
      </c>
      <c r="AO26" s="244"/>
      <c r="AP26" s="69">
        <f t="shared" si="25"/>
        <v>0</v>
      </c>
      <c r="AQ26" s="70"/>
      <c r="AR26" s="71"/>
      <c r="AS26" s="435">
        <f t="shared" si="26"/>
        <v>6505.58</v>
      </c>
      <c r="AT26" s="436">
        <f t="shared" si="31"/>
        <v>239</v>
      </c>
      <c r="AU26" s="437">
        <f t="shared" si="11"/>
        <v>0</v>
      </c>
    </row>
    <row r="27" spans="1:47" x14ac:dyDescent="0.25">
      <c r="B27">
        <v>27.22</v>
      </c>
      <c r="C27" s="15"/>
      <c r="D27" s="737">
        <f t="shared" si="12"/>
        <v>0</v>
      </c>
      <c r="E27" s="735"/>
      <c r="F27" s="534">
        <f t="shared" si="13"/>
        <v>0</v>
      </c>
      <c r="G27" s="329"/>
      <c r="H27" s="330"/>
      <c r="I27" s="435">
        <f t="shared" si="14"/>
        <v>0</v>
      </c>
      <c r="J27" s="436">
        <f t="shared" si="28"/>
        <v>0</v>
      </c>
      <c r="K27" s="437">
        <f t="shared" si="8"/>
        <v>0</v>
      </c>
      <c r="N27">
        <v>27.22</v>
      </c>
      <c r="O27" s="15"/>
      <c r="P27" s="296">
        <f t="shared" si="16"/>
        <v>0</v>
      </c>
      <c r="Q27" s="244"/>
      <c r="R27" s="69">
        <f t="shared" si="17"/>
        <v>0</v>
      </c>
      <c r="S27" s="70"/>
      <c r="T27" s="1167"/>
      <c r="U27" s="1175">
        <f t="shared" si="18"/>
        <v>4.9900000000003502</v>
      </c>
      <c r="V27" s="1176">
        <f t="shared" si="29"/>
        <v>0</v>
      </c>
      <c r="W27" s="1188">
        <f t="shared" si="9"/>
        <v>0</v>
      </c>
      <c r="Z27">
        <v>27.24</v>
      </c>
      <c r="AA27" s="15"/>
      <c r="AB27" s="296">
        <f t="shared" si="20"/>
        <v>0</v>
      </c>
      <c r="AC27" s="244"/>
      <c r="AD27" s="69">
        <f t="shared" si="21"/>
        <v>0</v>
      </c>
      <c r="AE27" s="70"/>
      <c r="AF27" s="71"/>
      <c r="AG27" s="435">
        <f t="shared" si="22"/>
        <v>5.0300000000012233</v>
      </c>
      <c r="AH27" s="436">
        <f t="shared" si="30"/>
        <v>0</v>
      </c>
      <c r="AI27" s="437">
        <f t="shared" si="10"/>
        <v>0</v>
      </c>
      <c r="AL27">
        <v>27.22</v>
      </c>
      <c r="AM27" s="15"/>
      <c r="AN27" s="296">
        <f t="shared" si="24"/>
        <v>0</v>
      </c>
      <c r="AO27" s="244"/>
      <c r="AP27" s="69">
        <f t="shared" si="25"/>
        <v>0</v>
      </c>
      <c r="AQ27" s="70"/>
      <c r="AR27" s="71"/>
      <c r="AS27" s="435">
        <f t="shared" si="26"/>
        <v>6505.58</v>
      </c>
      <c r="AT27" s="436">
        <f t="shared" si="31"/>
        <v>239</v>
      </c>
      <c r="AU27" s="437">
        <f t="shared" si="11"/>
        <v>0</v>
      </c>
    </row>
    <row r="28" spans="1:47" x14ac:dyDescent="0.25">
      <c r="B28">
        <v>27.22</v>
      </c>
      <c r="C28" s="15"/>
      <c r="D28" s="737">
        <f t="shared" si="12"/>
        <v>0</v>
      </c>
      <c r="E28" s="735"/>
      <c r="F28" s="534">
        <f t="shared" si="13"/>
        <v>0</v>
      </c>
      <c r="G28" s="329"/>
      <c r="H28" s="330"/>
      <c r="I28" s="435">
        <f t="shared" si="14"/>
        <v>0</v>
      </c>
      <c r="J28" s="436">
        <f t="shared" si="28"/>
        <v>0</v>
      </c>
      <c r="K28" s="437">
        <f t="shared" si="8"/>
        <v>0</v>
      </c>
      <c r="N28">
        <v>27.22</v>
      </c>
      <c r="O28" s="15"/>
      <c r="P28" s="296">
        <f t="shared" si="16"/>
        <v>0</v>
      </c>
      <c r="Q28" s="244"/>
      <c r="R28" s="69">
        <f t="shared" si="17"/>
        <v>0</v>
      </c>
      <c r="S28" s="70"/>
      <c r="T28" s="1167"/>
      <c r="U28" s="1175">
        <f t="shared" si="18"/>
        <v>4.9900000000003502</v>
      </c>
      <c r="V28" s="1176">
        <f t="shared" si="29"/>
        <v>0</v>
      </c>
      <c r="W28" s="1188">
        <f t="shared" si="9"/>
        <v>0</v>
      </c>
      <c r="Z28">
        <v>27.24</v>
      </c>
      <c r="AA28" s="15"/>
      <c r="AB28" s="296">
        <f t="shared" si="20"/>
        <v>0</v>
      </c>
      <c r="AC28" s="244"/>
      <c r="AD28" s="69">
        <f t="shared" si="21"/>
        <v>0</v>
      </c>
      <c r="AE28" s="70"/>
      <c r="AF28" s="71"/>
      <c r="AG28" s="435">
        <f t="shared" si="22"/>
        <v>5.0300000000012233</v>
      </c>
      <c r="AH28" s="436">
        <f t="shared" si="30"/>
        <v>0</v>
      </c>
      <c r="AI28" s="437">
        <f t="shared" si="10"/>
        <v>0</v>
      </c>
      <c r="AL28">
        <v>27.22</v>
      </c>
      <c r="AM28" s="15"/>
      <c r="AN28" s="296">
        <f t="shared" si="24"/>
        <v>0</v>
      </c>
      <c r="AO28" s="244"/>
      <c r="AP28" s="69">
        <f t="shared" si="25"/>
        <v>0</v>
      </c>
      <c r="AQ28" s="70"/>
      <c r="AR28" s="71"/>
      <c r="AS28" s="435">
        <f t="shared" si="26"/>
        <v>6505.58</v>
      </c>
      <c r="AT28" s="436">
        <f t="shared" si="31"/>
        <v>239</v>
      </c>
      <c r="AU28" s="437">
        <f t="shared" si="11"/>
        <v>0</v>
      </c>
    </row>
    <row r="29" spans="1:47" x14ac:dyDescent="0.25">
      <c r="B29">
        <v>27.22</v>
      </c>
      <c r="C29" s="15"/>
      <c r="D29" s="737">
        <f t="shared" si="12"/>
        <v>0</v>
      </c>
      <c r="E29" s="735"/>
      <c r="F29" s="534">
        <f t="shared" si="13"/>
        <v>0</v>
      </c>
      <c r="G29" s="329"/>
      <c r="H29" s="330"/>
      <c r="I29" s="435">
        <f t="shared" si="14"/>
        <v>0</v>
      </c>
      <c r="J29" s="436">
        <f t="shared" si="28"/>
        <v>0</v>
      </c>
      <c r="K29" s="437">
        <f t="shared" si="8"/>
        <v>0</v>
      </c>
      <c r="N29">
        <v>27.22</v>
      </c>
      <c r="O29" s="15"/>
      <c r="P29" s="296">
        <f t="shared" si="16"/>
        <v>0</v>
      </c>
      <c r="Q29" s="244"/>
      <c r="R29" s="69">
        <f t="shared" si="17"/>
        <v>0</v>
      </c>
      <c r="S29" s="70"/>
      <c r="T29" s="71"/>
      <c r="U29" s="435">
        <f t="shared" si="18"/>
        <v>4.9900000000003502</v>
      </c>
      <c r="V29" s="436">
        <f t="shared" si="29"/>
        <v>0</v>
      </c>
      <c r="W29" s="437">
        <f t="shared" si="9"/>
        <v>0</v>
      </c>
      <c r="Z29">
        <v>27.24</v>
      </c>
      <c r="AA29" s="15"/>
      <c r="AB29" s="296">
        <f t="shared" si="20"/>
        <v>0</v>
      </c>
      <c r="AC29" s="244"/>
      <c r="AD29" s="69">
        <f t="shared" si="21"/>
        <v>0</v>
      </c>
      <c r="AE29" s="70"/>
      <c r="AF29" s="71"/>
      <c r="AG29" s="435">
        <f t="shared" si="22"/>
        <v>5.0300000000012233</v>
      </c>
      <c r="AH29" s="436">
        <f t="shared" si="30"/>
        <v>0</v>
      </c>
      <c r="AI29" s="437">
        <f t="shared" si="10"/>
        <v>0</v>
      </c>
      <c r="AL29">
        <v>27.22</v>
      </c>
      <c r="AM29" s="15"/>
      <c r="AN29" s="296">
        <f t="shared" si="24"/>
        <v>0</v>
      </c>
      <c r="AO29" s="244"/>
      <c r="AP29" s="69">
        <f t="shared" si="25"/>
        <v>0</v>
      </c>
      <c r="AQ29" s="70"/>
      <c r="AR29" s="71"/>
      <c r="AS29" s="435">
        <f t="shared" si="26"/>
        <v>6505.58</v>
      </c>
      <c r="AT29" s="436">
        <f t="shared" si="31"/>
        <v>239</v>
      </c>
      <c r="AU29" s="437">
        <f t="shared" si="11"/>
        <v>0</v>
      </c>
    </row>
    <row r="30" spans="1:47" x14ac:dyDescent="0.25">
      <c r="B30">
        <v>27.22</v>
      </c>
      <c r="C30" s="15"/>
      <c r="D30" s="737">
        <f t="shared" si="12"/>
        <v>0</v>
      </c>
      <c r="E30" s="735"/>
      <c r="F30" s="534">
        <f t="shared" si="13"/>
        <v>0</v>
      </c>
      <c r="G30" s="329"/>
      <c r="H30" s="330"/>
      <c r="I30" s="435">
        <f t="shared" si="14"/>
        <v>0</v>
      </c>
      <c r="J30" s="436">
        <f t="shared" si="28"/>
        <v>0</v>
      </c>
      <c r="K30" s="437">
        <f t="shared" si="8"/>
        <v>0</v>
      </c>
      <c r="N30">
        <v>27.22</v>
      </c>
      <c r="O30" s="15"/>
      <c r="P30" s="296">
        <f t="shared" si="16"/>
        <v>0</v>
      </c>
      <c r="Q30" s="244"/>
      <c r="R30" s="69">
        <f t="shared" si="17"/>
        <v>0</v>
      </c>
      <c r="S30" s="70"/>
      <c r="T30" s="71"/>
      <c r="U30" s="435">
        <f t="shared" si="18"/>
        <v>4.9900000000003502</v>
      </c>
      <c r="V30" s="436">
        <f t="shared" si="29"/>
        <v>0</v>
      </c>
      <c r="W30" s="437">
        <f t="shared" si="9"/>
        <v>0</v>
      </c>
      <c r="Z30">
        <v>27.24</v>
      </c>
      <c r="AA30" s="15"/>
      <c r="AB30" s="296">
        <f t="shared" si="20"/>
        <v>0</v>
      </c>
      <c r="AC30" s="244"/>
      <c r="AD30" s="69">
        <f t="shared" si="21"/>
        <v>0</v>
      </c>
      <c r="AE30" s="70"/>
      <c r="AF30" s="71"/>
      <c r="AG30" s="435">
        <f t="shared" si="22"/>
        <v>5.0300000000012233</v>
      </c>
      <c r="AH30" s="436">
        <f t="shared" si="30"/>
        <v>0</v>
      </c>
      <c r="AI30" s="437">
        <f t="shared" si="10"/>
        <v>0</v>
      </c>
      <c r="AL30">
        <v>27.22</v>
      </c>
      <c r="AM30" s="15"/>
      <c r="AN30" s="296">
        <f t="shared" si="24"/>
        <v>0</v>
      </c>
      <c r="AO30" s="244"/>
      <c r="AP30" s="69">
        <f t="shared" si="25"/>
        <v>0</v>
      </c>
      <c r="AQ30" s="70"/>
      <c r="AR30" s="71"/>
      <c r="AS30" s="435">
        <f t="shared" si="26"/>
        <v>6505.58</v>
      </c>
      <c r="AT30" s="436">
        <f t="shared" si="31"/>
        <v>239</v>
      </c>
      <c r="AU30" s="437">
        <f t="shared" si="11"/>
        <v>0</v>
      </c>
    </row>
    <row r="31" spans="1:47" x14ac:dyDescent="0.25">
      <c r="B31">
        <v>27.22</v>
      </c>
      <c r="C31" s="15"/>
      <c r="D31" s="737">
        <f t="shared" si="12"/>
        <v>0</v>
      </c>
      <c r="E31" s="735"/>
      <c r="F31" s="534">
        <f t="shared" si="13"/>
        <v>0</v>
      </c>
      <c r="G31" s="329"/>
      <c r="H31" s="330"/>
      <c r="I31" s="435">
        <f t="shared" si="14"/>
        <v>0</v>
      </c>
      <c r="J31" s="436">
        <f t="shared" si="28"/>
        <v>0</v>
      </c>
      <c r="K31" s="437">
        <f t="shared" si="8"/>
        <v>0</v>
      </c>
      <c r="N31">
        <v>27.22</v>
      </c>
      <c r="O31" s="15"/>
      <c r="P31" s="296">
        <f t="shared" si="16"/>
        <v>0</v>
      </c>
      <c r="Q31" s="244"/>
      <c r="R31" s="69">
        <f t="shared" si="17"/>
        <v>0</v>
      </c>
      <c r="S31" s="70"/>
      <c r="T31" s="71"/>
      <c r="U31" s="435">
        <f t="shared" si="18"/>
        <v>4.9900000000003502</v>
      </c>
      <c r="V31" s="436">
        <f t="shared" si="29"/>
        <v>0</v>
      </c>
      <c r="W31" s="437">
        <f t="shared" si="9"/>
        <v>0</v>
      </c>
      <c r="Z31">
        <v>27.24</v>
      </c>
      <c r="AA31" s="15"/>
      <c r="AB31" s="296">
        <f t="shared" si="20"/>
        <v>0</v>
      </c>
      <c r="AC31" s="244"/>
      <c r="AD31" s="69">
        <f t="shared" si="21"/>
        <v>0</v>
      </c>
      <c r="AE31" s="70"/>
      <c r="AF31" s="71"/>
      <c r="AG31" s="435">
        <f t="shared" si="22"/>
        <v>5.0300000000012233</v>
      </c>
      <c r="AH31" s="436">
        <f t="shared" si="30"/>
        <v>0</v>
      </c>
      <c r="AI31" s="437">
        <f t="shared" si="10"/>
        <v>0</v>
      </c>
      <c r="AL31">
        <v>27.22</v>
      </c>
      <c r="AM31" s="15"/>
      <c r="AN31" s="296">
        <f t="shared" si="24"/>
        <v>0</v>
      </c>
      <c r="AO31" s="244"/>
      <c r="AP31" s="69">
        <f t="shared" si="25"/>
        <v>0</v>
      </c>
      <c r="AQ31" s="70"/>
      <c r="AR31" s="71"/>
      <c r="AS31" s="435">
        <f t="shared" si="26"/>
        <v>6505.58</v>
      </c>
      <c r="AT31" s="436">
        <f t="shared" si="31"/>
        <v>239</v>
      </c>
      <c r="AU31" s="437">
        <f t="shared" si="11"/>
        <v>0</v>
      </c>
    </row>
    <row r="32" spans="1:47" x14ac:dyDescent="0.25">
      <c r="B32">
        <v>27.22</v>
      </c>
      <c r="C32" s="15"/>
      <c r="D32" s="737">
        <f t="shared" si="12"/>
        <v>0</v>
      </c>
      <c r="E32" s="735"/>
      <c r="F32" s="534">
        <f t="shared" si="13"/>
        <v>0</v>
      </c>
      <c r="G32" s="329"/>
      <c r="H32" s="330"/>
      <c r="I32" s="435">
        <f t="shared" si="14"/>
        <v>0</v>
      </c>
      <c r="J32" s="436">
        <f t="shared" si="28"/>
        <v>0</v>
      </c>
      <c r="K32" s="437">
        <f t="shared" si="8"/>
        <v>0</v>
      </c>
      <c r="N32">
        <v>27.22</v>
      </c>
      <c r="O32" s="15"/>
      <c r="P32" s="296">
        <f t="shared" si="16"/>
        <v>0</v>
      </c>
      <c r="Q32" s="244"/>
      <c r="R32" s="69">
        <f t="shared" si="17"/>
        <v>0</v>
      </c>
      <c r="S32" s="70"/>
      <c r="T32" s="71"/>
      <c r="U32" s="435">
        <f t="shared" si="18"/>
        <v>4.9900000000003502</v>
      </c>
      <c r="V32" s="436">
        <f t="shared" si="29"/>
        <v>0</v>
      </c>
      <c r="W32" s="437">
        <f t="shared" si="9"/>
        <v>0</v>
      </c>
      <c r="Z32">
        <v>27.24</v>
      </c>
      <c r="AA32" s="15"/>
      <c r="AB32" s="296">
        <f t="shared" si="20"/>
        <v>0</v>
      </c>
      <c r="AC32" s="244"/>
      <c r="AD32" s="69">
        <f t="shared" si="21"/>
        <v>0</v>
      </c>
      <c r="AE32" s="70"/>
      <c r="AF32" s="71"/>
      <c r="AG32" s="435">
        <f t="shared" si="22"/>
        <v>5.0300000000012233</v>
      </c>
      <c r="AH32" s="436">
        <f t="shared" si="30"/>
        <v>0</v>
      </c>
      <c r="AI32" s="437">
        <f t="shared" si="10"/>
        <v>0</v>
      </c>
      <c r="AL32">
        <v>27.22</v>
      </c>
      <c r="AM32" s="15"/>
      <c r="AN32" s="296">
        <f t="shared" si="24"/>
        <v>0</v>
      </c>
      <c r="AO32" s="244"/>
      <c r="AP32" s="69">
        <f t="shared" si="25"/>
        <v>0</v>
      </c>
      <c r="AQ32" s="70"/>
      <c r="AR32" s="71"/>
      <c r="AS32" s="435">
        <f t="shared" si="26"/>
        <v>6505.58</v>
      </c>
      <c r="AT32" s="436">
        <f t="shared" si="31"/>
        <v>239</v>
      </c>
      <c r="AU32" s="437">
        <f t="shared" si="11"/>
        <v>0</v>
      </c>
    </row>
    <row r="33" spans="2:47" x14ac:dyDescent="0.25">
      <c r="B33">
        <v>27.22</v>
      </c>
      <c r="C33" s="15"/>
      <c r="D33" s="737">
        <f t="shared" si="12"/>
        <v>0</v>
      </c>
      <c r="E33" s="735"/>
      <c r="F33" s="534">
        <f t="shared" si="13"/>
        <v>0</v>
      </c>
      <c r="G33" s="329"/>
      <c r="H33" s="330"/>
      <c r="I33" s="435">
        <f t="shared" si="14"/>
        <v>0</v>
      </c>
      <c r="J33" s="436">
        <f t="shared" si="28"/>
        <v>0</v>
      </c>
      <c r="K33" s="437">
        <f t="shared" si="8"/>
        <v>0</v>
      </c>
      <c r="N33">
        <v>27.22</v>
      </c>
      <c r="O33" s="15"/>
      <c r="P33" s="296">
        <f t="shared" si="16"/>
        <v>0</v>
      </c>
      <c r="Q33" s="244"/>
      <c r="R33" s="69">
        <f t="shared" si="17"/>
        <v>0</v>
      </c>
      <c r="S33" s="70"/>
      <c r="T33" s="71"/>
      <c r="U33" s="435">
        <f t="shared" si="18"/>
        <v>4.9900000000003502</v>
      </c>
      <c r="V33" s="436">
        <f t="shared" si="29"/>
        <v>0</v>
      </c>
      <c r="W33" s="437">
        <f t="shared" si="9"/>
        <v>0</v>
      </c>
      <c r="Z33">
        <v>27.24</v>
      </c>
      <c r="AA33" s="15"/>
      <c r="AB33" s="296">
        <f t="shared" si="20"/>
        <v>0</v>
      </c>
      <c r="AC33" s="244"/>
      <c r="AD33" s="69">
        <f t="shared" si="21"/>
        <v>0</v>
      </c>
      <c r="AE33" s="70"/>
      <c r="AF33" s="71"/>
      <c r="AG33" s="435">
        <f t="shared" si="22"/>
        <v>5.0300000000012233</v>
      </c>
      <c r="AH33" s="436">
        <f t="shared" si="30"/>
        <v>0</v>
      </c>
      <c r="AI33" s="437">
        <f t="shared" si="10"/>
        <v>0</v>
      </c>
      <c r="AL33">
        <v>27.22</v>
      </c>
      <c r="AM33" s="15"/>
      <c r="AN33" s="296">
        <f t="shared" si="24"/>
        <v>0</v>
      </c>
      <c r="AO33" s="244"/>
      <c r="AP33" s="69">
        <f t="shared" si="25"/>
        <v>0</v>
      </c>
      <c r="AQ33" s="70"/>
      <c r="AR33" s="71"/>
      <c r="AS33" s="435">
        <f t="shared" si="26"/>
        <v>6505.58</v>
      </c>
      <c r="AT33" s="436">
        <f t="shared" si="31"/>
        <v>239</v>
      </c>
      <c r="AU33" s="437">
        <f t="shared" si="11"/>
        <v>0</v>
      </c>
    </row>
    <row r="34" spans="2:47" x14ac:dyDescent="0.25">
      <c r="B34">
        <v>27.22</v>
      </c>
      <c r="C34" s="15"/>
      <c r="D34" s="296">
        <f t="shared" si="12"/>
        <v>0</v>
      </c>
      <c r="E34" s="244"/>
      <c r="F34" s="69">
        <f t="shared" si="13"/>
        <v>0</v>
      </c>
      <c r="G34" s="70"/>
      <c r="H34" s="71"/>
      <c r="I34" s="435">
        <f t="shared" si="14"/>
        <v>0</v>
      </c>
      <c r="J34" s="436">
        <f t="shared" si="28"/>
        <v>0</v>
      </c>
      <c r="K34" s="437">
        <f t="shared" si="8"/>
        <v>0</v>
      </c>
      <c r="N34">
        <v>27.22</v>
      </c>
      <c r="O34" s="15"/>
      <c r="P34" s="296">
        <f t="shared" si="16"/>
        <v>0</v>
      </c>
      <c r="Q34" s="244"/>
      <c r="R34" s="69">
        <f t="shared" si="17"/>
        <v>0</v>
      </c>
      <c r="S34" s="70"/>
      <c r="T34" s="71"/>
      <c r="U34" s="435">
        <f t="shared" si="18"/>
        <v>4.9900000000003502</v>
      </c>
      <c r="V34" s="436">
        <f t="shared" si="29"/>
        <v>0</v>
      </c>
      <c r="W34" s="437">
        <f t="shared" si="9"/>
        <v>0</v>
      </c>
      <c r="Z34">
        <v>27.24</v>
      </c>
      <c r="AA34" s="15"/>
      <c r="AB34" s="296">
        <f t="shared" si="20"/>
        <v>0</v>
      </c>
      <c r="AC34" s="244"/>
      <c r="AD34" s="69">
        <f t="shared" si="21"/>
        <v>0</v>
      </c>
      <c r="AE34" s="70"/>
      <c r="AF34" s="71"/>
      <c r="AG34" s="435">
        <f t="shared" si="22"/>
        <v>5.0300000000012233</v>
      </c>
      <c r="AH34" s="436">
        <f t="shared" si="30"/>
        <v>0</v>
      </c>
      <c r="AI34" s="437">
        <f t="shared" si="10"/>
        <v>0</v>
      </c>
      <c r="AL34">
        <v>27.22</v>
      </c>
      <c r="AM34" s="15"/>
      <c r="AN34" s="296">
        <f t="shared" si="24"/>
        <v>0</v>
      </c>
      <c r="AO34" s="244"/>
      <c r="AP34" s="69">
        <f t="shared" si="25"/>
        <v>0</v>
      </c>
      <c r="AQ34" s="70"/>
      <c r="AR34" s="71"/>
      <c r="AS34" s="435">
        <f t="shared" si="26"/>
        <v>6505.58</v>
      </c>
      <c r="AT34" s="436">
        <f t="shared" si="31"/>
        <v>239</v>
      </c>
      <c r="AU34" s="437">
        <f t="shared" si="11"/>
        <v>0</v>
      </c>
    </row>
    <row r="35" spans="2:47" x14ac:dyDescent="0.25">
      <c r="B35">
        <v>27.22</v>
      </c>
      <c r="C35" s="15"/>
      <c r="D35" s="296">
        <f t="shared" si="12"/>
        <v>0</v>
      </c>
      <c r="E35" s="244"/>
      <c r="F35" s="69">
        <f t="shared" si="13"/>
        <v>0</v>
      </c>
      <c r="G35" s="70"/>
      <c r="H35" s="71"/>
      <c r="I35" s="435">
        <f t="shared" si="14"/>
        <v>0</v>
      </c>
      <c r="J35" s="436">
        <f t="shared" si="28"/>
        <v>0</v>
      </c>
      <c r="K35" s="437">
        <f t="shared" si="8"/>
        <v>0</v>
      </c>
      <c r="N35">
        <v>27.22</v>
      </c>
      <c r="O35" s="15"/>
      <c r="P35" s="296">
        <f t="shared" si="16"/>
        <v>0</v>
      </c>
      <c r="Q35" s="244"/>
      <c r="R35" s="69">
        <f t="shared" si="17"/>
        <v>0</v>
      </c>
      <c r="S35" s="70"/>
      <c r="T35" s="71"/>
      <c r="U35" s="435">
        <f t="shared" si="18"/>
        <v>4.9900000000003502</v>
      </c>
      <c r="V35" s="436">
        <f t="shared" si="29"/>
        <v>0</v>
      </c>
      <c r="W35" s="437">
        <f t="shared" si="9"/>
        <v>0</v>
      </c>
      <c r="Z35">
        <v>27.24</v>
      </c>
      <c r="AA35" s="15"/>
      <c r="AB35" s="296">
        <f t="shared" si="20"/>
        <v>0</v>
      </c>
      <c r="AC35" s="244"/>
      <c r="AD35" s="69">
        <f t="shared" si="21"/>
        <v>0</v>
      </c>
      <c r="AE35" s="70"/>
      <c r="AF35" s="71"/>
      <c r="AG35" s="435">
        <f t="shared" si="22"/>
        <v>5.0300000000012233</v>
      </c>
      <c r="AH35" s="436">
        <f t="shared" si="30"/>
        <v>0</v>
      </c>
      <c r="AI35" s="437">
        <f t="shared" si="10"/>
        <v>0</v>
      </c>
      <c r="AL35">
        <v>27.22</v>
      </c>
      <c r="AM35" s="15"/>
      <c r="AN35" s="296">
        <f t="shared" si="24"/>
        <v>0</v>
      </c>
      <c r="AO35" s="244"/>
      <c r="AP35" s="69">
        <f t="shared" si="25"/>
        <v>0</v>
      </c>
      <c r="AQ35" s="70"/>
      <c r="AR35" s="71"/>
      <c r="AS35" s="435">
        <f t="shared" si="26"/>
        <v>6505.58</v>
      </c>
      <c r="AT35" s="436">
        <f t="shared" si="31"/>
        <v>239</v>
      </c>
      <c r="AU35" s="437">
        <f t="shared" si="11"/>
        <v>0</v>
      </c>
    </row>
    <row r="36" spans="2:47" x14ac:dyDescent="0.25">
      <c r="B36">
        <v>27.22</v>
      </c>
      <c r="C36" s="15"/>
      <c r="D36" s="296">
        <f t="shared" si="12"/>
        <v>0</v>
      </c>
      <c r="E36" s="244"/>
      <c r="F36" s="69">
        <f t="shared" si="13"/>
        <v>0</v>
      </c>
      <c r="G36" s="70"/>
      <c r="H36" s="71"/>
      <c r="I36" s="435">
        <f t="shared" si="14"/>
        <v>0</v>
      </c>
      <c r="J36" s="436">
        <f t="shared" si="28"/>
        <v>0</v>
      </c>
      <c r="K36" s="437">
        <f t="shared" si="8"/>
        <v>0</v>
      </c>
      <c r="N36">
        <v>27.22</v>
      </c>
      <c r="O36" s="15"/>
      <c r="P36" s="296">
        <f t="shared" si="16"/>
        <v>0</v>
      </c>
      <c r="Q36" s="244"/>
      <c r="R36" s="69">
        <f t="shared" si="17"/>
        <v>0</v>
      </c>
      <c r="S36" s="70"/>
      <c r="T36" s="71"/>
      <c r="U36" s="435">
        <f t="shared" si="18"/>
        <v>4.9900000000003502</v>
      </c>
      <c r="V36" s="436">
        <f t="shared" si="29"/>
        <v>0</v>
      </c>
      <c r="W36" s="437">
        <f t="shared" si="9"/>
        <v>0</v>
      </c>
      <c r="Z36">
        <v>27.24</v>
      </c>
      <c r="AA36" s="15"/>
      <c r="AB36" s="296">
        <f t="shared" si="20"/>
        <v>0</v>
      </c>
      <c r="AC36" s="244"/>
      <c r="AD36" s="69">
        <f t="shared" si="21"/>
        <v>0</v>
      </c>
      <c r="AE36" s="70"/>
      <c r="AF36" s="71"/>
      <c r="AG36" s="435">
        <f t="shared" si="22"/>
        <v>5.0300000000012233</v>
      </c>
      <c r="AH36" s="436">
        <f t="shared" si="30"/>
        <v>0</v>
      </c>
      <c r="AI36" s="437">
        <f t="shared" si="10"/>
        <v>0</v>
      </c>
      <c r="AL36">
        <v>27.22</v>
      </c>
      <c r="AM36" s="15"/>
      <c r="AN36" s="296">
        <f t="shared" si="24"/>
        <v>0</v>
      </c>
      <c r="AO36" s="244"/>
      <c r="AP36" s="69">
        <f t="shared" si="25"/>
        <v>0</v>
      </c>
      <c r="AQ36" s="70"/>
      <c r="AR36" s="71"/>
      <c r="AS36" s="435">
        <f t="shared" si="26"/>
        <v>6505.58</v>
      </c>
      <c r="AT36" s="436">
        <f t="shared" si="31"/>
        <v>239</v>
      </c>
      <c r="AU36" s="437">
        <f t="shared" si="11"/>
        <v>0</v>
      </c>
    </row>
    <row r="37" spans="2:47" x14ac:dyDescent="0.25">
      <c r="B37">
        <v>27.22</v>
      </c>
      <c r="C37" s="15"/>
      <c r="D37" s="69">
        <f t="shared" si="12"/>
        <v>0</v>
      </c>
      <c r="E37" s="245"/>
      <c r="F37" s="69">
        <f t="shared" si="13"/>
        <v>0</v>
      </c>
      <c r="G37" s="70"/>
      <c r="H37" s="71"/>
      <c r="I37" s="435">
        <f t="shared" si="14"/>
        <v>0</v>
      </c>
      <c r="J37" s="436">
        <f t="shared" si="28"/>
        <v>0</v>
      </c>
      <c r="K37" s="437">
        <f t="shared" si="8"/>
        <v>0</v>
      </c>
      <c r="N37">
        <v>27.22</v>
      </c>
      <c r="O37" s="15"/>
      <c r="P37" s="69">
        <f t="shared" si="16"/>
        <v>0</v>
      </c>
      <c r="Q37" s="245"/>
      <c r="R37" s="69">
        <f t="shared" si="17"/>
        <v>0</v>
      </c>
      <c r="S37" s="70"/>
      <c r="T37" s="71"/>
      <c r="U37" s="435">
        <f t="shared" si="18"/>
        <v>4.9900000000003502</v>
      </c>
      <c r="V37" s="436">
        <f t="shared" si="29"/>
        <v>0</v>
      </c>
      <c r="W37" s="437">
        <f t="shared" si="9"/>
        <v>0</v>
      </c>
      <c r="Z37">
        <v>27.24</v>
      </c>
      <c r="AA37" s="15"/>
      <c r="AB37" s="69">
        <f t="shared" si="20"/>
        <v>0</v>
      </c>
      <c r="AC37" s="245"/>
      <c r="AD37" s="69">
        <f t="shared" si="21"/>
        <v>0</v>
      </c>
      <c r="AE37" s="70"/>
      <c r="AF37" s="71"/>
      <c r="AG37" s="435">
        <f t="shared" si="22"/>
        <v>5.0300000000012233</v>
      </c>
      <c r="AH37" s="436">
        <f t="shared" si="30"/>
        <v>0</v>
      </c>
      <c r="AI37" s="437">
        <f t="shared" si="10"/>
        <v>0</v>
      </c>
      <c r="AL37">
        <v>27.22</v>
      </c>
      <c r="AM37" s="15"/>
      <c r="AN37" s="69">
        <f t="shared" si="24"/>
        <v>0</v>
      </c>
      <c r="AO37" s="245"/>
      <c r="AP37" s="69">
        <f t="shared" si="25"/>
        <v>0</v>
      </c>
      <c r="AQ37" s="70"/>
      <c r="AR37" s="71"/>
      <c r="AS37" s="435">
        <f t="shared" si="26"/>
        <v>6505.58</v>
      </c>
      <c r="AT37" s="436">
        <f t="shared" si="31"/>
        <v>239</v>
      </c>
      <c r="AU37" s="437">
        <f t="shared" si="11"/>
        <v>0</v>
      </c>
    </row>
    <row r="38" spans="2:47" x14ac:dyDescent="0.25">
      <c r="B38">
        <v>27.22</v>
      </c>
      <c r="C38" s="15"/>
      <c r="D38" s="69">
        <f t="shared" si="12"/>
        <v>0</v>
      </c>
      <c r="E38" s="245"/>
      <c r="F38" s="69">
        <f t="shared" si="13"/>
        <v>0</v>
      </c>
      <c r="G38" s="70"/>
      <c r="H38" s="71"/>
      <c r="I38" s="435">
        <f t="shared" si="14"/>
        <v>0</v>
      </c>
      <c r="J38" s="436">
        <f t="shared" si="28"/>
        <v>0</v>
      </c>
      <c r="K38" s="437">
        <f t="shared" si="8"/>
        <v>0</v>
      </c>
      <c r="N38">
        <v>27.22</v>
      </c>
      <c r="O38" s="15"/>
      <c r="P38" s="69">
        <f t="shared" si="16"/>
        <v>0</v>
      </c>
      <c r="Q38" s="245"/>
      <c r="R38" s="69">
        <f t="shared" si="17"/>
        <v>0</v>
      </c>
      <c r="S38" s="70"/>
      <c r="T38" s="71"/>
      <c r="U38" s="435">
        <f t="shared" si="18"/>
        <v>4.9900000000003502</v>
      </c>
      <c r="V38" s="436">
        <f t="shared" si="29"/>
        <v>0</v>
      </c>
      <c r="W38" s="437">
        <f t="shared" si="9"/>
        <v>0</v>
      </c>
      <c r="Z38">
        <v>27.24</v>
      </c>
      <c r="AA38" s="15"/>
      <c r="AB38" s="69">
        <f t="shared" si="20"/>
        <v>0</v>
      </c>
      <c r="AC38" s="245"/>
      <c r="AD38" s="69">
        <f t="shared" si="21"/>
        <v>0</v>
      </c>
      <c r="AE38" s="70"/>
      <c r="AF38" s="71"/>
      <c r="AG38" s="435">
        <f t="shared" si="22"/>
        <v>5.0300000000012233</v>
      </c>
      <c r="AH38" s="436">
        <f t="shared" si="30"/>
        <v>0</v>
      </c>
      <c r="AI38" s="437">
        <f t="shared" si="10"/>
        <v>0</v>
      </c>
      <c r="AL38">
        <v>27.22</v>
      </c>
      <c r="AM38" s="15"/>
      <c r="AN38" s="69">
        <f t="shared" si="24"/>
        <v>0</v>
      </c>
      <c r="AO38" s="245"/>
      <c r="AP38" s="69">
        <f t="shared" si="25"/>
        <v>0</v>
      </c>
      <c r="AQ38" s="70"/>
      <c r="AR38" s="71"/>
      <c r="AS38" s="435">
        <f t="shared" si="26"/>
        <v>6505.58</v>
      </c>
      <c r="AT38" s="436">
        <f t="shared" si="31"/>
        <v>239</v>
      </c>
      <c r="AU38" s="437">
        <f t="shared" si="11"/>
        <v>0</v>
      </c>
    </row>
    <row r="39" spans="2:47" x14ac:dyDescent="0.25">
      <c r="B39">
        <v>27.22</v>
      </c>
      <c r="C39" s="15"/>
      <c r="D39" s="69">
        <f t="shared" si="12"/>
        <v>0</v>
      </c>
      <c r="E39" s="245"/>
      <c r="F39" s="69">
        <f t="shared" si="13"/>
        <v>0</v>
      </c>
      <c r="G39" s="70"/>
      <c r="H39" s="71"/>
      <c r="I39" s="435">
        <f t="shared" si="14"/>
        <v>0</v>
      </c>
      <c r="J39" s="436">
        <f t="shared" si="28"/>
        <v>0</v>
      </c>
      <c r="K39" s="437">
        <f t="shared" si="8"/>
        <v>0</v>
      </c>
      <c r="N39">
        <v>27.22</v>
      </c>
      <c r="O39" s="15"/>
      <c r="P39" s="69">
        <f t="shared" si="16"/>
        <v>0</v>
      </c>
      <c r="Q39" s="245"/>
      <c r="R39" s="69">
        <f t="shared" si="17"/>
        <v>0</v>
      </c>
      <c r="S39" s="70"/>
      <c r="T39" s="71"/>
      <c r="U39" s="435">
        <f t="shared" si="18"/>
        <v>4.9900000000003502</v>
      </c>
      <c r="V39" s="436">
        <f t="shared" si="29"/>
        <v>0</v>
      </c>
      <c r="W39" s="437">
        <f t="shared" si="9"/>
        <v>0</v>
      </c>
      <c r="Z39">
        <v>27.24</v>
      </c>
      <c r="AA39" s="15"/>
      <c r="AB39" s="69">
        <f t="shared" si="20"/>
        <v>0</v>
      </c>
      <c r="AC39" s="245"/>
      <c r="AD39" s="69">
        <f t="shared" si="21"/>
        <v>0</v>
      </c>
      <c r="AE39" s="70"/>
      <c r="AF39" s="71"/>
      <c r="AG39" s="435">
        <f t="shared" si="22"/>
        <v>5.0300000000012233</v>
      </c>
      <c r="AH39" s="436">
        <f t="shared" si="30"/>
        <v>0</v>
      </c>
      <c r="AI39" s="437">
        <f t="shared" si="10"/>
        <v>0</v>
      </c>
      <c r="AL39">
        <v>27.22</v>
      </c>
      <c r="AM39" s="15"/>
      <c r="AN39" s="69">
        <f t="shared" si="24"/>
        <v>0</v>
      </c>
      <c r="AO39" s="245"/>
      <c r="AP39" s="69">
        <f t="shared" si="25"/>
        <v>0</v>
      </c>
      <c r="AQ39" s="70"/>
      <c r="AR39" s="71"/>
      <c r="AS39" s="435">
        <f t="shared" si="26"/>
        <v>6505.58</v>
      </c>
      <c r="AT39" s="436">
        <f t="shared" si="31"/>
        <v>239</v>
      </c>
      <c r="AU39" s="437">
        <f t="shared" si="11"/>
        <v>0</v>
      </c>
    </row>
    <row r="40" spans="2:47" x14ac:dyDescent="0.25">
      <c r="B40">
        <v>27.22</v>
      </c>
      <c r="C40" s="15"/>
      <c r="D40" s="69">
        <f t="shared" si="12"/>
        <v>0</v>
      </c>
      <c r="E40" s="245"/>
      <c r="F40" s="69">
        <f t="shared" si="13"/>
        <v>0</v>
      </c>
      <c r="G40" s="70"/>
      <c r="H40" s="71"/>
      <c r="I40" s="435">
        <f t="shared" si="14"/>
        <v>0</v>
      </c>
      <c r="J40" s="436">
        <f t="shared" si="28"/>
        <v>0</v>
      </c>
      <c r="K40" s="437">
        <f t="shared" si="8"/>
        <v>0</v>
      </c>
      <c r="N40">
        <v>27.22</v>
      </c>
      <c r="O40" s="15"/>
      <c r="P40" s="69">
        <f t="shared" si="16"/>
        <v>0</v>
      </c>
      <c r="Q40" s="245"/>
      <c r="R40" s="69">
        <f t="shared" si="17"/>
        <v>0</v>
      </c>
      <c r="S40" s="70"/>
      <c r="T40" s="71"/>
      <c r="U40" s="435">
        <f t="shared" si="18"/>
        <v>4.9900000000003502</v>
      </c>
      <c r="V40" s="436">
        <f t="shared" si="29"/>
        <v>0</v>
      </c>
      <c r="W40" s="437">
        <f t="shared" si="9"/>
        <v>0</v>
      </c>
      <c r="Z40">
        <v>27.24</v>
      </c>
      <c r="AA40" s="15"/>
      <c r="AB40" s="69">
        <f t="shared" si="20"/>
        <v>0</v>
      </c>
      <c r="AC40" s="245"/>
      <c r="AD40" s="69">
        <f t="shared" si="21"/>
        <v>0</v>
      </c>
      <c r="AE40" s="70"/>
      <c r="AF40" s="71"/>
      <c r="AG40" s="435">
        <f t="shared" si="22"/>
        <v>5.0300000000012233</v>
      </c>
      <c r="AH40" s="436">
        <f t="shared" si="30"/>
        <v>0</v>
      </c>
      <c r="AI40" s="437">
        <f t="shared" si="10"/>
        <v>0</v>
      </c>
      <c r="AL40">
        <v>27.22</v>
      </c>
      <c r="AM40" s="15"/>
      <c r="AN40" s="69">
        <f t="shared" si="24"/>
        <v>0</v>
      </c>
      <c r="AO40" s="245"/>
      <c r="AP40" s="69">
        <f t="shared" si="25"/>
        <v>0</v>
      </c>
      <c r="AQ40" s="70"/>
      <c r="AR40" s="71"/>
      <c r="AS40" s="435">
        <f t="shared" si="26"/>
        <v>6505.58</v>
      </c>
      <c r="AT40" s="436">
        <f t="shared" si="31"/>
        <v>239</v>
      </c>
      <c r="AU40" s="437">
        <f t="shared" si="11"/>
        <v>0</v>
      </c>
    </row>
    <row r="41" spans="2:47" x14ac:dyDescent="0.25">
      <c r="B41">
        <v>27.22</v>
      </c>
      <c r="C41" s="15"/>
      <c r="D41" s="69">
        <f t="shared" si="12"/>
        <v>0</v>
      </c>
      <c r="E41" s="245"/>
      <c r="F41" s="69">
        <f t="shared" si="13"/>
        <v>0</v>
      </c>
      <c r="G41" s="70"/>
      <c r="H41" s="71"/>
      <c r="I41" s="435">
        <f t="shared" si="14"/>
        <v>0</v>
      </c>
      <c r="J41" s="436">
        <f t="shared" si="28"/>
        <v>0</v>
      </c>
      <c r="K41" s="437">
        <f t="shared" si="8"/>
        <v>0</v>
      </c>
      <c r="N41">
        <v>27.22</v>
      </c>
      <c r="O41" s="15"/>
      <c r="P41" s="69">
        <f t="shared" si="16"/>
        <v>0</v>
      </c>
      <c r="Q41" s="245"/>
      <c r="R41" s="69">
        <f t="shared" si="17"/>
        <v>0</v>
      </c>
      <c r="S41" s="70"/>
      <c r="T41" s="71"/>
      <c r="U41" s="435">
        <f t="shared" si="18"/>
        <v>4.9900000000003502</v>
      </c>
      <c r="V41" s="436">
        <f t="shared" si="29"/>
        <v>0</v>
      </c>
      <c r="W41" s="437">
        <f t="shared" si="9"/>
        <v>0</v>
      </c>
      <c r="Z41">
        <v>27.24</v>
      </c>
      <c r="AA41" s="15"/>
      <c r="AB41" s="69">
        <f t="shared" si="20"/>
        <v>0</v>
      </c>
      <c r="AC41" s="245"/>
      <c r="AD41" s="69">
        <f t="shared" si="21"/>
        <v>0</v>
      </c>
      <c r="AE41" s="70"/>
      <c r="AF41" s="71"/>
      <c r="AG41" s="435">
        <f t="shared" si="22"/>
        <v>5.0300000000012233</v>
      </c>
      <c r="AH41" s="436">
        <f t="shared" si="30"/>
        <v>0</v>
      </c>
      <c r="AI41" s="437">
        <f t="shared" si="10"/>
        <v>0</v>
      </c>
      <c r="AL41">
        <v>27.22</v>
      </c>
      <c r="AM41" s="15"/>
      <c r="AN41" s="69">
        <f t="shared" si="24"/>
        <v>0</v>
      </c>
      <c r="AO41" s="245"/>
      <c r="AP41" s="69">
        <f t="shared" si="25"/>
        <v>0</v>
      </c>
      <c r="AQ41" s="70"/>
      <c r="AR41" s="71"/>
      <c r="AS41" s="435">
        <f t="shared" si="26"/>
        <v>6505.58</v>
      </c>
      <c r="AT41" s="436">
        <f t="shared" si="31"/>
        <v>239</v>
      </c>
      <c r="AU41" s="437">
        <f t="shared" si="11"/>
        <v>0</v>
      </c>
    </row>
    <row r="42" spans="2:47" x14ac:dyDescent="0.25">
      <c r="B42">
        <v>27.22</v>
      </c>
      <c r="C42" s="15"/>
      <c r="D42" s="69">
        <f t="shared" si="12"/>
        <v>0</v>
      </c>
      <c r="E42" s="245"/>
      <c r="F42" s="69">
        <f t="shared" si="13"/>
        <v>0</v>
      </c>
      <c r="G42" s="70"/>
      <c r="H42" s="71"/>
      <c r="I42" s="435">
        <f t="shared" si="14"/>
        <v>0</v>
      </c>
      <c r="J42" s="436">
        <f t="shared" si="28"/>
        <v>0</v>
      </c>
      <c r="K42" s="437">
        <f t="shared" si="8"/>
        <v>0</v>
      </c>
      <c r="N42">
        <v>27.22</v>
      </c>
      <c r="O42" s="15"/>
      <c r="P42" s="69">
        <f t="shared" si="16"/>
        <v>0</v>
      </c>
      <c r="Q42" s="245"/>
      <c r="R42" s="69">
        <f t="shared" si="17"/>
        <v>0</v>
      </c>
      <c r="S42" s="70"/>
      <c r="T42" s="71"/>
      <c r="U42" s="435">
        <f t="shared" si="18"/>
        <v>4.9900000000003502</v>
      </c>
      <c r="V42" s="436">
        <f t="shared" si="29"/>
        <v>0</v>
      </c>
      <c r="W42" s="437">
        <f t="shared" si="9"/>
        <v>0</v>
      </c>
      <c r="Z42">
        <v>27.24</v>
      </c>
      <c r="AA42" s="15"/>
      <c r="AB42" s="69">
        <f t="shared" si="20"/>
        <v>0</v>
      </c>
      <c r="AC42" s="245"/>
      <c r="AD42" s="69">
        <f t="shared" si="21"/>
        <v>0</v>
      </c>
      <c r="AE42" s="70"/>
      <c r="AF42" s="71"/>
      <c r="AG42" s="435">
        <f t="shared" si="22"/>
        <v>5.0300000000012233</v>
      </c>
      <c r="AH42" s="436">
        <f t="shared" si="30"/>
        <v>0</v>
      </c>
      <c r="AI42" s="437">
        <f t="shared" si="10"/>
        <v>0</v>
      </c>
      <c r="AL42">
        <v>27.22</v>
      </c>
      <c r="AM42" s="15"/>
      <c r="AN42" s="69">
        <f t="shared" si="24"/>
        <v>0</v>
      </c>
      <c r="AO42" s="245"/>
      <c r="AP42" s="69">
        <f t="shared" si="25"/>
        <v>0</v>
      </c>
      <c r="AQ42" s="70"/>
      <c r="AR42" s="71"/>
      <c r="AS42" s="435">
        <f t="shared" si="26"/>
        <v>6505.58</v>
      </c>
      <c r="AT42" s="436">
        <f t="shared" si="31"/>
        <v>239</v>
      </c>
      <c r="AU42" s="437">
        <f t="shared" si="11"/>
        <v>0</v>
      </c>
    </row>
    <row r="43" spans="2:47" x14ac:dyDescent="0.25">
      <c r="B43">
        <v>27.22</v>
      </c>
      <c r="C43" s="15"/>
      <c r="D43" s="69">
        <f t="shared" si="12"/>
        <v>0</v>
      </c>
      <c r="E43" s="245"/>
      <c r="F43" s="69">
        <f t="shared" si="13"/>
        <v>0</v>
      </c>
      <c r="G43" s="70"/>
      <c r="H43" s="71"/>
      <c r="I43" s="435">
        <f t="shared" si="14"/>
        <v>0</v>
      </c>
      <c r="J43" s="436">
        <f t="shared" si="28"/>
        <v>0</v>
      </c>
      <c r="K43" s="437">
        <f t="shared" si="8"/>
        <v>0</v>
      </c>
      <c r="N43">
        <v>27.22</v>
      </c>
      <c r="O43" s="15"/>
      <c r="P43" s="69">
        <f t="shared" si="16"/>
        <v>0</v>
      </c>
      <c r="Q43" s="245"/>
      <c r="R43" s="69">
        <f t="shared" si="17"/>
        <v>0</v>
      </c>
      <c r="S43" s="70"/>
      <c r="T43" s="71"/>
      <c r="U43" s="435">
        <f t="shared" si="18"/>
        <v>4.9900000000003502</v>
      </c>
      <c r="V43" s="436">
        <f t="shared" si="29"/>
        <v>0</v>
      </c>
      <c r="W43" s="437">
        <f t="shared" si="9"/>
        <v>0</v>
      </c>
      <c r="Z43">
        <v>27.24</v>
      </c>
      <c r="AA43" s="15"/>
      <c r="AB43" s="69">
        <f t="shared" si="20"/>
        <v>0</v>
      </c>
      <c r="AC43" s="245"/>
      <c r="AD43" s="69">
        <f t="shared" si="21"/>
        <v>0</v>
      </c>
      <c r="AE43" s="70"/>
      <c r="AF43" s="71"/>
      <c r="AG43" s="435">
        <f t="shared" si="22"/>
        <v>5.0300000000012233</v>
      </c>
      <c r="AH43" s="436">
        <f t="shared" si="30"/>
        <v>0</v>
      </c>
      <c r="AI43" s="437">
        <f t="shared" si="10"/>
        <v>0</v>
      </c>
      <c r="AL43">
        <v>27.22</v>
      </c>
      <c r="AM43" s="15"/>
      <c r="AN43" s="69">
        <f t="shared" si="24"/>
        <v>0</v>
      </c>
      <c r="AO43" s="245"/>
      <c r="AP43" s="69">
        <f t="shared" si="25"/>
        <v>0</v>
      </c>
      <c r="AQ43" s="70"/>
      <c r="AR43" s="71"/>
      <c r="AS43" s="435">
        <f t="shared" si="26"/>
        <v>6505.58</v>
      </c>
      <c r="AT43" s="436">
        <f t="shared" si="31"/>
        <v>239</v>
      </c>
      <c r="AU43" s="437">
        <f t="shared" si="11"/>
        <v>0</v>
      </c>
    </row>
    <row r="44" spans="2:47" x14ac:dyDescent="0.25">
      <c r="B44">
        <v>27.22</v>
      </c>
      <c r="C44" s="15"/>
      <c r="D44" s="69">
        <f t="shared" si="12"/>
        <v>0</v>
      </c>
      <c r="E44" s="245"/>
      <c r="F44" s="69">
        <f t="shared" si="13"/>
        <v>0</v>
      </c>
      <c r="G44" s="70"/>
      <c r="H44" s="71"/>
      <c r="I44" s="435">
        <f t="shared" si="14"/>
        <v>0</v>
      </c>
      <c r="J44" s="436">
        <f t="shared" si="28"/>
        <v>0</v>
      </c>
      <c r="K44" s="437">
        <f t="shared" si="8"/>
        <v>0</v>
      </c>
      <c r="N44">
        <v>27.22</v>
      </c>
      <c r="O44" s="15"/>
      <c r="P44" s="69">
        <f t="shared" si="16"/>
        <v>0</v>
      </c>
      <c r="Q44" s="245"/>
      <c r="R44" s="69">
        <f t="shared" si="17"/>
        <v>0</v>
      </c>
      <c r="S44" s="70"/>
      <c r="T44" s="71"/>
      <c r="U44" s="435">
        <f t="shared" si="18"/>
        <v>4.9900000000003502</v>
      </c>
      <c r="V44" s="436">
        <f t="shared" si="29"/>
        <v>0</v>
      </c>
      <c r="W44" s="437">
        <f t="shared" si="9"/>
        <v>0</v>
      </c>
      <c r="Z44">
        <v>27.24</v>
      </c>
      <c r="AA44" s="15"/>
      <c r="AB44" s="69">
        <f t="shared" si="20"/>
        <v>0</v>
      </c>
      <c r="AC44" s="245"/>
      <c r="AD44" s="69">
        <f t="shared" si="21"/>
        <v>0</v>
      </c>
      <c r="AE44" s="70"/>
      <c r="AF44" s="71"/>
      <c r="AG44" s="435">
        <f t="shared" si="22"/>
        <v>5.0300000000012233</v>
      </c>
      <c r="AH44" s="436">
        <f t="shared" si="30"/>
        <v>0</v>
      </c>
      <c r="AI44" s="437">
        <f t="shared" si="10"/>
        <v>0</v>
      </c>
      <c r="AL44">
        <v>27.22</v>
      </c>
      <c r="AM44" s="15"/>
      <c r="AN44" s="69">
        <f t="shared" si="24"/>
        <v>0</v>
      </c>
      <c r="AO44" s="245"/>
      <c r="AP44" s="69">
        <f t="shared" si="25"/>
        <v>0</v>
      </c>
      <c r="AQ44" s="70"/>
      <c r="AR44" s="71"/>
      <c r="AS44" s="435">
        <f t="shared" si="26"/>
        <v>6505.58</v>
      </c>
      <c r="AT44" s="436">
        <f t="shared" si="31"/>
        <v>239</v>
      </c>
      <c r="AU44" s="437">
        <f t="shared" si="11"/>
        <v>0</v>
      </c>
    </row>
    <row r="45" spans="2:47" x14ac:dyDescent="0.25">
      <c r="B45">
        <v>27.22</v>
      </c>
      <c r="C45" s="15"/>
      <c r="D45" s="69">
        <f t="shared" si="12"/>
        <v>0</v>
      </c>
      <c r="E45" s="245"/>
      <c r="F45" s="69">
        <f t="shared" si="13"/>
        <v>0</v>
      </c>
      <c r="G45" s="70"/>
      <c r="H45" s="71"/>
      <c r="I45" s="435">
        <f t="shared" si="14"/>
        <v>0</v>
      </c>
      <c r="J45" s="436">
        <f t="shared" si="28"/>
        <v>0</v>
      </c>
      <c r="K45" s="437">
        <f t="shared" si="8"/>
        <v>0</v>
      </c>
      <c r="N45">
        <v>27.22</v>
      </c>
      <c r="O45" s="15"/>
      <c r="P45" s="69">
        <f t="shared" si="16"/>
        <v>0</v>
      </c>
      <c r="Q45" s="245"/>
      <c r="R45" s="69">
        <f t="shared" si="17"/>
        <v>0</v>
      </c>
      <c r="S45" s="70"/>
      <c r="T45" s="71"/>
      <c r="U45" s="435">
        <f t="shared" si="18"/>
        <v>4.9900000000003502</v>
      </c>
      <c r="V45" s="436">
        <f t="shared" si="29"/>
        <v>0</v>
      </c>
      <c r="W45" s="437">
        <f t="shared" si="9"/>
        <v>0</v>
      </c>
      <c r="Z45">
        <v>27.24</v>
      </c>
      <c r="AA45" s="15"/>
      <c r="AB45" s="69">
        <f t="shared" si="20"/>
        <v>0</v>
      </c>
      <c r="AC45" s="245"/>
      <c r="AD45" s="69">
        <f t="shared" si="21"/>
        <v>0</v>
      </c>
      <c r="AE45" s="70"/>
      <c r="AF45" s="71"/>
      <c r="AG45" s="435">
        <f t="shared" si="22"/>
        <v>5.0300000000012233</v>
      </c>
      <c r="AH45" s="436">
        <f t="shared" si="30"/>
        <v>0</v>
      </c>
      <c r="AI45" s="437">
        <f t="shared" si="10"/>
        <v>0</v>
      </c>
      <c r="AL45">
        <v>27.22</v>
      </c>
      <c r="AM45" s="15"/>
      <c r="AN45" s="69">
        <f t="shared" si="24"/>
        <v>0</v>
      </c>
      <c r="AO45" s="245"/>
      <c r="AP45" s="69">
        <f t="shared" si="25"/>
        <v>0</v>
      </c>
      <c r="AQ45" s="70"/>
      <c r="AR45" s="71"/>
      <c r="AS45" s="435">
        <f t="shared" si="26"/>
        <v>6505.58</v>
      </c>
      <c r="AT45" s="436">
        <f t="shared" si="31"/>
        <v>239</v>
      </c>
      <c r="AU45" s="437">
        <f t="shared" si="11"/>
        <v>0</v>
      </c>
    </row>
    <row r="46" spans="2:47" x14ac:dyDescent="0.25">
      <c r="B46">
        <v>27.22</v>
      </c>
      <c r="C46" s="15"/>
      <c r="D46" s="69">
        <f t="shared" si="12"/>
        <v>0</v>
      </c>
      <c r="E46" s="245"/>
      <c r="F46" s="69">
        <f t="shared" si="13"/>
        <v>0</v>
      </c>
      <c r="G46" s="70"/>
      <c r="H46" s="71"/>
      <c r="I46" s="435">
        <f t="shared" si="14"/>
        <v>0</v>
      </c>
      <c r="J46" s="436">
        <f t="shared" si="28"/>
        <v>0</v>
      </c>
      <c r="K46" s="437">
        <f t="shared" si="8"/>
        <v>0</v>
      </c>
      <c r="N46">
        <v>27.22</v>
      </c>
      <c r="O46" s="15"/>
      <c r="P46" s="69">
        <f t="shared" si="16"/>
        <v>0</v>
      </c>
      <c r="Q46" s="245"/>
      <c r="R46" s="69">
        <f t="shared" si="17"/>
        <v>0</v>
      </c>
      <c r="S46" s="70"/>
      <c r="T46" s="71"/>
      <c r="U46" s="435">
        <f t="shared" si="18"/>
        <v>4.9900000000003502</v>
      </c>
      <c r="V46" s="436">
        <f t="shared" si="29"/>
        <v>0</v>
      </c>
      <c r="W46" s="437">
        <f t="shared" si="9"/>
        <v>0</v>
      </c>
      <c r="Z46">
        <v>27.24</v>
      </c>
      <c r="AA46" s="15"/>
      <c r="AB46" s="69">
        <f t="shared" si="20"/>
        <v>0</v>
      </c>
      <c r="AC46" s="245"/>
      <c r="AD46" s="69">
        <f t="shared" si="21"/>
        <v>0</v>
      </c>
      <c r="AE46" s="70"/>
      <c r="AF46" s="71"/>
      <c r="AG46" s="435">
        <f t="shared" si="22"/>
        <v>5.0300000000012233</v>
      </c>
      <c r="AH46" s="436">
        <f t="shared" si="30"/>
        <v>0</v>
      </c>
      <c r="AI46" s="437">
        <f t="shared" si="10"/>
        <v>0</v>
      </c>
      <c r="AL46">
        <v>27.22</v>
      </c>
      <c r="AM46" s="15"/>
      <c r="AN46" s="69">
        <f t="shared" si="24"/>
        <v>0</v>
      </c>
      <c r="AO46" s="245"/>
      <c r="AP46" s="69">
        <f t="shared" si="25"/>
        <v>0</v>
      </c>
      <c r="AQ46" s="70"/>
      <c r="AR46" s="71"/>
      <c r="AS46" s="435">
        <f t="shared" si="26"/>
        <v>6505.58</v>
      </c>
      <c r="AT46" s="436">
        <f t="shared" si="31"/>
        <v>239</v>
      </c>
      <c r="AU46" s="437">
        <f t="shared" si="11"/>
        <v>0</v>
      </c>
    </row>
    <row r="47" spans="2:47" x14ac:dyDescent="0.25">
      <c r="B47">
        <v>27.22</v>
      </c>
      <c r="C47" s="15"/>
      <c r="D47" s="69">
        <f t="shared" si="12"/>
        <v>0</v>
      </c>
      <c r="E47" s="245"/>
      <c r="F47" s="69">
        <f t="shared" si="13"/>
        <v>0</v>
      </c>
      <c r="G47" s="70"/>
      <c r="H47" s="71"/>
      <c r="I47" s="435">
        <f t="shared" si="14"/>
        <v>0</v>
      </c>
      <c r="J47" s="436">
        <f t="shared" si="28"/>
        <v>0</v>
      </c>
      <c r="K47" s="437">
        <f t="shared" si="8"/>
        <v>0</v>
      </c>
      <c r="N47">
        <v>27.22</v>
      </c>
      <c r="O47" s="15"/>
      <c r="P47" s="69">
        <f t="shared" si="16"/>
        <v>0</v>
      </c>
      <c r="Q47" s="245"/>
      <c r="R47" s="69">
        <f t="shared" si="17"/>
        <v>0</v>
      </c>
      <c r="S47" s="70"/>
      <c r="T47" s="71"/>
      <c r="U47" s="435">
        <f t="shared" si="18"/>
        <v>4.9900000000003502</v>
      </c>
      <c r="V47" s="436">
        <f t="shared" si="29"/>
        <v>0</v>
      </c>
      <c r="W47" s="437">
        <f t="shared" si="9"/>
        <v>0</v>
      </c>
      <c r="Z47">
        <v>27.24</v>
      </c>
      <c r="AA47" s="15"/>
      <c r="AB47" s="69">
        <f t="shared" si="20"/>
        <v>0</v>
      </c>
      <c r="AC47" s="245"/>
      <c r="AD47" s="69">
        <f t="shared" si="21"/>
        <v>0</v>
      </c>
      <c r="AE47" s="70"/>
      <c r="AF47" s="71"/>
      <c r="AG47" s="435">
        <f t="shared" si="22"/>
        <v>5.0300000000012233</v>
      </c>
      <c r="AH47" s="436">
        <f t="shared" si="30"/>
        <v>0</v>
      </c>
      <c r="AI47" s="437">
        <f t="shared" si="10"/>
        <v>0</v>
      </c>
      <c r="AL47">
        <v>27.22</v>
      </c>
      <c r="AM47" s="15"/>
      <c r="AN47" s="69">
        <f t="shared" si="24"/>
        <v>0</v>
      </c>
      <c r="AO47" s="245"/>
      <c r="AP47" s="69">
        <f t="shared" si="25"/>
        <v>0</v>
      </c>
      <c r="AQ47" s="70"/>
      <c r="AR47" s="71"/>
      <c r="AS47" s="435">
        <f t="shared" si="26"/>
        <v>6505.58</v>
      </c>
      <c r="AT47" s="436">
        <f t="shared" si="31"/>
        <v>239</v>
      </c>
      <c r="AU47" s="437">
        <f t="shared" si="11"/>
        <v>0</v>
      </c>
    </row>
    <row r="48" spans="2:47" x14ac:dyDescent="0.25">
      <c r="B48">
        <v>27.22</v>
      </c>
      <c r="C48" s="15"/>
      <c r="D48" s="69">
        <f t="shared" si="12"/>
        <v>0</v>
      </c>
      <c r="E48" s="245"/>
      <c r="F48" s="69">
        <f t="shared" si="13"/>
        <v>0</v>
      </c>
      <c r="G48" s="70"/>
      <c r="H48" s="71"/>
      <c r="I48" s="435">
        <f t="shared" si="14"/>
        <v>0</v>
      </c>
      <c r="J48" s="436">
        <f t="shared" si="28"/>
        <v>0</v>
      </c>
      <c r="K48" s="437">
        <f t="shared" si="8"/>
        <v>0</v>
      </c>
      <c r="N48">
        <v>27.22</v>
      </c>
      <c r="O48" s="15"/>
      <c r="P48" s="69">
        <f t="shared" si="16"/>
        <v>0</v>
      </c>
      <c r="Q48" s="245"/>
      <c r="R48" s="69">
        <f t="shared" si="17"/>
        <v>0</v>
      </c>
      <c r="S48" s="70"/>
      <c r="T48" s="71"/>
      <c r="U48" s="435">
        <f t="shared" si="18"/>
        <v>4.9900000000003502</v>
      </c>
      <c r="V48" s="436">
        <f t="shared" si="29"/>
        <v>0</v>
      </c>
      <c r="W48" s="437">
        <f t="shared" si="9"/>
        <v>0</v>
      </c>
      <c r="Z48">
        <v>27.24</v>
      </c>
      <c r="AA48" s="15"/>
      <c r="AB48" s="69">
        <f t="shared" si="20"/>
        <v>0</v>
      </c>
      <c r="AC48" s="245"/>
      <c r="AD48" s="69">
        <f t="shared" si="21"/>
        <v>0</v>
      </c>
      <c r="AE48" s="70"/>
      <c r="AF48" s="71"/>
      <c r="AG48" s="435">
        <f t="shared" si="22"/>
        <v>5.0300000000012233</v>
      </c>
      <c r="AH48" s="436">
        <f t="shared" si="30"/>
        <v>0</v>
      </c>
      <c r="AI48" s="437">
        <f t="shared" si="10"/>
        <v>0</v>
      </c>
      <c r="AL48">
        <v>27.22</v>
      </c>
      <c r="AM48" s="15"/>
      <c r="AN48" s="69">
        <f t="shared" si="24"/>
        <v>0</v>
      </c>
      <c r="AO48" s="245"/>
      <c r="AP48" s="69">
        <f t="shared" si="25"/>
        <v>0</v>
      </c>
      <c r="AQ48" s="70"/>
      <c r="AR48" s="71"/>
      <c r="AS48" s="435">
        <f t="shared" si="26"/>
        <v>6505.58</v>
      </c>
      <c r="AT48" s="436">
        <f t="shared" si="31"/>
        <v>239</v>
      </c>
      <c r="AU48" s="437">
        <f t="shared" si="11"/>
        <v>0</v>
      </c>
    </row>
    <row r="49" spans="1:47" x14ac:dyDescent="0.25">
      <c r="B49">
        <v>27.22</v>
      </c>
      <c r="C49" s="15"/>
      <c r="D49" s="69">
        <f t="shared" si="12"/>
        <v>0</v>
      </c>
      <c r="E49" s="245"/>
      <c r="F49" s="69">
        <f t="shared" si="13"/>
        <v>0</v>
      </c>
      <c r="G49" s="70"/>
      <c r="H49" s="71"/>
      <c r="I49" s="435">
        <f t="shared" si="14"/>
        <v>0</v>
      </c>
      <c r="J49" s="436">
        <f t="shared" si="28"/>
        <v>0</v>
      </c>
      <c r="K49" s="437">
        <f t="shared" si="8"/>
        <v>0</v>
      </c>
      <c r="N49">
        <v>27.22</v>
      </c>
      <c r="O49" s="15"/>
      <c r="P49" s="69">
        <f t="shared" si="16"/>
        <v>0</v>
      </c>
      <c r="Q49" s="245"/>
      <c r="R49" s="69">
        <f t="shared" si="17"/>
        <v>0</v>
      </c>
      <c r="S49" s="70"/>
      <c r="T49" s="71"/>
      <c r="U49" s="435">
        <f t="shared" si="18"/>
        <v>4.9900000000003502</v>
      </c>
      <c r="V49" s="436">
        <f t="shared" si="29"/>
        <v>0</v>
      </c>
      <c r="W49" s="437">
        <f t="shared" si="9"/>
        <v>0</v>
      </c>
      <c r="Z49">
        <v>27.24</v>
      </c>
      <c r="AA49" s="15"/>
      <c r="AB49" s="69">
        <f t="shared" si="20"/>
        <v>0</v>
      </c>
      <c r="AC49" s="245"/>
      <c r="AD49" s="69">
        <f t="shared" si="21"/>
        <v>0</v>
      </c>
      <c r="AE49" s="70"/>
      <c r="AF49" s="71"/>
      <c r="AG49" s="435">
        <f t="shared" si="22"/>
        <v>5.0300000000012233</v>
      </c>
      <c r="AH49" s="436">
        <f t="shared" si="30"/>
        <v>0</v>
      </c>
      <c r="AI49" s="437">
        <f t="shared" si="10"/>
        <v>0</v>
      </c>
      <c r="AL49">
        <v>27.22</v>
      </c>
      <c r="AM49" s="15"/>
      <c r="AN49" s="69">
        <f t="shared" si="24"/>
        <v>0</v>
      </c>
      <c r="AO49" s="245"/>
      <c r="AP49" s="69">
        <f t="shared" si="25"/>
        <v>0</v>
      </c>
      <c r="AQ49" s="70"/>
      <c r="AR49" s="71"/>
      <c r="AS49" s="435">
        <f t="shared" si="26"/>
        <v>6505.58</v>
      </c>
      <c r="AT49" s="436">
        <f t="shared" si="31"/>
        <v>239</v>
      </c>
      <c r="AU49" s="437">
        <f t="shared" si="11"/>
        <v>0</v>
      </c>
    </row>
    <row r="50" spans="1:47" x14ac:dyDescent="0.25">
      <c r="B50">
        <v>27.22</v>
      </c>
      <c r="C50" s="15"/>
      <c r="D50" s="69">
        <f t="shared" si="12"/>
        <v>0</v>
      </c>
      <c r="E50" s="245"/>
      <c r="F50" s="69">
        <f t="shared" si="13"/>
        <v>0</v>
      </c>
      <c r="G50" s="70"/>
      <c r="H50" s="71"/>
      <c r="I50" s="435">
        <f t="shared" si="14"/>
        <v>0</v>
      </c>
      <c r="J50" s="436">
        <f t="shared" si="28"/>
        <v>0</v>
      </c>
      <c r="K50" s="437">
        <f t="shared" si="8"/>
        <v>0</v>
      </c>
      <c r="N50">
        <v>27.22</v>
      </c>
      <c r="O50" s="15"/>
      <c r="P50" s="69">
        <f t="shared" si="16"/>
        <v>0</v>
      </c>
      <c r="Q50" s="245"/>
      <c r="R50" s="69">
        <f t="shared" si="17"/>
        <v>0</v>
      </c>
      <c r="S50" s="70"/>
      <c r="T50" s="71"/>
      <c r="U50" s="435">
        <f t="shared" si="18"/>
        <v>4.9900000000003502</v>
      </c>
      <c r="V50" s="436">
        <f t="shared" si="29"/>
        <v>0</v>
      </c>
      <c r="W50" s="437">
        <f t="shared" si="9"/>
        <v>0</v>
      </c>
      <c r="Z50">
        <v>27.24</v>
      </c>
      <c r="AA50" s="15"/>
      <c r="AB50" s="69">
        <f t="shared" si="20"/>
        <v>0</v>
      </c>
      <c r="AC50" s="245"/>
      <c r="AD50" s="69">
        <f t="shared" si="21"/>
        <v>0</v>
      </c>
      <c r="AE50" s="70"/>
      <c r="AF50" s="71"/>
      <c r="AG50" s="435">
        <f t="shared" si="22"/>
        <v>5.0300000000012233</v>
      </c>
      <c r="AH50" s="436">
        <f t="shared" si="30"/>
        <v>0</v>
      </c>
      <c r="AI50" s="437">
        <f t="shared" si="10"/>
        <v>0</v>
      </c>
      <c r="AL50">
        <v>27.22</v>
      </c>
      <c r="AM50" s="15"/>
      <c r="AN50" s="69">
        <f t="shared" si="24"/>
        <v>0</v>
      </c>
      <c r="AO50" s="245"/>
      <c r="AP50" s="69">
        <f t="shared" si="25"/>
        <v>0</v>
      </c>
      <c r="AQ50" s="70"/>
      <c r="AR50" s="71"/>
      <c r="AS50" s="435">
        <f t="shared" si="26"/>
        <v>6505.58</v>
      </c>
      <c r="AT50" s="436">
        <f t="shared" si="31"/>
        <v>239</v>
      </c>
      <c r="AU50" s="437">
        <f t="shared" si="11"/>
        <v>0</v>
      </c>
    </row>
    <row r="51" spans="1:47" x14ac:dyDescent="0.25">
      <c r="B51">
        <v>27.22</v>
      </c>
      <c r="C51" s="15"/>
      <c r="D51" s="69">
        <f t="shared" si="12"/>
        <v>0</v>
      </c>
      <c r="E51" s="245"/>
      <c r="F51" s="69">
        <f t="shared" si="13"/>
        <v>0</v>
      </c>
      <c r="G51" s="70"/>
      <c r="H51" s="71"/>
      <c r="I51" s="435">
        <f t="shared" si="14"/>
        <v>0</v>
      </c>
      <c r="J51" s="436">
        <f t="shared" si="28"/>
        <v>0</v>
      </c>
      <c r="K51" s="437">
        <f t="shared" si="8"/>
        <v>0</v>
      </c>
      <c r="N51">
        <v>27.22</v>
      </c>
      <c r="O51" s="15"/>
      <c r="P51" s="69">
        <f t="shared" si="16"/>
        <v>0</v>
      </c>
      <c r="Q51" s="245"/>
      <c r="R51" s="69">
        <f t="shared" si="17"/>
        <v>0</v>
      </c>
      <c r="S51" s="70"/>
      <c r="T51" s="71"/>
      <c r="U51" s="435">
        <f t="shared" si="18"/>
        <v>4.9900000000003502</v>
      </c>
      <c r="V51" s="436">
        <f t="shared" si="29"/>
        <v>0</v>
      </c>
      <c r="W51" s="437">
        <f t="shared" si="9"/>
        <v>0</v>
      </c>
      <c r="Z51">
        <v>27.24</v>
      </c>
      <c r="AA51" s="15"/>
      <c r="AB51" s="69">
        <f t="shared" si="20"/>
        <v>0</v>
      </c>
      <c r="AC51" s="245"/>
      <c r="AD51" s="69">
        <f t="shared" si="21"/>
        <v>0</v>
      </c>
      <c r="AE51" s="70"/>
      <c r="AF51" s="71"/>
      <c r="AG51" s="435">
        <f t="shared" si="22"/>
        <v>5.0300000000012233</v>
      </c>
      <c r="AH51" s="436">
        <f t="shared" si="30"/>
        <v>0</v>
      </c>
      <c r="AI51" s="437">
        <f t="shared" si="10"/>
        <v>0</v>
      </c>
      <c r="AL51">
        <v>27.22</v>
      </c>
      <c r="AM51" s="15"/>
      <c r="AN51" s="69">
        <f t="shared" si="24"/>
        <v>0</v>
      </c>
      <c r="AO51" s="245"/>
      <c r="AP51" s="69">
        <f t="shared" si="25"/>
        <v>0</v>
      </c>
      <c r="AQ51" s="70"/>
      <c r="AR51" s="71"/>
      <c r="AS51" s="435">
        <f t="shared" si="26"/>
        <v>6505.58</v>
      </c>
      <c r="AT51" s="436">
        <f t="shared" si="31"/>
        <v>239</v>
      </c>
      <c r="AU51" s="437">
        <f t="shared" si="11"/>
        <v>0</v>
      </c>
    </row>
    <row r="52" spans="1:47" x14ac:dyDescent="0.25">
      <c r="B52">
        <v>27.22</v>
      </c>
      <c r="C52" s="15"/>
      <c r="D52" s="69">
        <f t="shared" si="12"/>
        <v>0</v>
      </c>
      <c r="E52" s="245"/>
      <c r="F52" s="69">
        <f t="shared" si="13"/>
        <v>0</v>
      </c>
      <c r="G52" s="70"/>
      <c r="H52" s="71"/>
      <c r="I52" s="435">
        <f t="shared" si="14"/>
        <v>0</v>
      </c>
      <c r="J52" s="436">
        <f t="shared" si="28"/>
        <v>0</v>
      </c>
      <c r="K52" s="437">
        <f t="shared" si="8"/>
        <v>0</v>
      </c>
      <c r="N52">
        <v>27.22</v>
      </c>
      <c r="O52" s="15"/>
      <c r="P52" s="69">
        <f t="shared" si="16"/>
        <v>0</v>
      </c>
      <c r="Q52" s="245"/>
      <c r="R52" s="69">
        <f t="shared" si="17"/>
        <v>0</v>
      </c>
      <c r="S52" s="70"/>
      <c r="T52" s="71"/>
      <c r="U52" s="435">
        <f t="shared" si="18"/>
        <v>4.9900000000003502</v>
      </c>
      <c r="V52" s="436">
        <f t="shared" si="29"/>
        <v>0</v>
      </c>
      <c r="W52" s="437">
        <f t="shared" si="9"/>
        <v>0</v>
      </c>
      <c r="Z52">
        <v>27.24</v>
      </c>
      <c r="AA52" s="15"/>
      <c r="AB52" s="69">
        <f t="shared" si="20"/>
        <v>0</v>
      </c>
      <c r="AC52" s="245"/>
      <c r="AD52" s="69">
        <f t="shared" si="21"/>
        <v>0</v>
      </c>
      <c r="AE52" s="70"/>
      <c r="AF52" s="71"/>
      <c r="AG52" s="435">
        <f t="shared" si="22"/>
        <v>5.0300000000012233</v>
      </c>
      <c r="AH52" s="436">
        <f t="shared" si="30"/>
        <v>0</v>
      </c>
      <c r="AI52" s="437">
        <f t="shared" si="10"/>
        <v>0</v>
      </c>
      <c r="AL52">
        <v>27.22</v>
      </c>
      <c r="AM52" s="15"/>
      <c r="AN52" s="69">
        <f t="shared" si="24"/>
        <v>0</v>
      </c>
      <c r="AO52" s="245"/>
      <c r="AP52" s="69">
        <f t="shared" si="25"/>
        <v>0</v>
      </c>
      <c r="AQ52" s="70"/>
      <c r="AR52" s="71"/>
      <c r="AS52" s="435">
        <f t="shared" si="26"/>
        <v>6505.58</v>
      </c>
      <c r="AT52" s="436">
        <f t="shared" si="31"/>
        <v>239</v>
      </c>
      <c r="AU52" s="437">
        <f t="shared" si="11"/>
        <v>0</v>
      </c>
    </row>
    <row r="53" spans="1:47" x14ac:dyDescent="0.25">
      <c r="B53">
        <v>27.22</v>
      </c>
      <c r="C53" s="15"/>
      <c r="D53" s="69">
        <f t="shared" si="12"/>
        <v>0</v>
      </c>
      <c r="E53" s="245"/>
      <c r="F53" s="69">
        <f t="shared" si="13"/>
        <v>0</v>
      </c>
      <c r="G53" s="70"/>
      <c r="H53" s="71"/>
      <c r="I53" s="435">
        <f t="shared" si="14"/>
        <v>0</v>
      </c>
      <c r="J53" s="436">
        <f t="shared" si="28"/>
        <v>0</v>
      </c>
      <c r="K53" s="437">
        <f t="shared" si="8"/>
        <v>0</v>
      </c>
      <c r="N53">
        <v>27.22</v>
      </c>
      <c r="O53" s="15"/>
      <c r="P53" s="69">
        <f t="shared" si="16"/>
        <v>0</v>
      </c>
      <c r="Q53" s="245"/>
      <c r="R53" s="69">
        <f t="shared" si="17"/>
        <v>0</v>
      </c>
      <c r="S53" s="70"/>
      <c r="T53" s="71"/>
      <c r="U53" s="435">
        <f t="shared" si="18"/>
        <v>4.9900000000003502</v>
      </c>
      <c r="V53" s="436">
        <f t="shared" si="29"/>
        <v>0</v>
      </c>
      <c r="W53" s="437">
        <f t="shared" si="9"/>
        <v>0</v>
      </c>
      <c r="Z53">
        <v>27.24</v>
      </c>
      <c r="AA53" s="15"/>
      <c r="AB53" s="69">
        <f t="shared" si="20"/>
        <v>0</v>
      </c>
      <c r="AC53" s="245"/>
      <c r="AD53" s="69">
        <f t="shared" si="21"/>
        <v>0</v>
      </c>
      <c r="AE53" s="70"/>
      <c r="AF53" s="71"/>
      <c r="AG53" s="435">
        <f t="shared" si="22"/>
        <v>5.0300000000012233</v>
      </c>
      <c r="AH53" s="436">
        <f t="shared" si="30"/>
        <v>0</v>
      </c>
      <c r="AI53" s="437">
        <f t="shared" si="10"/>
        <v>0</v>
      </c>
      <c r="AL53">
        <v>27.22</v>
      </c>
      <c r="AM53" s="15"/>
      <c r="AN53" s="69">
        <f t="shared" si="24"/>
        <v>0</v>
      </c>
      <c r="AO53" s="245"/>
      <c r="AP53" s="69">
        <f t="shared" si="25"/>
        <v>0</v>
      </c>
      <c r="AQ53" s="70"/>
      <c r="AR53" s="71"/>
      <c r="AS53" s="435">
        <f t="shared" si="26"/>
        <v>6505.58</v>
      </c>
      <c r="AT53" s="436">
        <f t="shared" si="31"/>
        <v>239</v>
      </c>
      <c r="AU53" s="437">
        <f t="shared" si="11"/>
        <v>0</v>
      </c>
    </row>
    <row r="54" spans="1:47" x14ac:dyDescent="0.25">
      <c r="B54">
        <v>27.22</v>
      </c>
      <c r="C54" s="15"/>
      <c r="D54" s="69">
        <f t="shared" si="12"/>
        <v>0</v>
      </c>
      <c r="E54" s="245"/>
      <c r="F54" s="69">
        <f t="shared" si="13"/>
        <v>0</v>
      </c>
      <c r="G54" s="70"/>
      <c r="H54" s="71"/>
      <c r="I54" s="435">
        <f t="shared" si="14"/>
        <v>0</v>
      </c>
      <c r="J54" s="436">
        <f t="shared" si="28"/>
        <v>0</v>
      </c>
      <c r="K54" s="437">
        <f t="shared" si="8"/>
        <v>0</v>
      </c>
      <c r="N54">
        <v>27.22</v>
      </c>
      <c r="O54" s="15"/>
      <c r="P54" s="69">
        <f t="shared" si="16"/>
        <v>0</v>
      </c>
      <c r="Q54" s="245"/>
      <c r="R54" s="69">
        <f t="shared" si="17"/>
        <v>0</v>
      </c>
      <c r="S54" s="70"/>
      <c r="T54" s="71"/>
      <c r="U54" s="435">
        <f t="shared" si="18"/>
        <v>4.9900000000003502</v>
      </c>
      <c r="V54" s="436">
        <f t="shared" si="29"/>
        <v>0</v>
      </c>
      <c r="W54" s="437">
        <f t="shared" si="9"/>
        <v>0</v>
      </c>
      <c r="Z54">
        <v>27.24</v>
      </c>
      <c r="AA54" s="15"/>
      <c r="AB54" s="69">
        <f t="shared" si="20"/>
        <v>0</v>
      </c>
      <c r="AC54" s="245"/>
      <c r="AD54" s="69">
        <f t="shared" si="21"/>
        <v>0</v>
      </c>
      <c r="AE54" s="70"/>
      <c r="AF54" s="71"/>
      <c r="AG54" s="435">
        <f t="shared" si="22"/>
        <v>5.0300000000012233</v>
      </c>
      <c r="AH54" s="436">
        <f t="shared" si="30"/>
        <v>0</v>
      </c>
      <c r="AI54" s="437">
        <f t="shared" si="10"/>
        <v>0</v>
      </c>
      <c r="AL54">
        <v>27.22</v>
      </c>
      <c r="AM54" s="15"/>
      <c r="AN54" s="69">
        <f t="shared" si="24"/>
        <v>0</v>
      </c>
      <c r="AO54" s="245"/>
      <c r="AP54" s="69">
        <f t="shared" si="25"/>
        <v>0</v>
      </c>
      <c r="AQ54" s="70"/>
      <c r="AR54" s="71"/>
      <c r="AS54" s="435">
        <f t="shared" si="26"/>
        <v>6505.58</v>
      </c>
      <c r="AT54" s="436">
        <f t="shared" si="31"/>
        <v>239</v>
      </c>
      <c r="AU54" s="437">
        <f t="shared" si="11"/>
        <v>0</v>
      </c>
    </row>
    <row r="55" spans="1:47" x14ac:dyDescent="0.25">
      <c r="B55">
        <v>27.22</v>
      </c>
      <c r="C55" s="15"/>
      <c r="D55" s="69">
        <f t="shared" si="12"/>
        <v>0</v>
      </c>
      <c r="E55" s="245"/>
      <c r="F55" s="69">
        <f t="shared" si="13"/>
        <v>0</v>
      </c>
      <c r="G55" s="70"/>
      <c r="H55" s="71"/>
      <c r="I55" s="435">
        <f t="shared" si="14"/>
        <v>0</v>
      </c>
      <c r="J55" s="436">
        <f t="shared" si="28"/>
        <v>0</v>
      </c>
      <c r="K55" s="437">
        <f t="shared" si="8"/>
        <v>0</v>
      </c>
      <c r="N55">
        <v>27.22</v>
      </c>
      <c r="O55" s="15"/>
      <c r="P55" s="69">
        <f t="shared" si="16"/>
        <v>0</v>
      </c>
      <c r="Q55" s="245"/>
      <c r="R55" s="69">
        <f t="shared" si="17"/>
        <v>0</v>
      </c>
      <c r="S55" s="70"/>
      <c r="T55" s="71"/>
      <c r="U55" s="435">
        <f t="shared" si="18"/>
        <v>4.9900000000003502</v>
      </c>
      <c r="V55" s="436">
        <f t="shared" si="29"/>
        <v>0</v>
      </c>
      <c r="W55" s="437">
        <f t="shared" si="9"/>
        <v>0</v>
      </c>
      <c r="Z55">
        <v>27.24</v>
      </c>
      <c r="AA55" s="15"/>
      <c r="AB55" s="69">
        <f t="shared" si="20"/>
        <v>0</v>
      </c>
      <c r="AC55" s="245"/>
      <c r="AD55" s="69">
        <f t="shared" si="21"/>
        <v>0</v>
      </c>
      <c r="AE55" s="70"/>
      <c r="AF55" s="71"/>
      <c r="AG55" s="435">
        <f t="shared" si="22"/>
        <v>5.0300000000012233</v>
      </c>
      <c r="AH55" s="436">
        <f t="shared" si="30"/>
        <v>0</v>
      </c>
      <c r="AI55" s="437">
        <f t="shared" si="10"/>
        <v>0</v>
      </c>
      <c r="AL55">
        <v>27.22</v>
      </c>
      <c r="AM55" s="15"/>
      <c r="AN55" s="69">
        <f t="shared" si="24"/>
        <v>0</v>
      </c>
      <c r="AO55" s="245"/>
      <c r="AP55" s="69">
        <f t="shared" si="25"/>
        <v>0</v>
      </c>
      <c r="AQ55" s="70"/>
      <c r="AR55" s="71"/>
      <c r="AS55" s="435">
        <f t="shared" si="26"/>
        <v>6505.58</v>
      </c>
      <c r="AT55" s="436">
        <f t="shared" si="31"/>
        <v>239</v>
      </c>
      <c r="AU55" s="437">
        <f t="shared" si="11"/>
        <v>0</v>
      </c>
    </row>
    <row r="56" spans="1:47" x14ac:dyDescent="0.25">
      <c r="B56">
        <v>27.22</v>
      </c>
      <c r="C56" s="15"/>
      <c r="D56" s="69">
        <f t="shared" si="12"/>
        <v>0</v>
      </c>
      <c r="E56" s="245"/>
      <c r="F56" s="69">
        <f t="shared" si="13"/>
        <v>0</v>
      </c>
      <c r="G56" s="70"/>
      <c r="H56" s="71"/>
      <c r="I56" s="435">
        <f t="shared" si="14"/>
        <v>0</v>
      </c>
      <c r="J56" s="436">
        <f t="shared" si="28"/>
        <v>0</v>
      </c>
      <c r="K56" s="437">
        <f t="shared" si="8"/>
        <v>0</v>
      </c>
      <c r="N56">
        <v>27.22</v>
      </c>
      <c r="O56" s="15"/>
      <c r="P56" s="69">
        <f t="shared" si="16"/>
        <v>0</v>
      </c>
      <c r="Q56" s="245"/>
      <c r="R56" s="69">
        <f t="shared" si="17"/>
        <v>0</v>
      </c>
      <c r="S56" s="70"/>
      <c r="T56" s="71"/>
      <c r="U56" s="435">
        <f t="shared" si="18"/>
        <v>4.9900000000003502</v>
      </c>
      <c r="V56" s="436">
        <f t="shared" si="29"/>
        <v>0</v>
      </c>
      <c r="W56" s="437">
        <f t="shared" si="9"/>
        <v>0</v>
      </c>
      <c r="Z56">
        <v>27.24</v>
      </c>
      <c r="AA56" s="15"/>
      <c r="AB56" s="69">
        <f t="shared" si="20"/>
        <v>0</v>
      </c>
      <c r="AC56" s="245"/>
      <c r="AD56" s="69">
        <f t="shared" si="21"/>
        <v>0</v>
      </c>
      <c r="AE56" s="70"/>
      <c r="AF56" s="71"/>
      <c r="AG56" s="435">
        <f t="shared" si="22"/>
        <v>5.0300000000012233</v>
      </c>
      <c r="AH56" s="436">
        <f t="shared" si="30"/>
        <v>0</v>
      </c>
      <c r="AI56" s="437">
        <f t="shared" si="10"/>
        <v>0</v>
      </c>
      <c r="AL56">
        <v>27.22</v>
      </c>
      <c r="AM56" s="15"/>
      <c r="AN56" s="69">
        <f t="shared" si="24"/>
        <v>0</v>
      </c>
      <c r="AO56" s="245"/>
      <c r="AP56" s="69">
        <f t="shared" si="25"/>
        <v>0</v>
      </c>
      <c r="AQ56" s="70"/>
      <c r="AR56" s="71"/>
      <c r="AS56" s="435">
        <f t="shared" si="26"/>
        <v>6505.58</v>
      </c>
      <c r="AT56" s="436">
        <f t="shared" si="31"/>
        <v>239</v>
      </c>
      <c r="AU56" s="437">
        <f t="shared" si="11"/>
        <v>0</v>
      </c>
    </row>
    <row r="57" spans="1:47" x14ac:dyDescent="0.25">
      <c r="B57">
        <v>27.22</v>
      </c>
      <c r="C57" s="15"/>
      <c r="D57" s="69">
        <f t="shared" si="12"/>
        <v>0</v>
      </c>
      <c r="E57" s="245"/>
      <c r="F57" s="69">
        <f t="shared" si="13"/>
        <v>0</v>
      </c>
      <c r="G57" s="70"/>
      <c r="H57" s="71"/>
      <c r="I57" s="435">
        <f t="shared" si="14"/>
        <v>0</v>
      </c>
      <c r="J57" s="436">
        <f t="shared" si="28"/>
        <v>0</v>
      </c>
      <c r="K57" s="437">
        <f t="shared" si="8"/>
        <v>0</v>
      </c>
      <c r="N57">
        <v>27.22</v>
      </c>
      <c r="O57" s="15"/>
      <c r="P57" s="69">
        <f t="shared" si="16"/>
        <v>0</v>
      </c>
      <c r="Q57" s="245"/>
      <c r="R57" s="69">
        <f t="shared" si="17"/>
        <v>0</v>
      </c>
      <c r="S57" s="70"/>
      <c r="T57" s="71"/>
      <c r="U57" s="435">
        <f t="shared" si="18"/>
        <v>4.9900000000003502</v>
      </c>
      <c r="V57" s="436">
        <f t="shared" si="29"/>
        <v>0</v>
      </c>
      <c r="W57" s="437">
        <f t="shared" si="9"/>
        <v>0</v>
      </c>
      <c r="Z57">
        <v>27.24</v>
      </c>
      <c r="AA57" s="15"/>
      <c r="AB57" s="69">
        <f t="shared" si="20"/>
        <v>0</v>
      </c>
      <c r="AC57" s="245"/>
      <c r="AD57" s="69">
        <f t="shared" si="21"/>
        <v>0</v>
      </c>
      <c r="AE57" s="70"/>
      <c r="AF57" s="71"/>
      <c r="AG57" s="435">
        <f t="shared" si="22"/>
        <v>5.0300000000012233</v>
      </c>
      <c r="AH57" s="436">
        <f t="shared" si="30"/>
        <v>0</v>
      </c>
      <c r="AI57" s="437">
        <f t="shared" si="10"/>
        <v>0</v>
      </c>
      <c r="AL57">
        <v>27.22</v>
      </c>
      <c r="AM57" s="15"/>
      <c r="AN57" s="69">
        <f t="shared" si="24"/>
        <v>0</v>
      </c>
      <c r="AO57" s="245"/>
      <c r="AP57" s="69">
        <f t="shared" si="25"/>
        <v>0</v>
      </c>
      <c r="AQ57" s="70"/>
      <c r="AR57" s="71"/>
      <c r="AS57" s="435">
        <f t="shared" si="26"/>
        <v>6505.58</v>
      </c>
      <c r="AT57" s="436">
        <f t="shared" si="31"/>
        <v>239</v>
      </c>
      <c r="AU57" s="437">
        <f t="shared" si="11"/>
        <v>0</v>
      </c>
    </row>
    <row r="58" spans="1:47" x14ac:dyDescent="0.25">
      <c r="B58">
        <v>27.22</v>
      </c>
      <c r="C58" s="15"/>
      <c r="D58" s="69">
        <f t="shared" si="12"/>
        <v>0</v>
      </c>
      <c r="E58" s="245"/>
      <c r="F58" s="69">
        <f t="shared" si="13"/>
        <v>0</v>
      </c>
      <c r="G58" s="70"/>
      <c r="H58" s="71"/>
      <c r="I58" s="435">
        <f t="shared" si="14"/>
        <v>0</v>
      </c>
      <c r="J58" s="436">
        <f t="shared" si="28"/>
        <v>0</v>
      </c>
      <c r="K58" s="437">
        <f t="shared" si="8"/>
        <v>0</v>
      </c>
      <c r="N58">
        <v>27.22</v>
      </c>
      <c r="O58" s="15"/>
      <c r="P58" s="69">
        <f t="shared" si="16"/>
        <v>0</v>
      </c>
      <c r="Q58" s="245"/>
      <c r="R58" s="69">
        <f t="shared" si="17"/>
        <v>0</v>
      </c>
      <c r="S58" s="70"/>
      <c r="T58" s="71"/>
      <c r="U58" s="435">
        <f t="shared" si="18"/>
        <v>4.9900000000003502</v>
      </c>
      <c r="V58" s="436">
        <f t="shared" si="29"/>
        <v>0</v>
      </c>
      <c r="W58" s="437">
        <f t="shared" si="9"/>
        <v>0</v>
      </c>
      <c r="Z58">
        <v>27.24</v>
      </c>
      <c r="AA58" s="15"/>
      <c r="AB58" s="69">
        <f t="shared" si="20"/>
        <v>0</v>
      </c>
      <c r="AC58" s="245"/>
      <c r="AD58" s="69">
        <f t="shared" si="21"/>
        <v>0</v>
      </c>
      <c r="AE58" s="70"/>
      <c r="AF58" s="71"/>
      <c r="AG58" s="435">
        <f t="shared" si="22"/>
        <v>5.0300000000012233</v>
      </c>
      <c r="AH58" s="436">
        <f t="shared" si="30"/>
        <v>0</v>
      </c>
      <c r="AI58" s="437">
        <f t="shared" si="10"/>
        <v>0</v>
      </c>
      <c r="AL58">
        <v>27.22</v>
      </c>
      <c r="AM58" s="15"/>
      <c r="AN58" s="69">
        <f t="shared" si="24"/>
        <v>0</v>
      </c>
      <c r="AO58" s="245"/>
      <c r="AP58" s="69">
        <f t="shared" si="25"/>
        <v>0</v>
      </c>
      <c r="AQ58" s="70"/>
      <c r="AR58" s="71"/>
      <c r="AS58" s="435">
        <f t="shared" si="26"/>
        <v>6505.58</v>
      </c>
      <c r="AT58" s="436">
        <f t="shared" si="31"/>
        <v>239</v>
      </c>
      <c r="AU58" s="437">
        <f t="shared" si="11"/>
        <v>0</v>
      </c>
    </row>
    <row r="59" spans="1:47" x14ac:dyDescent="0.25">
      <c r="B59">
        <v>27.22</v>
      </c>
      <c r="C59" s="15"/>
      <c r="D59" s="69">
        <f t="shared" si="12"/>
        <v>0</v>
      </c>
      <c r="E59" s="245"/>
      <c r="F59" s="69">
        <f t="shared" si="13"/>
        <v>0</v>
      </c>
      <c r="G59" s="70"/>
      <c r="H59" s="71"/>
      <c r="I59" s="435">
        <f t="shared" si="14"/>
        <v>0</v>
      </c>
      <c r="J59" s="436">
        <f t="shared" si="28"/>
        <v>0</v>
      </c>
      <c r="K59" s="437">
        <f t="shared" si="8"/>
        <v>0</v>
      </c>
      <c r="N59">
        <v>27.22</v>
      </c>
      <c r="O59" s="15"/>
      <c r="P59" s="69">
        <f t="shared" si="16"/>
        <v>0</v>
      </c>
      <c r="Q59" s="245"/>
      <c r="R59" s="69">
        <f t="shared" si="17"/>
        <v>0</v>
      </c>
      <c r="S59" s="70"/>
      <c r="T59" s="71"/>
      <c r="U59" s="435">
        <f t="shared" si="18"/>
        <v>4.9900000000003502</v>
      </c>
      <c r="V59" s="436">
        <f t="shared" si="29"/>
        <v>0</v>
      </c>
      <c r="W59" s="437">
        <f t="shared" si="9"/>
        <v>0</v>
      </c>
      <c r="Z59">
        <v>27.24</v>
      </c>
      <c r="AA59" s="15"/>
      <c r="AB59" s="69">
        <f t="shared" si="20"/>
        <v>0</v>
      </c>
      <c r="AC59" s="245"/>
      <c r="AD59" s="69">
        <f t="shared" si="21"/>
        <v>0</v>
      </c>
      <c r="AE59" s="70"/>
      <c r="AF59" s="71"/>
      <c r="AG59" s="435">
        <f t="shared" si="22"/>
        <v>5.0300000000012233</v>
      </c>
      <c r="AH59" s="436">
        <f t="shared" si="30"/>
        <v>0</v>
      </c>
      <c r="AI59" s="437">
        <f t="shared" si="10"/>
        <v>0</v>
      </c>
      <c r="AL59">
        <v>27.22</v>
      </c>
      <c r="AM59" s="15"/>
      <c r="AN59" s="69">
        <f t="shared" si="24"/>
        <v>0</v>
      </c>
      <c r="AO59" s="245"/>
      <c r="AP59" s="69">
        <f t="shared" si="25"/>
        <v>0</v>
      </c>
      <c r="AQ59" s="70"/>
      <c r="AR59" s="71"/>
      <c r="AS59" s="435">
        <f t="shared" si="26"/>
        <v>6505.58</v>
      </c>
      <c r="AT59" s="436">
        <f t="shared" si="31"/>
        <v>239</v>
      </c>
      <c r="AU59" s="437">
        <f t="shared" si="11"/>
        <v>0</v>
      </c>
    </row>
    <row r="60" spans="1:47" ht="15.75" thickBot="1" x14ac:dyDescent="0.3">
      <c r="A60" s="120"/>
      <c r="B60">
        <v>27.22</v>
      </c>
      <c r="C60" s="15"/>
      <c r="D60" s="69">
        <f t="shared" si="12"/>
        <v>0</v>
      </c>
      <c r="E60" s="245"/>
      <c r="F60" s="69">
        <f t="shared" si="13"/>
        <v>0</v>
      </c>
      <c r="G60" s="70"/>
      <c r="H60" s="71"/>
      <c r="I60" s="435">
        <f t="shared" si="14"/>
        <v>0</v>
      </c>
      <c r="J60" s="436">
        <f t="shared" si="28"/>
        <v>0</v>
      </c>
      <c r="K60" s="437">
        <f t="shared" si="8"/>
        <v>0</v>
      </c>
      <c r="M60" s="120"/>
      <c r="N60">
        <v>27.22</v>
      </c>
      <c r="O60" s="15"/>
      <c r="P60" s="69">
        <f t="shared" si="16"/>
        <v>0</v>
      </c>
      <c r="Q60" s="245"/>
      <c r="R60" s="69">
        <f t="shared" si="17"/>
        <v>0</v>
      </c>
      <c r="S60" s="70"/>
      <c r="T60" s="71"/>
      <c r="U60" s="435">
        <f t="shared" si="18"/>
        <v>4.9900000000003502</v>
      </c>
      <c r="V60" s="436">
        <f t="shared" si="29"/>
        <v>0</v>
      </c>
      <c r="W60" s="437">
        <f t="shared" si="9"/>
        <v>0</v>
      </c>
      <c r="Y60" s="120"/>
      <c r="Z60">
        <v>27.24</v>
      </c>
      <c r="AA60" s="15"/>
      <c r="AB60" s="69">
        <f t="shared" si="20"/>
        <v>0</v>
      </c>
      <c r="AC60" s="245"/>
      <c r="AD60" s="69">
        <f t="shared" si="21"/>
        <v>0</v>
      </c>
      <c r="AE60" s="70"/>
      <c r="AF60" s="71"/>
      <c r="AG60" s="435">
        <f t="shared" si="22"/>
        <v>5.0300000000012233</v>
      </c>
      <c r="AH60" s="436">
        <f t="shared" si="30"/>
        <v>0</v>
      </c>
      <c r="AI60" s="437">
        <f t="shared" si="10"/>
        <v>0</v>
      </c>
      <c r="AK60" s="120"/>
      <c r="AL60">
        <v>27.22</v>
      </c>
      <c r="AM60" s="15"/>
      <c r="AN60" s="69">
        <f t="shared" si="24"/>
        <v>0</v>
      </c>
      <c r="AO60" s="245"/>
      <c r="AP60" s="69">
        <f t="shared" si="25"/>
        <v>0</v>
      </c>
      <c r="AQ60" s="70"/>
      <c r="AR60" s="71"/>
      <c r="AS60" s="435">
        <f t="shared" si="26"/>
        <v>6505.58</v>
      </c>
      <c r="AT60" s="436">
        <f t="shared" si="31"/>
        <v>239</v>
      </c>
      <c r="AU60" s="437">
        <f t="shared" si="11"/>
        <v>0</v>
      </c>
    </row>
    <row r="61" spans="1:47" ht="15.75" thickTop="1" x14ac:dyDescent="0.25">
      <c r="B61">
        <v>27.22</v>
      </c>
      <c r="C61" s="15"/>
      <c r="D61" s="69">
        <f t="shared" si="12"/>
        <v>0</v>
      </c>
      <c r="E61" s="245"/>
      <c r="F61" s="69">
        <f t="shared" si="13"/>
        <v>0</v>
      </c>
      <c r="G61" s="70"/>
      <c r="H61" s="71"/>
      <c r="I61" s="435">
        <f t="shared" si="14"/>
        <v>0</v>
      </c>
      <c r="J61" s="436">
        <f t="shared" si="28"/>
        <v>0</v>
      </c>
      <c r="K61" s="437">
        <f t="shared" si="8"/>
        <v>0</v>
      </c>
      <c r="N61">
        <v>27.22</v>
      </c>
      <c r="O61" s="15"/>
      <c r="P61" s="69">
        <f t="shared" si="16"/>
        <v>0</v>
      </c>
      <c r="Q61" s="245"/>
      <c r="R61" s="69">
        <f t="shared" si="17"/>
        <v>0</v>
      </c>
      <c r="S61" s="70"/>
      <c r="T61" s="71"/>
      <c r="U61" s="435">
        <f t="shared" si="18"/>
        <v>4.9900000000003502</v>
      </c>
      <c r="V61" s="436">
        <f t="shared" si="29"/>
        <v>0</v>
      </c>
      <c r="W61" s="437">
        <f t="shared" si="9"/>
        <v>0</v>
      </c>
      <c r="Z61">
        <v>27.24</v>
      </c>
      <c r="AA61" s="15"/>
      <c r="AB61" s="69">
        <f t="shared" si="20"/>
        <v>0</v>
      </c>
      <c r="AC61" s="245"/>
      <c r="AD61" s="69">
        <f t="shared" si="21"/>
        <v>0</v>
      </c>
      <c r="AE61" s="70"/>
      <c r="AF61" s="71"/>
      <c r="AG61" s="435">
        <f t="shared" si="22"/>
        <v>5.0300000000012233</v>
      </c>
      <c r="AH61" s="436">
        <f t="shared" si="30"/>
        <v>0</v>
      </c>
      <c r="AI61" s="437">
        <f t="shared" si="10"/>
        <v>0</v>
      </c>
      <c r="AL61">
        <v>27.22</v>
      </c>
      <c r="AM61" s="15"/>
      <c r="AN61" s="69">
        <f t="shared" si="24"/>
        <v>0</v>
      </c>
      <c r="AO61" s="245"/>
      <c r="AP61" s="69">
        <f t="shared" si="25"/>
        <v>0</v>
      </c>
      <c r="AQ61" s="70"/>
      <c r="AR61" s="71"/>
      <c r="AS61" s="435">
        <f t="shared" si="26"/>
        <v>6505.58</v>
      </c>
      <c r="AT61" s="436">
        <f t="shared" si="31"/>
        <v>239</v>
      </c>
      <c r="AU61" s="437">
        <f t="shared" si="11"/>
        <v>0</v>
      </c>
    </row>
    <row r="62" spans="1:47" x14ac:dyDescent="0.25">
      <c r="B62">
        <v>27.22</v>
      </c>
      <c r="C62" s="15"/>
      <c r="D62" s="69">
        <f t="shared" si="12"/>
        <v>0</v>
      </c>
      <c r="E62" s="245"/>
      <c r="F62" s="69">
        <f t="shared" si="13"/>
        <v>0</v>
      </c>
      <c r="G62" s="70"/>
      <c r="H62" s="71"/>
      <c r="I62" s="435">
        <f t="shared" si="14"/>
        <v>0</v>
      </c>
      <c r="J62" s="436">
        <f t="shared" si="28"/>
        <v>0</v>
      </c>
      <c r="K62" s="437">
        <f t="shared" si="8"/>
        <v>0</v>
      </c>
      <c r="N62">
        <v>27.22</v>
      </c>
      <c r="O62" s="15"/>
      <c r="P62" s="69">
        <f t="shared" si="16"/>
        <v>0</v>
      </c>
      <c r="Q62" s="245"/>
      <c r="R62" s="69">
        <f t="shared" si="17"/>
        <v>0</v>
      </c>
      <c r="S62" s="70"/>
      <c r="T62" s="71"/>
      <c r="U62" s="435">
        <f t="shared" si="18"/>
        <v>4.9900000000003502</v>
      </c>
      <c r="V62" s="436">
        <f t="shared" si="29"/>
        <v>0</v>
      </c>
      <c r="W62" s="437">
        <f t="shared" si="9"/>
        <v>0</v>
      </c>
      <c r="Z62">
        <v>27.24</v>
      </c>
      <c r="AA62" s="15"/>
      <c r="AB62" s="69">
        <f t="shared" si="20"/>
        <v>0</v>
      </c>
      <c r="AC62" s="245"/>
      <c r="AD62" s="69">
        <f t="shared" si="21"/>
        <v>0</v>
      </c>
      <c r="AE62" s="70"/>
      <c r="AF62" s="71"/>
      <c r="AG62" s="435">
        <f t="shared" si="22"/>
        <v>5.0300000000012233</v>
      </c>
      <c r="AH62" s="436">
        <f t="shared" si="30"/>
        <v>0</v>
      </c>
      <c r="AI62" s="437">
        <f t="shared" si="10"/>
        <v>0</v>
      </c>
      <c r="AL62">
        <v>27.22</v>
      </c>
      <c r="AM62" s="15"/>
      <c r="AN62" s="69">
        <f t="shared" si="24"/>
        <v>0</v>
      </c>
      <c r="AO62" s="245"/>
      <c r="AP62" s="69">
        <f t="shared" si="25"/>
        <v>0</v>
      </c>
      <c r="AQ62" s="70"/>
      <c r="AR62" s="71"/>
      <c r="AS62" s="435">
        <f t="shared" si="26"/>
        <v>6505.58</v>
      </c>
      <c r="AT62" s="436">
        <f t="shared" si="31"/>
        <v>239</v>
      </c>
      <c r="AU62" s="437">
        <f t="shared" si="11"/>
        <v>0</v>
      </c>
    </row>
    <row r="63" spans="1:47" x14ac:dyDescent="0.25">
      <c r="B63">
        <v>27.22</v>
      </c>
      <c r="C63" s="15"/>
      <c r="D63" s="69">
        <f t="shared" si="12"/>
        <v>0</v>
      </c>
      <c r="E63" s="245"/>
      <c r="F63" s="69">
        <f t="shared" si="13"/>
        <v>0</v>
      </c>
      <c r="G63" s="70"/>
      <c r="H63" s="71"/>
      <c r="I63" s="435">
        <f t="shared" si="14"/>
        <v>0</v>
      </c>
      <c r="J63" s="436">
        <f t="shared" si="28"/>
        <v>0</v>
      </c>
      <c r="K63" s="437">
        <f t="shared" si="8"/>
        <v>0</v>
      </c>
      <c r="N63">
        <v>27.22</v>
      </c>
      <c r="O63" s="15"/>
      <c r="P63" s="69">
        <f t="shared" si="16"/>
        <v>0</v>
      </c>
      <c r="Q63" s="245"/>
      <c r="R63" s="69">
        <f t="shared" si="17"/>
        <v>0</v>
      </c>
      <c r="S63" s="70"/>
      <c r="T63" s="71"/>
      <c r="U63" s="435">
        <f t="shared" si="18"/>
        <v>4.9900000000003502</v>
      </c>
      <c r="V63" s="436">
        <f t="shared" si="29"/>
        <v>0</v>
      </c>
      <c r="W63" s="437">
        <f t="shared" si="9"/>
        <v>0</v>
      </c>
      <c r="Z63">
        <v>27.24</v>
      </c>
      <c r="AA63" s="15"/>
      <c r="AB63" s="69">
        <f t="shared" si="20"/>
        <v>0</v>
      </c>
      <c r="AC63" s="245"/>
      <c r="AD63" s="69">
        <f t="shared" si="21"/>
        <v>0</v>
      </c>
      <c r="AE63" s="70"/>
      <c r="AF63" s="71"/>
      <c r="AG63" s="435">
        <f t="shared" si="22"/>
        <v>5.0300000000012233</v>
      </c>
      <c r="AH63" s="436">
        <f t="shared" si="30"/>
        <v>0</v>
      </c>
      <c r="AI63" s="437">
        <f t="shared" si="10"/>
        <v>0</v>
      </c>
      <c r="AL63">
        <v>27.22</v>
      </c>
      <c r="AM63" s="15"/>
      <c r="AN63" s="69">
        <f t="shared" si="24"/>
        <v>0</v>
      </c>
      <c r="AO63" s="245"/>
      <c r="AP63" s="69">
        <f t="shared" si="25"/>
        <v>0</v>
      </c>
      <c r="AQ63" s="70"/>
      <c r="AR63" s="71"/>
      <c r="AS63" s="435">
        <f t="shared" si="26"/>
        <v>6505.58</v>
      </c>
      <c r="AT63" s="436">
        <f t="shared" si="31"/>
        <v>239</v>
      </c>
      <c r="AU63" s="437">
        <f t="shared" si="11"/>
        <v>0</v>
      </c>
    </row>
    <row r="64" spans="1:47" x14ac:dyDescent="0.25">
      <c r="B64">
        <v>27.22</v>
      </c>
      <c r="C64" s="15"/>
      <c r="D64" s="69">
        <f t="shared" si="12"/>
        <v>0</v>
      </c>
      <c r="E64" s="245"/>
      <c r="F64" s="69">
        <f t="shared" si="13"/>
        <v>0</v>
      </c>
      <c r="G64" s="70"/>
      <c r="H64" s="71"/>
      <c r="I64" s="435">
        <f t="shared" si="14"/>
        <v>0</v>
      </c>
      <c r="J64" s="436">
        <f t="shared" si="28"/>
        <v>0</v>
      </c>
      <c r="K64" s="437">
        <f t="shared" si="8"/>
        <v>0</v>
      </c>
      <c r="N64">
        <v>27.22</v>
      </c>
      <c r="O64" s="15"/>
      <c r="P64" s="69">
        <f t="shared" si="16"/>
        <v>0</v>
      </c>
      <c r="Q64" s="245"/>
      <c r="R64" s="69">
        <f t="shared" si="17"/>
        <v>0</v>
      </c>
      <c r="S64" s="70"/>
      <c r="T64" s="71"/>
      <c r="U64" s="435">
        <f t="shared" si="18"/>
        <v>4.9900000000003502</v>
      </c>
      <c r="V64" s="436">
        <f t="shared" si="29"/>
        <v>0</v>
      </c>
      <c r="W64" s="437">
        <f t="shared" si="9"/>
        <v>0</v>
      </c>
      <c r="Z64">
        <v>27.24</v>
      </c>
      <c r="AA64" s="15"/>
      <c r="AB64" s="69">
        <f t="shared" si="20"/>
        <v>0</v>
      </c>
      <c r="AC64" s="245"/>
      <c r="AD64" s="69">
        <f t="shared" si="21"/>
        <v>0</v>
      </c>
      <c r="AE64" s="70"/>
      <c r="AF64" s="71"/>
      <c r="AG64" s="435">
        <f t="shared" si="22"/>
        <v>5.0300000000012233</v>
      </c>
      <c r="AH64" s="436">
        <f t="shared" si="30"/>
        <v>0</v>
      </c>
      <c r="AI64" s="437">
        <f t="shared" si="10"/>
        <v>0</v>
      </c>
      <c r="AL64">
        <v>27.22</v>
      </c>
      <c r="AM64" s="15"/>
      <c r="AN64" s="69">
        <f t="shared" si="24"/>
        <v>0</v>
      </c>
      <c r="AO64" s="245"/>
      <c r="AP64" s="69">
        <f t="shared" si="25"/>
        <v>0</v>
      </c>
      <c r="AQ64" s="70"/>
      <c r="AR64" s="71"/>
      <c r="AS64" s="435">
        <f t="shared" si="26"/>
        <v>6505.58</v>
      </c>
      <c r="AT64" s="436">
        <f t="shared" si="31"/>
        <v>239</v>
      </c>
      <c r="AU64" s="437">
        <f t="shared" si="11"/>
        <v>0</v>
      </c>
    </row>
    <row r="65" spans="2:47" x14ac:dyDescent="0.25">
      <c r="B65">
        <v>27.22</v>
      </c>
      <c r="C65" s="15"/>
      <c r="D65" s="69">
        <f t="shared" si="12"/>
        <v>0</v>
      </c>
      <c r="E65" s="245"/>
      <c r="F65" s="69">
        <f t="shared" si="13"/>
        <v>0</v>
      </c>
      <c r="G65" s="70"/>
      <c r="H65" s="71"/>
      <c r="I65" s="435">
        <f t="shared" si="14"/>
        <v>0</v>
      </c>
      <c r="J65" s="436">
        <f t="shared" si="28"/>
        <v>0</v>
      </c>
      <c r="K65" s="437">
        <f t="shared" si="8"/>
        <v>0</v>
      </c>
      <c r="N65">
        <v>27.22</v>
      </c>
      <c r="O65" s="15"/>
      <c r="P65" s="69">
        <f t="shared" si="16"/>
        <v>0</v>
      </c>
      <c r="Q65" s="245"/>
      <c r="R65" s="69">
        <f t="shared" si="17"/>
        <v>0</v>
      </c>
      <c r="S65" s="70"/>
      <c r="T65" s="71"/>
      <c r="U65" s="435">
        <f t="shared" si="18"/>
        <v>4.9900000000003502</v>
      </c>
      <c r="V65" s="436">
        <f t="shared" si="29"/>
        <v>0</v>
      </c>
      <c r="W65" s="437">
        <f t="shared" si="9"/>
        <v>0</v>
      </c>
      <c r="Z65">
        <v>27.24</v>
      </c>
      <c r="AA65" s="15"/>
      <c r="AB65" s="69">
        <f t="shared" si="20"/>
        <v>0</v>
      </c>
      <c r="AC65" s="245"/>
      <c r="AD65" s="69">
        <f t="shared" si="21"/>
        <v>0</v>
      </c>
      <c r="AE65" s="70"/>
      <c r="AF65" s="71"/>
      <c r="AG65" s="435">
        <f t="shared" si="22"/>
        <v>5.0300000000012233</v>
      </c>
      <c r="AH65" s="436">
        <f t="shared" si="30"/>
        <v>0</v>
      </c>
      <c r="AI65" s="437">
        <f t="shared" si="10"/>
        <v>0</v>
      </c>
      <c r="AL65">
        <v>27.22</v>
      </c>
      <c r="AM65" s="15"/>
      <c r="AN65" s="69">
        <f t="shared" si="24"/>
        <v>0</v>
      </c>
      <c r="AO65" s="245"/>
      <c r="AP65" s="69">
        <f t="shared" si="25"/>
        <v>0</v>
      </c>
      <c r="AQ65" s="70"/>
      <c r="AR65" s="71"/>
      <c r="AS65" s="435">
        <f t="shared" si="26"/>
        <v>6505.58</v>
      </c>
      <c r="AT65" s="436">
        <f t="shared" si="31"/>
        <v>239</v>
      </c>
      <c r="AU65" s="437">
        <f t="shared" si="11"/>
        <v>0</v>
      </c>
    </row>
    <row r="66" spans="2:47" x14ac:dyDescent="0.25">
      <c r="B66">
        <v>27.22</v>
      </c>
      <c r="C66" s="15"/>
      <c r="D66" s="69">
        <f t="shared" si="12"/>
        <v>0</v>
      </c>
      <c r="E66" s="245"/>
      <c r="F66" s="69">
        <f t="shared" si="13"/>
        <v>0</v>
      </c>
      <c r="G66" s="70"/>
      <c r="H66" s="71"/>
      <c r="I66" s="435">
        <f t="shared" si="14"/>
        <v>0</v>
      </c>
      <c r="J66" s="436">
        <f t="shared" si="28"/>
        <v>0</v>
      </c>
      <c r="K66" s="437">
        <f t="shared" si="8"/>
        <v>0</v>
      </c>
      <c r="N66">
        <v>27.22</v>
      </c>
      <c r="O66" s="15"/>
      <c r="P66" s="69">
        <f t="shared" si="16"/>
        <v>0</v>
      </c>
      <c r="Q66" s="245"/>
      <c r="R66" s="69">
        <f t="shared" si="17"/>
        <v>0</v>
      </c>
      <c r="S66" s="70"/>
      <c r="T66" s="71"/>
      <c r="U66" s="435">
        <f t="shared" si="18"/>
        <v>4.9900000000003502</v>
      </c>
      <c r="V66" s="436">
        <f t="shared" si="29"/>
        <v>0</v>
      </c>
      <c r="W66" s="437">
        <f t="shared" si="9"/>
        <v>0</v>
      </c>
      <c r="Z66">
        <v>27.24</v>
      </c>
      <c r="AA66" s="15"/>
      <c r="AB66" s="69">
        <f t="shared" si="20"/>
        <v>0</v>
      </c>
      <c r="AC66" s="245"/>
      <c r="AD66" s="69">
        <f t="shared" si="21"/>
        <v>0</v>
      </c>
      <c r="AE66" s="70"/>
      <c r="AF66" s="71"/>
      <c r="AG66" s="435">
        <f t="shared" si="22"/>
        <v>5.0300000000012233</v>
      </c>
      <c r="AH66" s="436">
        <f t="shared" si="30"/>
        <v>0</v>
      </c>
      <c r="AI66" s="437">
        <f t="shared" si="10"/>
        <v>0</v>
      </c>
      <c r="AL66">
        <v>27.22</v>
      </c>
      <c r="AM66" s="15"/>
      <c r="AN66" s="69">
        <f t="shared" si="24"/>
        <v>0</v>
      </c>
      <c r="AO66" s="245"/>
      <c r="AP66" s="69">
        <f t="shared" si="25"/>
        <v>0</v>
      </c>
      <c r="AQ66" s="70"/>
      <c r="AR66" s="71"/>
      <c r="AS66" s="435">
        <f t="shared" si="26"/>
        <v>6505.58</v>
      </c>
      <c r="AT66" s="436">
        <f t="shared" si="31"/>
        <v>239</v>
      </c>
      <c r="AU66" s="437">
        <f t="shared" si="11"/>
        <v>0</v>
      </c>
    </row>
    <row r="67" spans="2:47" x14ac:dyDescent="0.25">
      <c r="B67">
        <v>27.22</v>
      </c>
      <c r="C67" s="15"/>
      <c r="D67" s="69">
        <f t="shared" si="12"/>
        <v>0</v>
      </c>
      <c r="E67" s="245"/>
      <c r="F67" s="69">
        <f t="shared" si="13"/>
        <v>0</v>
      </c>
      <c r="G67" s="70"/>
      <c r="H67" s="71"/>
      <c r="I67" s="435">
        <f t="shared" si="14"/>
        <v>0</v>
      </c>
      <c r="J67" s="436">
        <f t="shared" si="28"/>
        <v>0</v>
      </c>
      <c r="K67" s="437">
        <f t="shared" si="8"/>
        <v>0</v>
      </c>
      <c r="N67">
        <v>27.22</v>
      </c>
      <c r="O67" s="15"/>
      <c r="P67" s="69">
        <f t="shared" si="16"/>
        <v>0</v>
      </c>
      <c r="Q67" s="245"/>
      <c r="R67" s="69">
        <f t="shared" si="17"/>
        <v>0</v>
      </c>
      <c r="S67" s="70"/>
      <c r="T67" s="71"/>
      <c r="U67" s="435">
        <f t="shared" si="18"/>
        <v>4.9900000000003502</v>
      </c>
      <c r="V67" s="436">
        <f t="shared" si="29"/>
        <v>0</v>
      </c>
      <c r="W67" s="437">
        <f t="shared" si="9"/>
        <v>0</v>
      </c>
      <c r="Z67">
        <v>27.24</v>
      </c>
      <c r="AA67" s="15"/>
      <c r="AB67" s="69">
        <f t="shared" si="20"/>
        <v>0</v>
      </c>
      <c r="AC67" s="245"/>
      <c r="AD67" s="69">
        <f t="shared" si="21"/>
        <v>0</v>
      </c>
      <c r="AE67" s="70"/>
      <c r="AF67" s="71"/>
      <c r="AG67" s="435">
        <f t="shared" si="22"/>
        <v>5.0300000000012233</v>
      </c>
      <c r="AH67" s="436">
        <f t="shared" si="30"/>
        <v>0</v>
      </c>
      <c r="AI67" s="437">
        <f t="shared" si="10"/>
        <v>0</v>
      </c>
      <c r="AL67">
        <v>27.22</v>
      </c>
      <c r="AM67" s="15"/>
      <c r="AN67" s="69">
        <f t="shared" si="24"/>
        <v>0</v>
      </c>
      <c r="AO67" s="245"/>
      <c r="AP67" s="69">
        <f t="shared" si="25"/>
        <v>0</v>
      </c>
      <c r="AQ67" s="70"/>
      <c r="AR67" s="71"/>
      <c r="AS67" s="435">
        <f t="shared" si="26"/>
        <v>6505.58</v>
      </c>
      <c r="AT67" s="436">
        <f t="shared" si="31"/>
        <v>239</v>
      </c>
      <c r="AU67" s="437">
        <f t="shared" si="11"/>
        <v>0</v>
      </c>
    </row>
    <row r="68" spans="2:47" x14ac:dyDescent="0.25">
      <c r="B68">
        <v>27.22</v>
      </c>
      <c r="C68" s="15"/>
      <c r="D68" s="69">
        <f t="shared" si="12"/>
        <v>0</v>
      </c>
      <c r="E68" s="245"/>
      <c r="F68" s="69">
        <f t="shared" si="13"/>
        <v>0</v>
      </c>
      <c r="G68" s="70"/>
      <c r="H68" s="71"/>
      <c r="I68" s="435">
        <f t="shared" si="14"/>
        <v>0</v>
      </c>
      <c r="J68" s="436">
        <f t="shared" si="28"/>
        <v>0</v>
      </c>
      <c r="K68" s="437">
        <f t="shared" si="8"/>
        <v>0</v>
      </c>
      <c r="N68">
        <v>27.22</v>
      </c>
      <c r="O68" s="15"/>
      <c r="P68" s="69">
        <f t="shared" si="16"/>
        <v>0</v>
      </c>
      <c r="Q68" s="245"/>
      <c r="R68" s="69">
        <f t="shared" si="17"/>
        <v>0</v>
      </c>
      <c r="S68" s="70"/>
      <c r="T68" s="71"/>
      <c r="U68" s="435">
        <f t="shared" si="18"/>
        <v>4.9900000000003502</v>
      </c>
      <c r="V68" s="436">
        <f t="shared" si="29"/>
        <v>0</v>
      </c>
      <c r="W68" s="437">
        <f t="shared" si="9"/>
        <v>0</v>
      </c>
      <c r="Z68">
        <v>27.24</v>
      </c>
      <c r="AA68" s="15"/>
      <c r="AB68" s="69">
        <f t="shared" si="20"/>
        <v>0</v>
      </c>
      <c r="AC68" s="245"/>
      <c r="AD68" s="69">
        <f t="shared" si="21"/>
        <v>0</v>
      </c>
      <c r="AE68" s="70"/>
      <c r="AF68" s="71"/>
      <c r="AG68" s="435">
        <f t="shared" si="22"/>
        <v>5.0300000000012233</v>
      </c>
      <c r="AH68" s="436">
        <f t="shared" si="30"/>
        <v>0</v>
      </c>
      <c r="AI68" s="437">
        <f t="shared" si="10"/>
        <v>0</v>
      </c>
      <c r="AL68">
        <v>27.22</v>
      </c>
      <c r="AM68" s="15"/>
      <c r="AN68" s="69">
        <f t="shared" si="24"/>
        <v>0</v>
      </c>
      <c r="AO68" s="245"/>
      <c r="AP68" s="69">
        <f t="shared" si="25"/>
        <v>0</v>
      </c>
      <c r="AQ68" s="70"/>
      <c r="AR68" s="71"/>
      <c r="AS68" s="435">
        <f t="shared" si="26"/>
        <v>6505.58</v>
      </c>
      <c r="AT68" s="436">
        <f t="shared" si="31"/>
        <v>239</v>
      </c>
      <c r="AU68" s="437">
        <f t="shared" si="11"/>
        <v>0</v>
      </c>
    </row>
    <row r="69" spans="2:47" x14ac:dyDescent="0.25">
      <c r="B69">
        <v>27.22</v>
      </c>
      <c r="C69" s="15"/>
      <c r="D69" s="69">
        <f t="shared" si="12"/>
        <v>0</v>
      </c>
      <c r="E69" s="245"/>
      <c r="F69" s="69">
        <f t="shared" si="13"/>
        <v>0</v>
      </c>
      <c r="G69" s="70"/>
      <c r="H69" s="71"/>
      <c r="I69" s="435">
        <f t="shared" si="14"/>
        <v>0</v>
      </c>
      <c r="J69" s="436">
        <f t="shared" si="28"/>
        <v>0</v>
      </c>
      <c r="K69" s="437">
        <f t="shared" si="8"/>
        <v>0</v>
      </c>
      <c r="N69">
        <v>27.22</v>
      </c>
      <c r="O69" s="15"/>
      <c r="P69" s="69">
        <f t="shared" si="16"/>
        <v>0</v>
      </c>
      <c r="Q69" s="245"/>
      <c r="R69" s="69">
        <f t="shared" si="17"/>
        <v>0</v>
      </c>
      <c r="S69" s="70"/>
      <c r="T69" s="71"/>
      <c r="U69" s="435">
        <f t="shared" si="18"/>
        <v>4.9900000000003502</v>
      </c>
      <c r="V69" s="436">
        <f t="shared" si="29"/>
        <v>0</v>
      </c>
      <c r="W69" s="437">
        <f t="shared" si="9"/>
        <v>0</v>
      </c>
      <c r="Z69">
        <v>27.24</v>
      </c>
      <c r="AA69" s="15"/>
      <c r="AB69" s="69">
        <f t="shared" si="20"/>
        <v>0</v>
      </c>
      <c r="AC69" s="245"/>
      <c r="AD69" s="69">
        <f t="shared" si="21"/>
        <v>0</v>
      </c>
      <c r="AE69" s="70"/>
      <c r="AF69" s="71"/>
      <c r="AG69" s="435">
        <f t="shared" si="22"/>
        <v>5.0300000000012233</v>
      </c>
      <c r="AH69" s="436">
        <f t="shared" si="30"/>
        <v>0</v>
      </c>
      <c r="AI69" s="437">
        <f t="shared" si="10"/>
        <v>0</v>
      </c>
      <c r="AL69">
        <v>27.22</v>
      </c>
      <c r="AM69" s="15"/>
      <c r="AN69" s="69">
        <f t="shared" si="24"/>
        <v>0</v>
      </c>
      <c r="AO69" s="245"/>
      <c r="AP69" s="69">
        <f t="shared" si="25"/>
        <v>0</v>
      </c>
      <c r="AQ69" s="70"/>
      <c r="AR69" s="71"/>
      <c r="AS69" s="435">
        <f t="shared" si="26"/>
        <v>6505.58</v>
      </c>
      <c r="AT69" s="436">
        <f t="shared" si="31"/>
        <v>239</v>
      </c>
      <c r="AU69" s="437">
        <f t="shared" si="11"/>
        <v>0</v>
      </c>
    </row>
    <row r="70" spans="2:47" x14ac:dyDescent="0.25">
      <c r="B70">
        <v>27.22</v>
      </c>
      <c r="C70" s="15"/>
      <c r="D70" s="69">
        <f t="shared" si="12"/>
        <v>0</v>
      </c>
      <c r="E70" s="245"/>
      <c r="F70" s="69">
        <f t="shared" si="13"/>
        <v>0</v>
      </c>
      <c r="G70" s="70"/>
      <c r="H70" s="71"/>
      <c r="I70" s="435">
        <f t="shared" si="14"/>
        <v>0</v>
      </c>
      <c r="J70" s="436">
        <f t="shared" si="28"/>
        <v>0</v>
      </c>
      <c r="K70" s="437">
        <f t="shared" si="8"/>
        <v>0</v>
      </c>
      <c r="N70">
        <v>27.22</v>
      </c>
      <c r="O70" s="15"/>
      <c r="P70" s="69">
        <f t="shared" si="16"/>
        <v>0</v>
      </c>
      <c r="Q70" s="245"/>
      <c r="R70" s="69">
        <f t="shared" si="17"/>
        <v>0</v>
      </c>
      <c r="S70" s="70"/>
      <c r="T70" s="71"/>
      <c r="U70" s="435">
        <f t="shared" si="18"/>
        <v>4.9900000000003502</v>
      </c>
      <c r="V70" s="436">
        <f t="shared" si="29"/>
        <v>0</v>
      </c>
      <c r="W70" s="437">
        <f t="shared" si="9"/>
        <v>0</v>
      </c>
      <c r="Z70">
        <v>27.24</v>
      </c>
      <c r="AA70" s="15"/>
      <c r="AB70" s="69">
        <f t="shared" si="20"/>
        <v>0</v>
      </c>
      <c r="AC70" s="245"/>
      <c r="AD70" s="69">
        <f t="shared" si="21"/>
        <v>0</v>
      </c>
      <c r="AE70" s="70"/>
      <c r="AF70" s="71"/>
      <c r="AG70" s="435">
        <f t="shared" si="22"/>
        <v>5.0300000000012233</v>
      </c>
      <c r="AH70" s="436">
        <f t="shared" si="30"/>
        <v>0</v>
      </c>
      <c r="AI70" s="437">
        <f t="shared" si="10"/>
        <v>0</v>
      </c>
      <c r="AL70">
        <v>27.22</v>
      </c>
      <c r="AM70" s="15"/>
      <c r="AN70" s="69">
        <f t="shared" si="24"/>
        <v>0</v>
      </c>
      <c r="AO70" s="245"/>
      <c r="AP70" s="69">
        <f t="shared" si="25"/>
        <v>0</v>
      </c>
      <c r="AQ70" s="70"/>
      <c r="AR70" s="71"/>
      <c r="AS70" s="435">
        <f t="shared" si="26"/>
        <v>6505.58</v>
      </c>
      <c r="AT70" s="436">
        <f t="shared" si="31"/>
        <v>239</v>
      </c>
      <c r="AU70" s="437">
        <f t="shared" si="11"/>
        <v>0</v>
      </c>
    </row>
    <row r="71" spans="2:47" x14ac:dyDescent="0.25">
      <c r="B71">
        <v>27.22</v>
      </c>
      <c r="C71" s="15"/>
      <c r="D71" s="69">
        <f t="shared" si="12"/>
        <v>0</v>
      </c>
      <c r="E71" s="245"/>
      <c r="F71" s="69">
        <f t="shared" si="13"/>
        <v>0</v>
      </c>
      <c r="G71" s="70"/>
      <c r="H71" s="71"/>
      <c r="I71" s="435">
        <f t="shared" si="14"/>
        <v>0</v>
      </c>
      <c r="J71" s="436">
        <f t="shared" si="28"/>
        <v>0</v>
      </c>
      <c r="K71" s="437">
        <f t="shared" si="8"/>
        <v>0</v>
      </c>
      <c r="N71">
        <v>27.22</v>
      </c>
      <c r="O71" s="15"/>
      <c r="P71" s="69">
        <f t="shared" si="16"/>
        <v>0</v>
      </c>
      <c r="Q71" s="245"/>
      <c r="R71" s="69">
        <f t="shared" si="17"/>
        <v>0</v>
      </c>
      <c r="S71" s="70"/>
      <c r="T71" s="71"/>
      <c r="U71" s="435">
        <f t="shared" si="18"/>
        <v>4.9900000000003502</v>
      </c>
      <c r="V71" s="436">
        <f t="shared" si="29"/>
        <v>0</v>
      </c>
      <c r="W71" s="437">
        <f t="shared" si="9"/>
        <v>0</v>
      </c>
      <c r="Z71">
        <v>27.24</v>
      </c>
      <c r="AA71" s="15"/>
      <c r="AB71" s="69">
        <f t="shared" si="20"/>
        <v>0</v>
      </c>
      <c r="AC71" s="245"/>
      <c r="AD71" s="69">
        <f t="shared" si="21"/>
        <v>0</v>
      </c>
      <c r="AE71" s="70"/>
      <c r="AF71" s="71"/>
      <c r="AG71" s="435">
        <f t="shared" si="22"/>
        <v>5.0300000000012233</v>
      </c>
      <c r="AH71" s="436">
        <f t="shared" si="30"/>
        <v>0</v>
      </c>
      <c r="AI71" s="437">
        <f t="shared" si="10"/>
        <v>0</v>
      </c>
      <c r="AL71">
        <v>27.22</v>
      </c>
      <c r="AM71" s="15"/>
      <c r="AN71" s="69">
        <f t="shared" si="24"/>
        <v>0</v>
      </c>
      <c r="AO71" s="245"/>
      <c r="AP71" s="69">
        <f t="shared" si="25"/>
        <v>0</v>
      </c>
      <c r="AQ71" s="70"/>
      <c r="AR71" s="71"/>
      <c r="AS71" s="435">
        <f t="shared" si="26"/>
        <v>6505.58</v>
      </c>
      <c r="AT71" s="436">
        <f t="shared" si="31"/>
        <v>239</v>
      </c>
      <c r="AU71" s="437">
        <f t="shared" si="11"/>
        <v>0</v>
      </c>
    </row>
    <row r="72" spans="2:47" x14ac:dyDescent="0.25">
      <c r="B72">
        <v>27.22</v>
      </c>
      <c r="C72" s="15"/>
      <c r="D72" s="69">
        <f t="shared" si="12"/>
        <v>0</v>
      </c>
      <c r="E72" s="245"/>
      <c r="F72" s="69">
        <f t="shared" si="13"/>
        <v>0</v>
      </c>
      <c r="G72" s="70"/>
      <c r="H72" s="71"/>
      <c r="I72" s="435">
        <f t="shared" si="14"/>
        <v>0</v>
      </c>
      <c r="J72" s="436">
        <f t="shared" si="28"/>
        <v>0</v>
      </c>
      <c r="K72" s="437">
        <f t="shared" si="8"/>
        <v>0</v>
      </c>
      <c r="N72">
        <v>27.22</v>
      </c>
      <c r="O72" s="15"/>
      <c r="P72" s="69">
        <f t="shared" si="16"/>
        <v>0</v>
      </c>
      <c r="Q72" s="245"/>
      <c r="R72" s="69">
        <f t="shared" si="17"/>
        <v>0</v>
      </c>
      <c r="S72" s="70"/>
      <c r="T72" s="71"/>
      <c r="U72" s="435">
        <f t="shared" si="18"/>
        <v>4.9900000000003502</v>
      </c>
      <c r="V72" s="436">
        <f t="shared" si="29"/>
        <v>0</v>
      </c>
      <c r="W72" s="437">
        <f t="shared" si="9"/>
        <v>0</v>
      </c>
      <c r="Z72">
        <v>27.24</v>
      </c>
      <c r="AA72" s="15"/>
      <c r="AB72" s="69">
        <f t="shared" si="20"/>
        <v>0</v>
      </c>
      <c r="AC72" s="245"/>
      <c r="AD72" s="69">
        <f t="shared" si="21"/>
        <v>0</v>
      </c>
      <c r="AE72" s="70"/>
      <c r="AF72" s="71"/>
      <c r="AG72" s="435">
        <f t="shared" si="22"/>
        <v>5.0300000000012233</v>
      </c>
      <c r="AH72" s="436">
        <f t="shared" si="30"/>
        <v>0</v>
      </c>
      <c r="AI72" s="437">
        <f t="shared" si="10"/>
        <v>0</v>
      </c>
      <c r="AL72">
        <v>27.22</v>
      </c>
      <c r="AM72" s="15"/>
      <c r="AN72" s="69">
        <f t="shared" si="24"/>
        <v>0</v>
      </c>
      <c r="AO72" s="245"/>
      <c r="AP72" s="69">
        <f t="shared" si="25"/>
        <v>0</v>
      </c>
      <c r="AQ72" s="70"/>
      <c r="AR72" s="71"/>
      <c r="AS72" s="435">
        <f t="shared" si="26"/>
        <v>6505.58</v>
      </c>
      <c r="AT72" s="436">
        <f t="shared" si="31"/>
        <v>239</v>
      </c>
      <c r="AU72" s="437">
        <f t="shared" si="11"/>
        <v>0</v>
      </c>
    </row>
    <row r="73" spans="2:47" x14ac:dyDescent="0.25">
      <c r="B73">
        <v>27.22</v>
      </c>
      <c r="C73" s="15"/>
      <c r="D73" s="69">
        <f t="shared" si="12"/>
        <v>0</v>
      </c>
      <c r="E73" s="245"/>
      <c r="F73" s="69">
        <f t="shared" si="13"/>
        <v>0</v>
      </c>
      <c r="G73" s="70"/>
      <c r="H73" s="71"/>
      <c r="I73" s="435">
        <f t="shared" si="14"/>
        <v>0</v>
      </c>
      <c r="J73" s="436">
        <f t="shared" si="28"/>
        <v>0</v>
      </c>
      <c r="K73" s="437">
        <f t="shared" si="8"/>
        <v>0</v>
      </c>
      <c r="N73">
        <v>27.22</v>
      </c>
      <c r="O73" s="15"/>
      <c r="P73" s="69">
        <f t="shared" si="16"/>
        <v>0</v>
      </c>
      <c r="Q73" s="245"/>
      <c r="R73" s="69">
        <f t="shared" si="17"/>
        <v>0</v>
      </c>
      <c r="S73" s="70"/>
      <c r="T73" s="71"/>
      <c r="U73" s="435">
        <f t="shared" si="18"/>
        <v>4.9900000000003502</v>
      </c>
      <c r="V73" s="436">
        <f t="shared" si="29"/>
        <v>0</v>
      </c>
      <c r="W73" s="437">
        <f t="shared" si="9"/>
        <v>0</v>
      </c>
      <c r="Z73">
        <v>27.24</v>
      </c>
      <c r="AA73" s="15"/>
      <c r="AB73" s="69">
        <f t="shared" si="20"/>
        <v>0</v>
      </c>
      <c r="AC73" s="245"/>
      <c r="AD73" s="69">
        <f t="shared" si="21"/>
        <v>0</v>
      </c>
      <c r="AE73" s="70"/>
      <c r="AF73" s="71"/>
      <c r="AG73" s="435">
        <f t="shared" si="22"/>
        <v>5.0300000000012233</v>
      </c>
      <c r="AH73" s="436">
        <f t="shared" si="30"/>
        <v>0</v>
      </c>
      <c r="AI73" s="437">
        <f t="shared" si="10"/>
        <v>0</v>
      </c>
      <c r="AL73">
        <v>27.22</v>
      </c>
      <c r="AM73" s="15"/>
      <c r="AN73" s="69">
        <f t="shared" si="24"/>
        <v>0</v>
      </c>
      <c r="AO73" s="245"/>
      <c r="AP73" s="69">
        <f t="shared" si="25"/>
        <v>0</v>
      </c>
      <c r="AQ73" s="70"/>
      <c r="AR73" s="71"/>
      <c r="AS73" s="435">
        <f t="shared" si="26"/>
        <v>6505.58</v>
      </c>
      <c r="AT73" s="436">
        <f t="shared" si="31"/>
        <v>239</v>
      </c>
      <c r="AU73" s="437">
        <f t="shared" si="11"/>
        <v>0</v>
      </c>
    </row>
    <row r="74" spans="2:47" x14ac:dyDescent="0.25">
      <c r="B74">
        <v>27.22</v>
      </c>
      <c r="C74" s="15"/>
      <c r="D74" s="69">
        <f t="shared" si="12"/>
        <v>0</v>
      </c>
      <c r="E74" s="245"/>
      <c r="F74" s="69">
        <f t="shared" si="13"/>
        <v>0</v>
      </c>
      <c r="G74" s="70"/>
      <c r="H74" s="71"/>
      <c r="I74" s="435">
        <f t="shared" si="14"/>
        <v>0</v>
      </c>
      <c r="J74" s="436">
        <f t="shared" si="28"/>
        <v>0</v>
      </c>
      <c r="K74" s="437">
        <f t="shared" ref="K74:K114" si="32">F74*H74</f>
        <v>0</v>
      </c>
      <c r="N74">
        <v>27.22</v>
      </c>
      <c r="O74" s="15"/>
      <c r="P74" s="69">
        <f t="shared" si="16"/>
        <v>0</v>
      </c>
      <c r="Q74" s="245"/>
      <c r="R74" s="69">
        <f t="shared" si="17"/>
        <v>0</v>
      </c>
      <c r="S74" s="70"/>
      <c r="T74" s="71"/>
      <c r="U74" s="435">
        <f t="shared" si="18"/>
        <v>4.9900000000003502</v>
      </c>
      <c r="V74" s="436">
        <f t="shared" si="29"/>
        <v>0</v>
      </c>
      <c r="W74" s="437">
        <f t="shared" ref="W74:W114" si="33">R74*T74</f>
        <v>0</v>
      </c>
      <c r="Z74">
        <v>27.24</v>
      </c>
      <c r="AA74" s="15"/>
      <c r="AB74" s="69">
        <f t="shared" si="20"/>
        <v>0</v>
      </c>
      <c r="AC74" s="245"/>
      <c r="AD74" s="69">
        <f t="shared" si="21"/>
        <v>0</v>
      </c>
      <c r="AE74" s="70"/>
      <c r="AF74" s="71"/>
      <c r="AG74" s="435">
        <f t="shared" si="22"/>
        <v>5.0300000000012233</v>
      </c>
      <c r="AH74" s="436">
        <f t="shared" si="30"/>
        <v>0</v>
      </c>
      <c r="AI74" s="437">
        <f t="shared" ref="AI74:AI114" si="34">AD74*AF74</f>
        <v>0</v>
      </c>
      <c r="AL74">
        <v>27.22</v>
      </c>
      <c r="AM74" s="15"/>
      <c r="AN74" s="69">
        <f t="shared" si="24"/>
        <v>0</v>
      </c>
      <c r="AO74" s="245"/>
      <c r="AP74" s="69">
        <f t="shared" si="25"/>
        <v>0</v>
      </c>
      <c r="AQ74" s="70"/>
      <c r="AR74" s="71"/>
      <c r="AS74" s="435">
        <f t="shared" si="26"/>
        <v>6505.58</v>
      </c>
      <c r="AT74" s="436">
        <f t="shared" si="31"/>
        <v>239</v>
      </c>
      <c r="AU74" s="437">
        <f t="shared" ref="AU74:AU114" si="35">AP74*AR74</f>
        <v>0</v>
      </c>
    </row>
    <row r="75" spans="2:47" x14ac:dyDescent="0.25">
      <c r="B75">
        <v>27.22</v>
      </c>
      <c r="C75" s="15"/>
      <c r="D75" s="69">
        <f t="shared" ref="D75:D114" si="36">C75*B75</f>
        <v>0</v>
      </c>
      <c r="E75" s="245"/>
      <c r="F75" s="69">
        <f t="shared" ref="F75:F114" si="37">D75</f>
        <v>0</v>
      </c>
      <c r="G75" s="70"/>
      <c r="H75" s="71"/>
      <c r="I75" s="435">
        <f t="shared" ref="I75:I113" si="38">I74-F75</f>
        <v>0</v>
      </c>
      <c r="J75" s="436">
        <f t="shared" si="28"/>
        <v>0</v>
      </c>
      <c r="K75" s="437">
        <f t="shared" si="32"/>
        <v>0</v>
      </c>
      <c r="N75">
        <v>27.22</v>
      </c>
      <c r="O75" s="15"/>
      <c r="P75" s="69">
        <f t="shared" ref="P75:P114" si="39">O75*N75</f>
        <v>0</v>
      </c>
      <c r="Q75" s="245"/>
      <c r="R75" s="69">
        <f t="shared" ref="R75:R114" si="40">P75</f>
        <v>0</v>
      </c>
      <c r="S75" s="70"/>
      <c r="T75" s="71"/>
      <c r="U75" s="435">
        <f t="shared" ref="U75:U113" si="41">U74-R75</f>
        <v>4.9900000000003502</v>
      </c>
      <c r="V75" s="436">
        <f t="shared" si="29"/>
        <v>0</v>
      </c>
      <c r="W75" s="437">
        <f t="shared" si="33"/>
        <v>0</v>
      </c>
      <c r="Z75">
        <v>27.24</v>
      </c>
      <c r="AA75" s="15"/>
      <c r="AB75" s="69">
        <f t="shared" ref="AB75:AB114" si="42">AA75*Z75</f>
        <v>0</v>
      </c>
      <c r="AC75" s="245"/>
      <c r="AD75" s="69">
        <f t="shared" ref="AD75:AD114" si="43">AB75</f>
        <v>0</v>
      </c>
      <c r="AE75" s="70"/>
      <c r="AF75" s="71"/>
      <c r="AG75" s="435">
        <f t="shared" ref="AG75:AG113" si="44">AG74-AD75</f>
        <v>5.0300000000012233</v>
      </c>
      <c r="AH75" s="436">
        <f t="shared" si="30"/>
        <v>0</v>
      </c>
      <c r="AI75" s="437">
        <f t="shared" si="34"/>
        <v>0</v>
      </c>
      <c r="AL75">
        <v>27.22</v>
      </c>
      <c r="AM75" s="15"/>
      <c r="AN75" s="69">
        <f t="shared" ref="AN75:AN114" si="45">AM75*AL75</f>
        <v>0</v>
      </c>
      <c r="AO75" s="245"/>
      <c r="AP75" s="69">
        <f t="shared" ref="AP75:AP114" si="46">AN75</f>
        <v>0</v>
      </c>
      <c r="AQ75" s="70"/>
      <c r="AR75" s="71"/>
      <c r="AS75" s="435">
        <f t="shared" ref="AS75:AS113" si="47">AS74-AP75</f>
        <v>6505.58</v>
      </c>
      <c r="AT75" s="436">
        <f t="shared" si="31"/>
        <v>239</v>
      </c>
      <c r="AU75" s="437">
        <f t="shared" si="35"/>
        <v>0</v>
      </c>
    </row>
    <row r="76" spans="2:47" x14ac:dyDescent="0.25">
      <c r="B76">
        <v>27.22</v>
      </c>
      <c r="C76" s="15"/>
      <c r="D76" s="69">
        <f t="shared" si="36"/>
        <v>0</v>
      </c>
      <c r="E76" s="245"/>
      <c r="F76" s="69">
        <f t="shared" si="37"/>
        <v>0</v>
      </c>
      <c r="G76" s="70"/>
      <c r="H76" s="71"/>
      <c r="I76" s="435">
        <f t="shared" si="38"/>
        <v>0</v>
      </c>
      <c r="J76" s="436">
        <f t="shared" si="28"/>
        <v>0</v>
      </c>
      <c r="K76" s="437">
        <f t="shared" si="32"/>
        <v>0</v>
      </c>
      <c r="N76">
        <v>27.22</v>
      </c>
      <c r="O76" s="15"/>
      <c r="P76" s="69">
        <f t="shared" si="39"/>
        <v>0</v>
      </c>
      <c r="Q76" s="245"/>
      <c r="R76" s="69">
        <f t="shared" si="40"/>
        <v>0</v>
      </c>
      <c r="S76" s="70"/>
      <c r="T76" s="71"/>
      <c r="U76" s="435">
        <f t="shared" si="41"/>
        <v>4.9900000000003502</v>
      </c>
      <c r="V76" s="436">
        <f t="shared" si="29"/>
        <v>0</v>
      </c>
      <c r="W76" s="437">
        <f t="shared" si="33"/>
        <v>0</v>
      </c>
      <c r="Z76">
        <v>27.24</v>
      </c>
      <c r="AA76" s="15"/>
      <c r="AB76" s="69">
        <f t="shared" si="42"/>
        <v>0</v>
      </c>
      <c r="AC76" s="245"/>
      <c r="AD76" s="69">
        <f t="shared" si="43"/>
        <v>0</v>
      </c>
      <c r="AE76" s="70"/>
      <c r="AF76" s="71"/>
      <c r="AG76" s="435">
        <f t="shared" si="44"/>
        <v>5.0300000000012233</v>
      </c>
      <c r="AH76" s="436">
        <f t="shared" si="30"/>
        <v>0</v>
      </c>
      <c r="AI76" s="437">
        <f t="shared" si="34"/>
        <v>0</v>
      </c>
      <c r="AL76">
        <v>27.22</v>
      </c>
      <c r="AM76" s="15"/>
      <c r="AN76" s="69">
        <f t="shared" si="45"/>
        <v>0</v>
      </c>
      <c r="AO76" s="245"/>
      <c r="AP76" s="69">
        <f t="shared" si="46"/>
        <v>0</v>
      </c>
      <c r="AQ76" s="70"/>
      <c r="AR76" s="71"/>
      <c r="AS76" s="435">
        <f t="shared" si="47"/>
        <v>6505.58</v>
      </c>
      <c r="AT76" s="436">
        <f t="shared" si="31"/>
        <v>239</v>
      </c>
      <c r="AU76" s="437">
        <f t="shared" si="35"/>
        <v>0</v>
      </c>
    </row>
    <row r="77" spans="2:47" x14ac:dyDescent="0.25">
      <c r="B77">
        <v>27.22</v>
      </c>
      <c r="C77" s="15"/>
      <c r="D77" s="69">
        <f t="shared" si="36"/>
        <v>0</v>
      </c>
      <c r="E77" s="245"/>
      <c r="F77" s="69">
        <f t="shared" si="37"/>
        <v>0</v>
      </c>
      <c r="G77" s="70"/>
      <c r="H77" s="71"/>
      <c r="I77" s="435">
        <f t="shared" si="38"/>
        <v>0</v>
      </c>
      <c r="J77" s="436">
        <f t="shared" ref="J77:J113" si="48">J76-C77</f>
        <v>0</v>
      </c>
      <c r="K77" s="437">
        <f t="shared" si="32"/>
        <v>0</v>
      </c>
      <c r="N77">
        <v>27.22</v>
      </c>
      <c r="O77" s="15"/>
      <c r="P77" s="69">
        <f t="shared" si="39"/>
        <v>0</v>
      </c>
      <c r="Q77" s="245"/>
      <c r="R77" s="69">
        <f t="shared" si="40"/>
        <v>0</v>
      </c>
      <c r="S77" s="70"/>
      <c r="T77" s="71"/>
      <c r="U77" s="435">
        <f t="shared" si="41"/>
        <v>4.9900000000003502</v>
      </c>
      <c r="V77" s="436">
        <f t="shared" ref="V77:V113" si="49">V76-O77</f>
        <v>0</v>
      </c>
      <c r="W77" s="437">
        <f t="shared" si="33"/>
        <v>0</v>
      </c>
      <c r="Z77">
        <v>27.24</v>
      </c>
      <c r="AA77" s="15"/>
      <c r="AB77" s="69">
        <f t="shared" si="42"/>
        <v>0</v>
      </c>
      <c r="AC77" s="245"/>
      <c r="AD77" s="69">
        <f t="shared" si="43"/>
        <v>0</v>
      </c>
      <c r="AE77" s="70"/>
      <c r="AF77" s="71"/>
      <c r="AG77" s="435">
        <f t="shared" si="44"/>
        <v>5.0300000000012233</v>
      </c>
      <c r="AH77" s="436">
        <f t="shared" ref="AH77:AH113" si="50">AH76-AA77</f>
        <v>0</v>
      </c>
      <c r="AI77" s="437">
        <f t="shared" si="34"/>
        <v>0</v>
      </c>
      <c r="AL77">
        <v>27.22</v>
      </c>
      <c r="AM77" s="15"/>
      <c r="AN77" s="69">
        <f t="shared" si="45"/>
        <v>0</v>
      </c>
      <c r="AO77" s="245"/>
      <c r="AP77" s="69">
        <f t="shared" si="46"/>
        <v>0</v>
      </c>
      <c r="AQ77" s="70"/>
      <c r="AR77" s="71"/>
      <c r="AS77" s="435">
        <f t="shared" si="47"/>
        <v>6505.58</v>
      </c>
      <c r="AT77" s="436">
        <f t="shared" ref="AT77:AT113" si="51">AT76-AM77</f>
        <v>239</v>
      </c>
      <c r="AU77" s="437">
        <f t="shared" si="35"/>
        <v>0</v>
      </c>
    </row>
    <row r="78" spans="2:47" x14ac:dyDescent="0.25">
      <c r="B78">
        <v>27.22</v>
      </c>
      <c r="C78" s="15"/>
      <c r="D78" s="69">
        <f t="shared" si="36"/>
        <v>0</v>
      </c>
      <c r="E78" s="245"/>
      <c r="F78" s="69">
        <f t="shared" si="37"/>
        <v>0</v>
      </c>
      <c r="G78" s="70"/>
      <c r="H78" s="71"/>
      <c r="I78" s="435">
        <f t="shared" si="38"/>
        <v>0</v>
      </c>
      <c r="J78" s="436">
        <f t="shared" si="48"/>
        <v>0</v>
      </c>
      <c r="K78" s="437">
        <f t="shared" si="32"/>
        <v>0</v>
      </c>
      <c r="N78">
        <v>27.22</v>
      </c>
      <c r="O78" s="15"/>
      <c r="P78" s="69">
        <f t="shared" si="39"/>
        <v>0</v>
      </c>
      <c r="Q78" s="245"/>
      <c r="R78" s="69">
        <f t="shared" si="40"/>
        <v>0</v>
      </c>
      <c r="S78" s="70"/>
      <c r="T78" s="71"/>
      <c r="U78" s="435">
        <f t="shared" si="41"/>
        <v>4.9900000000003502</v>
      </c>
      <c r="V78" s="436">
        <f t="shared" si="49"/>
        <v>0</v>
      </c>
      <c r="W78" s="437">
        <f t="shared" si="33"/>
        <v>0</v>
      </c>
      <c r="Z78">
        <v>27.24</v>
      </c>
      <c r="AA78" s="15"/>
      <c r="AB78" s="69">
        <f t="shared" si="42"/>
        <v>0</v>
      </c>
      <c r="AC78" s="245"/>
      <c r="AD78" s="69">
        <f t="shared" si="43"/>
        <v>0</v>
      </c>
      <c r="AE78" s="70"/>
      <c r="AF78" s="71"/>
      <c r="AG78" s="435">
        <f t="shared" si="44"/>
        <v>5.0300000000012233</v>
      </c>
      <c r="AH78" s="436">
        <f t="shared" si="50"/>
        <v>0</v>
      </c>
      <c r="AI78" s="437">
        <f t="shared" si="34"/>
        <v>0</v>
      </c>
      <c r="AL78">
        <v>27.22</v>
      </c>
      <c r="AM78" s="15"/>
      <c r="AN78" s="69">
        <f t="shared" si="45"/>
        <v>0</v>
      </c>
      <c r="AO78" s="245"/>
      <c r="AP78" s="69">
        <f t="shared" si="46"/>
        <v>0</v>
      </c>
      <c r="AQ78" s="70"/>
      <c r="AR78" s="71"/>
      <c r="AS78" s="435">
        <f t="shared" si="47"/>
        <v>6505.58</v>
      </c>
      <c r="AT78" s="436">
        <f t="shared" si="51"/>
        <v>239</v>
      </c>
      <c r="AU78" s="437">
        <f t="shared" si="35"/>
        <v>0</v>
      </c>
    </row>
    <row r="79" spans="2:47" x14ac:dyDescent="0.25">
      <c r="B79">
        <v>27.22</v>
      </c>
      <c r="C79" s="15"/>
      <c r="D79" s="69">
        <f t="shared" si="36"/>
        <v>0</v>
      </c>
      <c r="E79" s="245"/>
      <c r="F79" s="69">
        <f t="shared" si="37"/>
        <v>0</v>
      </c>
      <c r="G79" s="70"/>
      <c r="H79" s="71"/>
      <c r="I79" s="435">
        <f t="shared" si="38"/>
        <v>0</v>
      </c>
      <c r="J79" s="436">
        <f t="shared" si="48"/>
        <v>0</v>
      </c>
      <c r="K79" s="437">
        <f t="shared" si="32"/>
        <v>0</v>
      </c>
      <c r="N79">
        <v>27.22</v>
      </c>
      <c r="O79" s="15"/>
      <c r="P79" s="69">
        <f t="shared" si="39"/>
        <v>0</v>
      </c>
      <c r="Q79" s="245"/>
      <c r="R79" s="69">
        <f t="shared" si="40"/>
        <v>0</v>
      </c>
      <c r="S79" s="70"/>
      <c r="T79" s="71"/>
      <c r="U79" s="435">
        <f t="shared" si="41"/>
        <v>4.9900000000003502</v>
      </c>
      <c r="V79" s="436">
        <f t="shared" si="49"/>
        <v>0</v>
      </c>
      <c r="W79" s="437">
        <f t="shared" si="33"/>
        <v>0</v>
      </c>
      <c r="Z79">
        <v>27.24</v>
      </c>
      <c r="AA79" s="15"/>
      <c r="AB79" s="69">
        <f t="shared" si="42"/>
        <v>0</v>
      </c>
      <c r="AC79" s="245"/>
      <c r="AD79" s="69">
        <f t="shared" si="43"/>
        <v>0</v>
      </c>
      <c r="AE79" s="70"/>
      <c r="AF79" s="71"/>
      <c r="AG79" s="435">
        <f t="shared" si="44"/>
        <v>5.0300000000012233</v>
      </c>
      <c r="AH79" s="436">
        <f t="shared" si="50"/>
        <v>0</v>
      </c>
      <c r="AI79" s="437">
        <f t="shared" si="34"/>
        <v>0</v>
      </c>
      <c r="AL79">
        <v>27.22</v>
      </c>
      <c r="AM79" s="15"/>
      <c r="AN79" s="69">
        <f t="shared" si="45"/>
        <v>0</v>
      </c>
      <c r="AO79" s="245"/>
      <c r="AP79" s="69">
        <f t="shared" si="46"/>
        <v>0</v>
      </c>
      <c r="AQ79" s="70"/>
      <c r="AR79" s="71"/>
      <c r="AS79" s="435">
        <f t="shared" si="47"/>
        <v>6505.58</v>
      </c>
      <c r="AT79" s="436">
        <f t="shared" si="51"/>
        <v>239</v>
      </c>
      <c r="AU79" s="437">
        <f t="shared" si="35"/>
        <v>0</v>
      </c>
    </row>
    <row r="80" spans="2:47" x14ac:dyDescent="0.25">
      <c r="B80">
        <v>27.22</v>
      </c>
      <c r="C80" s="15"/>
      <c r="D80" s="69">
        <f t="shared" si="36"/>
        <v>0</v>
      </c>
      <c r="E80" s="245"/>
      <c r="F80" s="69">
        <f t="shared" si="37"/>
        <v>0</v>
      </c>
      <c r="G80" s="70"/>
      <c r="H80" s="71"/>
      <c r="I80" s="435">
        <f t="shared" si="38"/>
        <v>0</v>
      </c>
      <c r="J80" s="436">
        <f t="shared" si="48"/>
        <v>0</v>
      </c>
      <c r="K80" s="437">
        <f t="shared" si="32"/>
        <v>0</v>
      </c>
      <c r="N80">
        <v>27.22</v>
      </c>
      <c r="O80" s="15"/>
      <c r="P80" s="69">
        <f t="shared" si="39"/>
        <v>0</v>
      </c>
      <c r="Q80" s="245"/>
      <c r="R80" s="69">
        <f t="shared" si="40"/>
        <v>0</v>
      </c>
      <c r="S80" s="70"/>
      <c r="T80" s="71"/>
      <c r="U80" s="435">
        <f t="shared" si="41"/>
        <v>4.9900000000003502</v>
      </c>
      <c r="V80" s="436">
        <f t="shared" si="49"/>
        <v>0</v>
      </c>
      <c r="W80" s="437">
        <f t="shared" si="33"/>
        <v>0</v>
      </c>
      <c r="Z80">
        <v>27.24</v>
      </c>
      <c r="AA80" s="15"/>
      <c r="AB80" s="69">
        <f t="shared" si="42"/>
        <v>0</v>
      </c>
      <c r="AC80" s="245"/>
      <c r="AD80" s="69">
        <f t="shared" si="43"/>
        <v>0</v>
      </c>
      <c r="AE80" s="70"/>
      <c r="AF80" s="71"/>
      <c r="AG80" s="435">
        <f t="shared" si="44"/>
        <v>5.0300000000012233</v>
      </c>
      <c r="AH80" s="436">
        <f t="shared" si="50"/>
        <v>0</v>
      </c>
      <c r="AI80" s="437">
        <f t="shared" si="34"/>
        <v>0</v>
      </c>
      <c r="AL80">
        <v>27.22</v>
      </c>
      <c r="AM80" s="15"/>
      <c r="AN80" s="69">
        <f t="shared" si="45"/>
        <v>0</v>
      </c>
      <c r="AO80" s="245"/>
      <c r="AP80" s="69">
        <f t="shared" si="46"/>
        <v>0</v>
      </c>
      <c r="AQ80" s="70"/>
      <c r="AR80" s="71"/>
      <c r="AS80" s="435">
        <f t="shared" si="47"/>
        <v>6505.58</v>
      </c>
      <c r="AT80" s="436">
        <f t="shared" si="51"/>
        <v>239</v>
      </c>
      <c r="AU80" s="437">
        <f t="shared" si="35"/>
        <v>0</v>
      </c>
    </row>
    <row r="81" spans="2:47" x14ac:dyDescent="0.25">
      <c r="B81">
        <v>27.22</v>
      </c>
      <c r="C81" s="15"/>
      <c r="D81" s="69">
        <f t="shared" si="36"/>
        <v>0</v>
      </c>
      <c r="E81" s="245"/>
      <c r="F81" s="69">
        <f t="shared" si="37"/>
        <v>0</v>
      </c>
      <c r="G81" s="70"/>
      <c r="H81" s="71"/>
      <c r="I81" s="435">
        <f t="shared" si="38"/>
        <v>0</v>
      </c>
      <c r="J81" s="436">
        <f t="shared" si="48"/>
        <v>0</v>
      </c>
      <c r="K81" s="437">
        <f t="shared" si="32"/>
        <v>0</v>
      </c>
      <c r="N81">
        <v>27.22</v>
      </c>
      <c r="O81" s="15"/>
      <c r="P81" s="69">
        <f t="shared" si="39"/>
        <v>0</v>
      </c>
      <c r="Q81" s="245"/>
      <c r="R81" s="69">
        <f t="shared" si="40"/>
        <v>0</v>
      </c>
      <c r="S81" s="70"/>
      <c r="T81" s="71"/>
      <c r="U81" s="435">
        <f t="shared" si="41"/>
        <v>4.9900000000003502</v>
      </c>
      <c r="V81" s="436">
        <f t="shared" si="49"/>
        <v>0</v>
      </c>
      <c r="W81" s="437">
        <f t="shared" si="33"/>
        <v>0</v>
      </c>
      <c r="Z81">
        <v>27.24</v>
      </c>
      <c r="AA81" s="15"/>
      <c r="AB81" s="69">
        <f t="shared" si="42"/>
        <v>0</v>
      </c>
      <c r="AC81" s="245"/>
      <c r="AD81" s="69">
        <f t="shared" si="43"/>
        <v>0</v>
      </c>
      <c r="AE81" s="70"/>
      <c r="AF81" s="71"/>
      <c r="AG81" s="435">
        <f t="shared" si="44"/>
        <v>5.0300000000012233</v>
      </c>
      <c r="AH81" s="436">
        <f t="shared" si="50"/>
        <v>0</v>
      </c>
      <c r="AI81" s="437">
        <f t="shared" si="34"/>
        <v>0</v>
      </c>
      <c r="AL81">
        <v>27.22</v>
      </c>
      <c r="AM81" s="15"/>
      <c r="AN81" s="69">
        <f t="shared" si="45"/>
        <v>0</v>
      </c>
      <c r="AO81" s="245"/>
      <c r="AP81" s="69">
        <f t="shared" si="46"/>
        <v>0</v>
      </c>
      <c r="AQ81" s="70"/>
      <c r="AR81" s="71"/>
      <c r="AS81" s="435">
        <f t="shared" si="47"/>
        <v>6505.58</v>
      </c>
      <c r="AT81" s="436">
        <f t="shared" si="51"/>
        <v>239</v>
      </c>
      <c r="AU81" s="437">
        <f t="shared" si="35"/>
        <v>0</v>
      </c>
    </row>
    <row r="82" spans="2:47" x14ac:dyDescent="0.25">
      <c r="B82">
        <v>27.22</v>
      </c>
      <c r="C82" s="15"/>
      <c r="D82" s="69">
        <f t="shared" si="36"/>
        <v>0</v>
      </c>
      <c r="E82" s="245"/>
      <c r="F82" s="69">
        <f t="shared" si="37"/>
        <v>0</v>
      </c>
      <c r="G82" s="70"/>
      <c r="H82" s="71"/>
      <c r="I82" s="435">
        <f t="shared" si="38"/>
        <v>0</v>
      </c>
      <c r="J82" s="436">
        <f t="shared" si="48"/>
        <v>0</v>
      </c>
      <c r="K82" s="437">
        <f t="shared" si="32"/>
        <v>0</v>
      </c>
      <c r="N82">
        <v>27.22</v>
      </c>
      <c r="O82" s="15"/>
      <c r="P82" s="69">
        <f t="shared" si="39"/>
        <v>0</v>
      </c>
      <c r="Q82" s="245"/>
      <c r="R82" s="69">
        <f t="shared" si="40"/>
        <v>0</v>
      </c>
      <c r="S82" s="70"/>
      <c r="T82" s="71"/>
      <c r="U82" s="435">
        <f t="shared" si="41"/>
        <v>4.9900000000003502</v>
      </c>
      <c r="V82" s="436">
        <f t="shared" si="49"/>
        <v>0</v>
      </c>
      <c r="W82" s="437">
        <f t="shared" si="33"/>
        <v>0</v>
      </c>
      <c r="Z82">
        <v>27.24</v>
      </c>
      <c r="AA82" s="15"/>
      <c r="AB82" s="69">
        <f t="shared" si="42"/>
        <v>0</v>
      </c>
      <c r="AC82" s="245"/>
      <c r="AD82" s="69">
        <f t="shared" si="43"/>
        <v>0</v>
      </c>
      <c r="AE82" s="70"/>
      <c r="AF82" s="71"/>
      <c r="AG82" s="435">
        <f t="shared" si="44"/>
        <v>5.0300000000012233</v>
      </c>
      <c r="AH82" s="436">
        <f t="shared" si="50"/>
        <v>0</v>
      </c>
      <c r="AI82" s="437">
        <f t="shared" si="34"/>
        <v>0</v>
      </c>
      <c r="AL82">
        <v>27.22</v>
      </c>
      <c r="AM82" s="15"/>
      <c r="AN82" s="69">
        <f t="shared" si="45"/>
        <v>0</v>
      </c>
      <c r="AO82" s="245"/>
      <c r="AP82" s="69">
        <f t="shared" si="46"/>
        <v>0</v>
      </c>
      <c r="AQ82" s="70"/>
      <c r="AR82" s="71"/>
      <c r="AS82" s="435">
        <f t="shared" si="47"/>
        <v>6505.58</v>
      </c>
      <c r="AT82" s="436">
        <f t="shared" si="51"/>
        <v>239</v>
      </c>
      <c r="AU82" s="437">
        <f t="shared" si="35"/>
        <v>0</v>
      </c>
    </row>
    <row r="83" spans="2:47" x14ac:dyDescent="0.25">
      <c r="B83">
        <v>27.22</v>
      </c>
      <c r="C83" s="15"/>
      <c r="D83" s="69">
        <f t="shared" si="36"/>
        <v>0</v>
      </c>
      <c r="E83" s="245"/>
      <c r="F83" s="69">
        <f t="shared" si="37"/>
        <v>0</v>
      </c>
      <c r="G83" s="70"/>
      <c r="H83" s="71"/>
      <c r="I83" s="435">
        <f t="shared" si="38"/>
        <v>0</v>
      </c>
      <c r="J83" s="436">
        <f t="shared" si="48"/>
        <v>0</v>
      </c>
      <c r="K83" s="437">
        <f t="shared" si="32"/>
        <v>0</v>
      </c>
      <c r="N83">
        <v>27.22</v>
      </c>
      <c r="O83" s="15"/>
      <c r="P83" s="69">
        <f t="shared" si="39"/>
        <v>0</v>
      </c>
      <c r="Q83" s="245"/>
      <c r="R83" s="69">
        <f t="shared" si="40"/>
        <v>0</v>
      </c>
      <c r="S83" s="70"/>
      <c r="T83" s="71"/>
      <c r="U83" s="435">
        <f t="shared" si="41"/>
        <v>4.9900000000003502</v>
      </c>
      <c r="V83" s="436">
        <f t="shared" si="49"/>
        <v>0</v>
      </c>
      <c r="W83" s="437">
        <f t="shared" si="33"/>
        <v>0</v>
      </c>
      <c r="Z83">
        <v>27.24</v>
      </c>
      <c r="AA83" s="15"/>
      <c r="AB83" s="69">
        <f t="shared" si="42"/>
        <v>0</v>
      </c>
      <c r="AC83" s="245"/>
      <c r="AD83" s="69">
        <f t="shared" si="43"/>
        <v>0</v>
      </c>
      <c r="AE83" s="70"/>
      <c r="AF83" s="71"/>
      <c r="AG83" s="435">
        <f t="shared" si="44"/>
        <v>5.0300000000012233</v>
      </c>
      <c r="AH83" s="436">
        <f t="shared" si="50"/>
        <v>0</v>
      </c>
      <c r="AI83" s="437">
        <f t="shared" si="34"/>
        <v>0</v>
      </c>
      <c r="AL83">
        <v>27.22</v>
      </c>
      <c r="AM83" s="15"/>
      <c r="AN83" s="69">
        <f t="shared" si="45"/>
        <v>0</v>
      </c>
      <c r="AO83" s="245"/>
      <c r="AP83" s="69">
        <f t="shared" si="46"/>
        <v>0</v>
      </c>
      <c r="AQ83" s="70"/>
      <c r="AR83" s="71"/>
      <c r="AS83" s="435">
        <f t="shared" si="47"/>
        <v>6505.58</v>
      </c>
      <c r="AT83" s="436">
        <f t="shared" si="51"/>
        <v>239</v>
      </c>
      <c r="AU83" s="437">
        <f t="shared" si="35"/>
        <v>0</v>
      </c>
    </row>
    <row r="84" spans="2:47" x14ac:dyDescent="0.25">
      <c r="B84">
        <v>27.22</v>
      </c>
      <c r="C84" s="15"/>
      <c r="D84" s="69">
        <f t="shared" si="36"/>
        <v>0</v>
      </c>
      <c r="E84" s="245"/>
      <c r="F84" s="69">
        <f t="shared" si="37"/>
        <v>0</v>
      </c>
      <c r="G84" s="70"/>
      <c r="H84" s="71"/>
      <c r="I84" s="435">
        <f t="shared" si="38"/>
        <v>0</v>
      </c>
      <c r="J84" s="436">
        <f t="shared" si="48"/>
        <v>0</v>
      </c>
      <c r="K84" s="437">
        <f t="shared" si="32"/>
        <v>0</v>
      </c>
      <c r="N84">
        <v>27.22</v>
      </c>
      <c r="O84" s="15"/>
      <c r="P84" s="69">
        <f t="shared" si="39"/>
        <v>0</v>
      </c>
      <c r="Q84" s="245"/>
      <c r="R84" s="69">
        <f t="shared" si="40"/>
        <v>0</v>
      </c>
      <c r="S84" s="70"/>
      <c r="T84" s="71"/>
      <c r="U84" s="435">
        <f t="shared" si="41"/>
        <v>4.9900000000003502</v>
      </c>
      <c r="V84" s="436">
        <f t="shared" si="49"/>
        <v>0</v>
      </c>
      <c r="W84" s="437">
        <f t="shared" si="33"/>
        <v>0</v>
      </c>
      <c r="Z84">
        <v>27.24</v>
      </c>
      <c r="AA84" s="15"/>
      <c r="AB84" s="69">
        <f t="shared" si="42"/>
        <v>0</v>
      </c>
      <c r="AC84" s="245"/>
      <c r="AD84" s="69">
        <f t="shared" si="43"/>
        <v>0</v>
      </c>
      <c r="AE84" s="70"/>
      <c r="AF84" s="71"/>
      <c r="AG84" s="435">
        <f t="shared" si="44"/>
        <v>5.0300000000012233</v>
      </c>
      <c r="AH84" s="436">
        <f t="shared" si="50"/>
        <v>0</v>
      </c>
      <c r="AI84" s="437">
        <f t="shared" si="34"/>
        <v>0</v>
      </c>
      <c r="AL84">
        <v>27.22</v>
      </c>
      <c r="AM84" s="15"/>
      <c r="AN84" s="69">
        <f t="shared" si="45"/>
        <v>0</v>
      </c>
      <c r="AO84" s="245"/>
      <c r="AP84" s="69">
        <f t="shared" si="46"/>
        <v>0</v>
      </c>
      <c r="AQ84" s="70"/>
      <c r="AR84" s="71"/>
      <c r="AS84" s="435">
        <f t="shared" si="47"/>
        <v>6505.58</v>
      </c>
      <c r="AT84" s="436">
        <f t="shared" si="51"/>
        <v>239</v>
      </c>
      <c r="AU84" s="437">
        <f t="shared" si="35"/>
        <v>0</v>
      </c>
    </row>
    <row r="85" spans="2:47" x14ac:dyDescent="0.25">
      <c r="B85">
        <v>27.22</v>
      </c>
      <c r="C85" s="15"/>
      <c r="D85" s="69">
        <f t="shared" si="36"/>
        <v>0</v>
      </c>
      <c r="E85" s="245"/>
      <c r="F85" s="69">
        <f t="shared" si="37"/>
        <v>0</v>
      </c>
      <c r="G85" s="70"/>
      <c r="H85" s="71"/>
      <c r="I85" s="435">
        <f t="shared" si="38"/>
        <v>0</v>
      </c>
      <c r="J85" s="436">
        <f t="shared" si="48"/>
        <v>0</v>
      </c>
      <c r="K85" s="437">
        <f t="shared" si="32"/>
        <v>0</v>
      </c>
      <c r="N85">
        <v>27.22</v>
      </c>
      <c r="O85" s="15"/>
      <c r="P85" s="69">
        <f t="shared" si="39"/>
        <v>0</v>
      </c>
      <c r="Q85" s="245"/>
      <c r="R85" s="69">
        <f t="shared" si="40"/>
        <v>0</v>
      </c>
      <c r="S85" s="70"/>
      <c r="T85" s="71"/>
      <c r="U85" s="435">
        <f t="shared" si="41"/>
        <v>4.9900000000003502</v>
      </c>
      <c r="V85" s="436">
        <f t="shared" si="49"/>
        <v>0</v>
      </c>
      <c r="W85" s="437">
        <f t="shared" si="33"/>
        <v>0</v>
      </c>
      <c r="Z85">
        <v>27.24</v>
      </c>
      <c r="AA85" s="15"/>
      <c r="AB85" s="69">
        <f t="shared" si="42"/>
        <v>0</v>
      </c>
      <c r="AC85" s="245"/>
      <c r="AD85" s="69">
        <f t="shared" si="43"/>
        <v>0</v>
      </c>
      <c r="AE85" s="70"/>
      <c r="AF85" s="71"/>
      <c r="AG85" s="435">
        <f t="shared" si="44"/>
        <v>5.0300000000012233</v>
      </c>
      <c r="AH85" s="436">
        <f t="shared" si="50"/>
        <v>0</v>
      </c>
      <c r="AI85" s="437">
        <f t="shared" si="34"/>
        <v>0</v>
      </c>
      <c r="AL85">
        <v>27.22</v>
      </c>
      <c r="AM85" s="15"/>
      <c r="AN85" s="69">
        <f t="shared" si="45"/>
        <v>0</v>
      </c>
      <c r="AO85" s="245"/>
      <c r="AP85" s="69">
        <f t="shared" si="46"/>
        <v>0</v>
      </c>
      <c r="AQ85" s="70"/>
      <c r="AR85" s="71"/>
      <c r="AS85" s="435">
        <f t="shared" si="47"/>
        <v>6505.58</v>
      </c>
      <c r="AT85" s="436">
        <f t="shared" si="51"/>
        <v>239</v>
      </c>
      <c r="AU85" s="437">
        <f t="shared" si="35"/>
        <v>0</v>
      </c>
    </row>
    <row r="86" spans="2:47" x14ac:dyDescent="0.25">
      <c r="B86">
        <v>27.22</v>
      </c>
      <c r="C86" s="15"/>
      <c r="D86" s="69">
        <f t="shared" si="36"/>
        <v>0</v>
      </c>
      <c r="E86" s="245"/>
      <c r="F86" s="69">
        <f t="shared" si="37"/>
        <v>0</v>
      </c>
      <c r="G86" s="70"/>
      <c r="H86" s="71"/>
      <c r="I86" s="435">
        <f t="shared" si="38"/>
        <v>0</v>
      </c>
      <c r="J86" s="436">
        <f t="shared" si="48"/>
        <v>0</v>
      </c>
      <c r="K86" s="437">
        <f t="shared" si="32"/>
        <v>0</v>
      </c>
      <c r="N86">
        <v>27.22</v>
      </c>
      <c r="O86" s="15"/>
      <c r="P86" s="69">
        <f t="shared" si="39"/>
        <v>0</v>
      </c>
      <c r="Q86" s="245"/>
      <c r="R86" s="69">
        <f t="shared" si="40"/>
        <v>0</v>
      </c>
      <c r="S86" s="70"/>
      <c r="T86" s="71"/>
      <c r="U86" s="435">
        <f t="shared" si="41"/>
        <v>4.9900000000003502</v>
      </c>
      <c r="V86" s="436">
        <f t="shared" si="49"/>
        <v>0</v>
      </c>
      <c r="W86" s="437">
        <f t="shared" si="33"/>
        <v>0</v>
      </c>
      <c r="Z86">
        <v>27.24</v>
      </c>
      <c r="AA86" s="15"/>
      <c r="AB86" s="69">
        <f t="shared" si="42"/>
        <v>0</v>
      </c>
      <c r="AC86" s="245"/>
      <c r="AD86" s="69">
        <f t="shared" si="43"/>
        <v>0</v>
      </c>
      <c r="AE86" s="70"/>
      <c r="AF86" s="71"/>
      <c r="AG86" s="435">
        <f t="shared" si="44"/>
        <v>5.0300000000012233</v>
      </c>
      <c r="AH86" s="436">
        <f t="shared" si="50"/>
        <v>0</v>
      </c>
      <c r="AI86" s="437">
        <f t="shared" si="34"/>
        <v>0</v>
      </c>
      <c r="AL86">
        <v>27.22</v>
      </c>
      <c r="AM86" s="15"/>
      <c r="AN86" s="69">
        <f t="shared" si="45"/>
        <v>0</v>
      </c>
      <c r="AO86" s="245"/>
      <c r="AP86" s="69">
        <f t="shared" si="46"/>
        <v>0</v>
      </c>
      <c r="AQ86" s="70"/>
      <c r="AR86" s="71"/>
      <c r="AS86" s="435">
        <f t="shared" si="47"/>
        <v>6505.58</v>
      </c>
      <c r="AT86" s="436">
        <f t="shared" si="51"/>
        <v>239</v>
      </c>
      <c r="AU86" s="437">
        <f t="shared" si="35"/>
        <v>0</v>
      </c>
    </row>
    <row r="87" spans="2:47" x14ac:dyDescent="0.25">
      <c r="B87">
        <v>27.22</v>
      </c>
      <c r="C87" s="15"/>
      <c r="D87" s="69">
        <f t="shared" si="36"/>
        <v>0</v>
      </c>
      <c r="E87" s="245"/>
      <c r="F87" s="69">
        <f t="shared" si="37"/>
        <v>0</v>
      </c>
      <c r="G87" s="70"/>
      <c r="H87" s="71"/>
      <c r="I87" s="435">
        <f t="shared" si="38"/>
        <v>0</v>
      </c>
      <c r="J87" s="436">
        <f t="shared" si="48"/>
        <v>0</v>
      </c>
      <c r="K87" s="437">
        <f t="shared" si="32"/>
        <v>0</v>
      </c>
      <c r="N87">
        <v>27.22</v>
      </c>
      <c r="O87" s="15"/>
      <c r="P87" s="69">
        <f t="shared" si="39"/>
        <v>0</v>
      </c>
      <c r="Q87" s="245"/>
      <c r="R87" s="69">
        <f t="shared" si="40"/>
        <v>0</v>
      </c>
      <c r="S87" s="70"/>
      <c r="T87" s="71"/>
      <c r="U87" s="435">
        <f t="shared" si="41"/>
        <v>4.9900000000003502</v>
      </c>
      <c r="V87" s="436">
        <f t="shared" si="49"/>
        <v>0</v>
      </c>
      <c r="W87" s="437">
        <f t="shared" si="33"/>
        <v>0</v>
      </c>
      <c r="Z87">
        <v>27.24</v>
      </c>
      <c r="AA87" s="15"/>
      <c r="AB87" s="69">
        <f t="shared" si="42"/>
        <v>0</v>
      </c>
      <c r="AC87" s="245"/>
      <c r="AD87" s="69">
        <f t="shared" si="43"/>
        <v>0</v>
      </c>
      <c r="AE87" s="70"/>
      <c r="AF87" s="71"/>
      <c r="AG87" s="435">
        <f t="shared" si="44"/>
        <v>5.0300000000012233</v>
      </c>
      <c r="AH87" s="436">
        <f t="shared" si="50"/>
        <v>0</v>
      </c>
      <c r="AI87" s="437">
        <f t="shared" si="34"/>
        <v>0</v>
      </c>
      <c r="AL87">
        <v>27.22</v>
      </c>
      <c r="AM87" s="15"/>
      <c r="AN87" s="69">
        <f t="shared" si="45"/>
        <v>0</v>
      </c>
      <c r="AO87" s="245"/>
      <c r="AP87" s="69">
        <f t="shared" si="46"/>
        <v>0</v>
      </c>
      <c r="AQ87" s="70"/>
      <c r="AR87" s="71"/>
      <c r="AS87" s="435">
        <f t="shared" si="47"/>
        <v>6505.58</v>
      </c>
      <c r="AT87" s="436">
        <f t="shared" si="51"/>
        <v>239</v>
      </c>
      <c r="AU87" s="437">
        <f t="shared" si="35"/>
        <v>0</v>
      </c>
    </row>
    <row r="88" spans="2:47" x14ac:dyDescent="0.25">
      <c r="B88">
        <v>27.22</v>
      </c>
      <c r="C88" s="15"/>
      <c r="D88" s="69">
        <f t="shared" si="36"/>
        <v>0</v>
      </c>
      <c r="E88" s="245"/>
      <c r="F88" s="69">
        <f t="shared" si="37"/>
        <v>0</v>
      </c>
      <c r="G88" s="70"/>
      <c r="H88" s="71"/>
      <c r="I88" s="435">
        <f t="shared" si="38"/>
        <v>0</v>
      </c>
      <c r="J88" s="436">
        <f t="shared" si="48"/>
        <v>0</v>
      </c>
      <c r="K88" s="437">
        <f t="shared" si="32"/>
        <v>0</v>
      </c>
      <c r="N88">
        <v>27.22</v>
      </c>
      <c r="O88" s="15"/>
      <c r="P88" s="69">
        <f t="shared" si="39"/>
        <v>0</v>
      </c>
      <c r="Q88" s="245"/>
      <c r="R88" s="69">
        <f t="shared" si="40"/>
        <v>0</v>
      </c>
      <c r="S88" s="70"/>
      <c r="T88" s="71"/>
      <c r="U88" s="435">
        <f t="shared" si="41"/>
        <v>4.9900000000003502</v>
      </c>
      <c r="V88" s="436">
        <f t="shared" si="49"/>
        <v>0</v>
      </c>
      <c r="W88" s="437">
        <f t="shared" si="33"/>
        <v>0</v>
      </c>
      <c r="Z88">
        <v>27.24</v>
      </c>
      <c r="AA88" s="15"/>
      <c r="AB88" s="69">
        <f t="shared" si="42"/>
        <v>0</v>
      </c>
      <c r="AC88" s="245"/>
      <c r="AD88" s="69">
        <f t="shared" si="43"/>
        <v>0</v>
      </c>
      <c r="AE88" s="70"/>
      <c r="AF88" s="71"/>
      <c r="AG88" s="435">
        <f t="shared" si="44"/>
        <v>5.0300000000012233</v>
      </c>
      <c r="AH88" s="436">
        <f t="shared" si="50"/>
        <v>0</v>
      </c>
      <c r="AI88" s="437">
        <f t="shared" si="34"/>
        <v>0</v>
      </c>
      <c r="AL88">
        <v>27.22</v>
      </c>
      <c r="AM88" s="15"/>
      <c r="AN88" s="69">
        <f t="shared" si="45"/>
        <v>0</v>
      </c>
      <c r="AO88" s="245"/>
      <c r="AP88" s="69">
        <f t="shared" si="46"/>
        <v>0</v>
      </c>
      <c r="AQ88" s="70"/>
      <c r="AR88" s="71"/>
      <c r="AS88" s="435">
        <f t="shared" si="47"/>
        <v>6505.58</v>
      </c>
      <c r="AT88" s="436">
        <f t="shared" si="51"/>
        <v>239</v>
      </c>
      <c r="AU88" s="437">
        <f t="shared" si="35"/>
        <v>0</v>
      </c>
    </row>
    <row r="89" spans="2:47" x14ac:dyDescent="0.25">
      <c r="B89">
        <v>27.22</v>
      </c>
      <c r="C89" s="15"/>
      <c r="D89" s="69">
        <f t="shared" si="36"/>
        <v>0</v>
      </c>
      <c r="E89" s="245"/>
      <c r="F89" s="69">
        <f t="shared" si="37"/>
        <v>0</v>
      </c>
      <c r="G89" s="70"/>
      <c r="H89" s="71"/>
      <c r="I89" s="435">
        <f t="shared" si="38"/>
        <v>0</v>
      </c>
      <c r="J89" s="436">
        <f t="shared" si="48"/>
        <v>0</v>
      </c>
      <c r="K89" s="437">
        <f t="shared" si="32"/>
        <v>0</v>
      </c>
      <c r="N89">
        <v>27.22</v>
      </c>
      <c r="O89" s="15"/>
      <c r="P89" s="69">
        <f t="shared" si="39"/>
        <v>0</v>
      </c>
      <c r="Q89" s="245"/>
      <c r="R89" s="69">
        <f t="shared" si="40"/>
        <v>0</v>
      </c>
      <c r="S89" s="70"/>
      <c r="T89" s="71"/>
      <c r="U89" s="435">
        <f t="shared" si="41"/>
        <v>4.9900000000003502</v>
      </c>
      <c r="V89" s="436">
        <f t="shared" si="49"/>
        <v>0</v>
      </c>
      <c r="W89" s="437">
        <f t="shared" si="33"/>
        <v>0</v>
      </c>
      <c r="Z89">
        <v>27.24</v>
      </c>
      <c r="AA89" s="15"/>
      <c r="AB89" s="69">
        <f t="shared" si="42"/>
        <v>0</v>
      </c>
      <c r="AC89" s="245"/>
      <c r="AD89" s="69">
        <f t="shared" si="43"/>
        <v>0</v>
      </c>
      <c r="AE89" s="70"/>
      <c r="AF89" s="71"/>
      <c r="AG89" s="435">
        <f t="shared" si="44"/>
        <v>5.0300000000012233</v>
      </c>
      <c r="AH89" s="436">
        <f t="shared" si="50"/>
        <v>0</v>
      </c>
      <c r="AI89" s="437">
        <f t="shared" si="34"/>
        <v>0</v>
      </c>
      <c r="AL89">
        <v>27.22</v>
      </c>
      <c r="AM89" s="15"/>
      <c r="AN89" s="69">
        <f t="shared" si="45"/>
        <v>0</v>
      </c>
      <c r="AO89" s="245"/>
      <c r="AP89" s="69">
        <f t="shared" si="46"/>
        <v>0</v>
      </c>
      <c r="AQ89" s="70"/>
      <c r="AR89" s="71"/>
      <c r="AS89" s="435">
        <f t="shared" si="47"/>
        <v>6505.58</v>
      </c>
      <c r="AT89" s="436">
        <f t="shared" si="51"/>
        <v>239</v>
      </c>
      <c r="AU89" s="437">
        <f t="shared" si="35"/>
        <v>0</v>
      </c>
    </row>
    <row r="90" spans="2:47" x14ac:dyDescent="0.25">
      <c r="B90">
        <v>27.22</v>
      </c>
      <c r="C90" s="15"/>
      <c r="D90" s="69">
        <f t="shared" si="36"/>
        <v>0</v>
      </c>
      <c r="E90" s="245"/>
      <c r="F90" s="69">
        <f t="shared" si="37"/>
        <v>0</v>
      </c>
      <c r="G90" s="70"/>
      <c r="H90" s="71"/>
      <c r="I90" s="435">
        <f t="shared" si="38"/>
        <v>0</v>
      </c>
      <c r="J90" s="436">
        <f t="shared" si="48"/>
        <v>0</v>
      </c>
      <c r="K90" s="437">
        <f t="shared" si="32"/>
        <v>0</v>
      </c>
      <c r="N90">
        <v>27.22</v>
      </c>
      <c r="O90" s="15"/>
      <c r="P90" s="69">
        <f t="shared" si="39"/>
        <v>0</v>
      </c>
      <c r="Q90" s="245"/>
      <c r="R90" s="69">
        <f t="shared" si="40"/>
        <v>0</v>
      </c>
      <c r="S90" s="70"/>
      <c r="T90" s="71"/>
      <c r="U90" s="435">
        <f t="shared" si="41"/>
        <v>4.9900000000003502</v>
      </c>
      <c r="V90" s="436">
        <f t="shared" si="49"/>
        <v>0</v>
      </c>
      <c r="W90" s="437">
        <f t="shared" si="33"/>
        <v>0</v>
      </c>
      <c r="Z90">
        <v>27.24</v>
      </c>
      <c r="AA90" s="15"/>
      <c r="AB90" s="69">
        <f t="shared" si="42"/>
        <v>0</v>
      </c>
      <c r="AC90" s="245"/>
      <c r="AD90" s="69">
        <f t="shared" si="43"/>
        <v>0</v>
      </c>
      <c r="AE90" s="70"/>
      <c r="AF90" s="71"/>
      <c r="AG90" s="435">
        <f t="shared" si="44"/>
        <v>5.0300000000012233</v>
      </c>
      <c r="AH90" s="436">
        <f t="shared" si="50"/>
        <v>0</v>
      </c>
      <c r="AI90" s="437">
        <f t="shared" si="34"/>
        <v>0</v>
      </c>
      <c r="AL90">
        <v>27.22</v>
      </c>
      <c r="AM90" s="15"/>
      <c r="AN90" s="69">
        <f t="shared" si="45"/>
        <v>0</v>
      </c>
      <c r="AO90" s="245"/>
      <c r="AP90" s="69">
        <f t="shared" si="46"/>
        <v>0</v>
      </c>
      <c r="AQ90" s="70"/>
      <c r="AR90" s="71"/>
      <c r="AS90" s="435">
        <f t="shared" si="47"/>
        <v>6505.58</v>
      </c>
      <c r="AT90" s="436">
        <f t="shared" si="51"/>
        <v>239</v>
      </c>
      <c r="AU90" s="437">
        <f t="shared" si="35"/>
        <v>0</v>
      </c>
    </row>
    <row r="91" spans="2:47" x14ac:dyDescent="0.25">
      <c r="B91">
        <v>27.22</v>
      </c>
      <c r="C91" s="15"/>
      <c r="D91" s="69">
        <f t="shared" si="36"/>
        <v>0</v>
      </c>
      <c r="E91" s="245"/>
      <c r="F91" s="69">
        <f t="shared" si="37"/>
        <v>0</v>
      </c>
      <c r="G91" s="70"/>
      <c r="H91" s="71"/>
      <c r="I91" s="435">
        <f t="shared" si="38"/>
        <v>0</v>
      </c>
      <c r="J91" s="436">
        <f t="shared" si="48"/>
        <v>0</v>
      </c>
      <c r="K91" s="437">
        <f t="shared" si="32"/>
        <v>0</v>
      </c>
      <c r="N91">
        <v>27.22</v>
      </c>
      <c r="O91" s="15"/>
      <c r="P91" s="69">
        <f t="shared" si="39"/>
        <v>0</v>
      </c>
      <c r="Q91" s="245"/>
      <c r="R91" s="69">
        <f t="shared" si="40"/>
        <v>0</v>
      </c>
      <c r="S91" s="70"/>
      <c r="T91" s="71"/>
      <c r="U91" s="435">
        <f t="shared" si="41"/>
        <v>4.9900000000003502</v>
      </c>
      <c r="V91" s="436">
        <f t="shared" si="49"/>
        <v>0</v>
      </c>
      <c r="W91" s="437">
        <f t="shared" si="33"/>
        <v>0</v>
      </c>
      <c r="Z91">
        <v>27.24</v>
      </c>
      <c r="AA91" s="15"/>
      <c r="AB91" s="69">
        <f t="shared" si="42"/>
        <v>0</v>
      </c>
      <c r="AC91" s="245"/>
      <c r="AD91" s="69">
        <f t="shared" si="43"/>
        <v>0</v>
      </c>
      <c r="AE91" s="70"/>
      <c r="AF91" s="71"/>
      <c r="AG91" s="435">
        <f t="shared" si="44"/>
        <v>5.0300000000012233</v>
      </c>
      <c r="AH91" s="436">
        <f t="shared" si="50"/>
        <v>0</v>
      </c>
      <c r="AI91" s="437">
        <f t="shared" si="34"/>
        <v>0</v>
      </c>
      <c r="AL91">
        <v>27.22</v>
      </c>
      <c r="AM91" s="15"/>
      <c r="AN91" s="69">
        <f t="shared" si="45"/>
        <v>0</v>
      </c>
      <c r="AO91" s="245"/>
      <c r="AP91" s="69">
        <f t="shared" si="46"/>
        <v>0</v>
      </c>
      <c r="AQ91" s="70"/>
      <c r="AR91" s="71"/>
      <c r="AS91" s="435">
        <f t="shared" si="47"/>
        <v>6505.58</v>
      </c>
      <c r="AT91" s="436">
        <f t="shared" si="51"/>
        <v>239</v>
      </c>
      <c r="AU91" s="437">
        <f t="shared" si="35"/>
        <v>0</v>
      </c>
    </row>
    <row r="92" spans="2:47" x14ac:dyDescent="0.25">
      <c r="B92">
        <v>27.22</v>
      </c>
      <c r="C92" s="15"/>
      <c r="D92" s="69">
        <f t="shared" si="36"/>
        <v>0</v>
      </c>
      <c r="E92" s="245"/>
      <c r="F92" s="69">
        <f t="shared" si="37"/>
        <v>0</v>
      </c>
      <c r="G92" s="70"/>
      <c r="H92" s="71"/>
      <c r="I92" s="435">
        <f t="shared" si="38"/>
        <v>0</v>
      </c>
      <c r="J92" s="436">
        <f t="shared" si="48"/>
        <v>0</v>
      </c>
      <c r="K92" s="437">
        <f t="shared" si="32"/>
        <v>0</v>
      </c>
      <c r="N92">
        <v>27.22</v>
      </c>
      <c r="O92" s="15"/>
      <c r="P92" s="69">
        <f t="shared" si="39"/>
        <v>0</v>
      </c>
      <c r="Q92" s="245"/>
      <c r="R92" s="69">
        <f t="shared" si="40"/>
        <v>0</v>
      </c>
      <c r="S92" s="70"/>
      <c r="T92" s="71"/>
      <c r="U92" s="435">
        <f t="shared" si="41"/>
        <v>4.9900000000003502</v>
      </c>
      <c r="V92" s="436">
        <f t="shared" si="49"/>
        <v>0</v>
      </c>
      <c r="W92" s="437">
        <f t="shared" si="33"/>
        <v>0</v>
      </c>
      <c r="Z92">
        <v>27.24</v>
      </c>
      <c r="AA92" s="15"/>
      <c r="AB92" s="69">
        <f t="shared" si="42"/>
        <v>0</v>
      </c>
      <c r="AC92" s="245"/>
      <c r="AD92" s="69">
        <f t="shared" si="43"/>
        <v>0</v>
      </c>
      <c r="AE92" s="70"/>
      <c r="AF92" s="71"/>
      <c r="AG92" s="435">
        <f t="shared" si="44"/>
        <v>5.0300000000012233</v>
      </c>
      <c r="AH92" s="436">
        <f t="shared" si="50"/>
        <v>0</v>
      </c>
      <c r="AI92" s="437">
        <f t="shared" si="34"/>
        <v>0</v>
      </c>
      <c r="AL92">
        <v>27.22</v>
      </c>
      <c r="AM92" s="15"/>
      <c r="AN92" s="69">
        <f t="shared" si="45"/>
        <v>0</v>
      </c>
      <c r="AO92" s="245"/>
      <c r="AP92" s="69">
        <f t="shared" si="46"/>
        <v>0</v>
      </c>
      <c r="AQ92" s="70"/>
      <c r="AR92" s="71"/>
      <c r="AS92" s="435">
        <f t="shared" si="47"/>
        <v>6505.58</v>
      </c>
      <c r="AT92" s="436">
        <f t="shared" si="51"/>
        <v>239</v>
      </c>
      <c r="AU92" s="437">
        <f t="shared" si="35"/>
        <v>0</v>
      </c>
    </row>
    <row r="93" spans="2:47" x14ac:dyDescent="0.25">
      <c r="B93">
        <v>27.22</v>
      </c>
      <c r="C93" s="15"/>
      <c r="D93" s="69">
        <f t="shared" si="36"/>
        <v>0</v>
      </c>
      <c r="E93" s="245"/>
      <c r="F93" s="69">
        <f t="shared" si="37"/>
        <v>0</v>
      </c>
      <c r="G93" s="70"/>
      <c r="H93" s="71"/>
      <c r="I93" s="435">
        <f t="shared" si="38"/>
        <v>0</v>
      </c>
      <c r="J93" s="436">
        <f t="shared" si="48"/>
        <v>0</v>
      </c>
      <c r="K93" s="437">
        <f t="shared" si="32"/>
        <v>0</v>
      </c>
      <c r="N93">
        <v>27.22</v>
      </c>
      <c r="O93" s="15"/>
      <c r="P93" s="69">
        <f t="shared" si="39"/>
        <v>0</v>
      </c>
      <c r="Q93" s="245"/>
      <c r="R93" s="69">
        <f t="shared" si="40"/>
        <v>0</v>
      </c>
      <c r="S93" s="70"/>
      <c r="T93" s="71"/>
      <c r="U93" s="435">
        <f t="shared" si="41"/>
        <v>4.9900000000003502</v>
      </c>
      <c r="V93" s="436">
        <f t="shared" si="49"/>
        <v>0</v>
      </c>
      <c r="W93" s="437">
        <f t="shared" si="33"/>
        <v>0</v>
      </c>
      <c r="Z93">
        <v>27.24</v>
      </c>
      <c r="AA93" s="15"/>
      <c r="AB93" s="69">
        <f t="shared" si="42"/>
        <v>0</v>
      </c>
      <c r="AC93" s="245"/>
      <c r="AD93" s="69">
        <f t="shared" si="43"/>
        <v>0</v>
      </c>
      <c r="AE93" s="70"/>
      <c r="AF93" s="71"/>
      <c r="AG93" s="435">
        <f t="shared" si="44"/>
        <v>5.0300000000012233</v>
      </c>
      <c r="AH93" s="436">
        <f t="shared" si="50"/>
        <v>0</v>
      </c>
      <c r="AI93" s="437">
        <f t="shared" si="34"/>
        <v>0</v>
      </c>
      <c r="AL93">
        <v>27.22</v>
      </c>
      <c r="AM93" s="15"/>
      <c r="AN93" s="69">
        <f t="shared" si="45"/>
        <v>0</v>
      </c>
      <c r="AO93" s="245"/>
      <c r="AP93" s="69">
        <f t="shared" si="46"/>
        <v>0</v>
      </c>
      <c r="AQ93" s="70"/>
      <c r="AR93" s="71"/>
      <c r="AS93" s="435">
        <f t="shared" si="47"/>
        <v>6505.58</v>
      </c>
      <c r="AT93" s="436">
        <f t="shared" si="51"/>
        <v>239</v>
      </c>
      <c r="AU93" s="437">
        <f t="shared" si="35"/>
        <v>0</v>
      </c>
    </row>
    <row r="94" spans="2:47" x14ac:dyDescent="0.25">
      <c r="B94">
        <v>27.22</v>
      </c>
      <c r="C94" s="15"/>
      <c r="D94" s="69">
        <f t="shared" si="36"/>
        <v>0</v>
      </c>
      <c r="E94" s="245"/>
      <c r="F94" s="69">
        <f t="shared" si="37"/>
        <v>0</v>
      </c>
      <c r="G94" s="70"/>
      <c r="H94" s="71"/>
      <c r="I94" s="435">
        <f t="shared" si="38"/>
        <v>0</v>
      </c>
      <c r="J94" s="436">
        <f t="shared" si="48"/>
        <v>0</v>
      </c>
      <c r="K94" s="437">
        <f t="shared" si="32"/>
        <v>0</v>
      </c>
      <c r="N94">
        <v>27.22</v>
      </c>
      <c r="O94" s="15"/>
      <c r="P94" s="69">
        <f t="shared" si="39"/>
        <v>0</v>
      </c>
      <c r="Q94" s="245"/>
      <c r="R94" s="69">
        <f t="shared" si="40"/>
        <v>0</v>
      </c>
      <c r="S94" s="70"/>
      <c r="T94" s="71"/>
      <c r="U94" s="435">
        <f t="shared" si="41"/>
        <v>4.9900000000003502</v>
      </c>
      <c r="V94" s="436">
        <f t="shared" si="49"/>
        <v>0</v>
      </c>
      <c r="W94" s="437">
        <f t="shared" si="33"/>
        <v>0</v>
      </c>
      <c r="Z94">
        <v>27.24</v>
      </c>
      <c r="AA94" s="15"/>
      <c r="AB94" s="69">
        <f t="shared" si="42"/>
        <v>0</v>
      </c>
      <c r="AC94" s="245"/>
      <c r="AD94" s="69">
        <f t="shared" si="43"/>
        <v>0</v>
      </c>
      <c r="AE94" s="70"/>
      <c r="AF94" s="71"/>
      <c r="AG94" s="435">
        <f t="shared" si="44"/>
        <v>5.0300000000012233</v>
      </c>
      <c r="AH94" s="436">
        <f t="shared" si="50"/>
        <v>0</v>
      </c>
      <c r="AI94" s="437">
        <f t="shared" si="34"/>
        <v>0</v>
      </c>
      <c r="AL94">
        <v>27.22</v>
      </c>
      <c r="AM94" s="15"/>
      <c r="AN94" s="69">
        <f t="shared" si="45"/>
        <v>0</v>
      </c>
      <c r="AO94" s="245"/>
      <c r="AP94" s="69">
        <f t="shared" si="46"/>
        <v>0</v>
      </c>
      <c r="AQ94" s="70"/>
      <c r="AR94" s="71"/>
      <c r="AS94" s="435">
        <f t="shared" si="47"/>
        <v>6505.58</v>
      </c>
      <c r="AT94" s="436">
        <f t="shared" si="51"/>
        <v>239</v>
      </c>
      <c r="AU94" s="437">
        <f t="shared" si="35"/>
        <v>0</v>
      </c>
    </row>
    <row r="95" spans="2:47" x14ac:dyDescent="0.25">
      <c r="B95">
        <v>27.22</v>
      </c>
      <c r="C95" s="15"/>
      <c r="D95" s="69">
        <f t="shared" si="36"/>
        <v>0</v>
      </c>
      <c r="E95" s="245"/>
      <c r="F95" s="69">
        <f t="shared" si="37"/>
        <v>0</v>
      </c>
      <c r="G95" s="70"/>
      <c r="H95" s="71"/>
      <c r="I95" s="435">
        <f t="shared" si="38"/>
        <v>0</v>
      </c>
      <c r="J95" s="436">
        <f t="shared" si="48"/>
        <v>0</v>
      </c>
      <c r="K95" s="437">
        <f t="shared" si="32"/>
        <v>0</v>
      </c>
      <c r="N95">
        <v>27.22</v>
      </c>
      <c r="O95" s="15"/>
      <c r="P95" s="69">
        <f t="shared" si="39"/>
        <v>0</v>
      </c>
      <c r="Q95" s="245"/>
      <c r="R95" s="69">
        <f t="shared" si="40"/>
        <v>0</v>
      </c>
      <c r="S95" s="70"/>
      <c r="T95" s="71"/>
      <c r="U95" s="435">
        <f t="shared" si="41"/>
        <v>4.9900000000003502</v>
      </c>
      <c r="V95" s="436">
        <f t="shared" si="49"/>
        <v>0</v>
      </c>
      <c r="W95" s="437">
        <f t="shared" si="33"/>
        <v>0</v>
      </c>
      <c r="Z95">
        <v>27.24</v>
      </c>
      <c r="AA95" s="15"/>
      <c r="AB95" s="69">
        <f t="shared" si="42"/>
        <v>0</v>
      </c>
      <c r="AC95" s="245"/>
      <c r="AD95" s="69">
        <f t="shared" si="43"/>
        <v>0</v>
      </c>
      <c r="AE95" s="70"/>
      <c r="AF95" s="71"/>
      <c r="AG95" s="435">
        <f t="shared" si="44"/>
        <v>5.0300000000012233</v>
      </c>
      <c r="AH95" s="436">
        <f t="shared" si="50"/>
        <v>0</v>
      </c>
      <c r="AI95" s="437">
        <f t="shared" si="34"/>
        <v>0</v>
      </c>
      <c r="AL95">
        <v>27.22</v>
      </c>
      <c r="AM95" s="15"/>
      <c r="AN95" s="69">
        <f t="shared" si="45"/>
        <v>0</v>
      </c>
      <c r="AO95" s="245"/>
      <c r="AP95" s="69">
        <f t="shared" si="46"/>
        <v>0</v>
      </c>
      <c r="AQ95" s="70"/>
      <c r="AR95" s="71"/>
      <c r="AS95" s="435">
        <f t="shared" si="47"/>
        <v>6505.58</v>
      </c>
      <c r="AT95" s="436">
        <f t="shared" si="51"/>
        <v>239</v>
      </c>
      <c r="AU95" s="437">
        <f t="shared" si="35"/>
        <v>0</v>
      </c>
    </row>
    <row r="96" spans="2:47" x14ac:dyDescent="0.25">
      <c r="B96">
        <v>27.22</v>
      </c>
      <c r="C96" s="15"/>
      <c r="D96" s="69">
        <f t="shared" si="36"/>
        <v>0</v>
      </c>
      <c r="E96" s="245"/>
      <c r="F96" s="69">
        <f t="shared" si="37"/>
        <v>0</v>
      </c>
      <c r="G96" s="70"/>
      <c r="H96" s="71"/>
      <c r="I96" s="435">
        <f t="shared" si="38"/>
        <v>0</v>
      </c>
      <c r="J96" s="436">
        <f t="shared" si="48"/>
        <v>0</v>
      </c>
      <c r="K96" s="437">
        <f t="shared" si="32"/>
        <v>0</v>
      </c>
      <c r="N96">
        <v>27.22</v>
      </c>
      <c r="O96" s="15"/>
      <c r="P96" s="69">
        <f t="shared" si="39"/>
        <v>0</v>
      </c>
      <c r="Q96" s="245"/>
      <c r="R96" s="69">
        <f t="shared" si="40"/>
        <v>0</v>
      </c>
      <c r="S96" s="70"/>
      <c r="T96" s="71"/>
      <c r="U96" s="435">
        <f t="shared" si="41"/>
        <v>4.9900000000003502</v>
      </c>
      <c r="V96" s="436">
        <f t="shared" si="49"/>
        <v>0</v>
      </c>
      <c r="W96" s="437">
        <f t="shared" si="33"/>
        <v>0</v>
      </c>
      <c r="Z96">
        <v>27.24</v>
      </c>
      <c r="AA96" s="15"/>
      <c r="AB96" s="69">
        <f t="shared" si="42"/>
        <v>0</v>
      </c>
      <c r="AC96" s="245"/>
      <c r="AD96" s="69">
        <f t="shared" si="43"/>
        <v>0</v>
      </c>
      <c r="AE96" s="70"/>
      <c r="AF96" s="71"/>
      <c r="AG96" s="435">
        <f t="shared" si="44"/>
        <v>5.0300000000012233</v>
      </c>
      <c r="AH96" s="436">
        <f t="shared" si="50"/>
        <v>0</v>
      </c>
      <c r="AI96" s="437">
        <f t="shared" si="34"/>
        <v>0</v>
      </c>
      <c r="AL96">
        <v>27.22</v>
      </c>
      <c r="AM96" s="15"/>
      <c r="AN96" s="69">
        <f t="shared" si="45"/>
        <v>0</v>
      </c>
      <c r="AO96" s="245"/>
      <c r="AP96" s="69">
        <f t="shared" si="46"/>
        <v>0</v>
      </c>
      <c r="AQ96" s="70"/>
      <c r="AR96" s="71"/>
      <c r="AS96" s="435">
        <f t="shared" si="47"/>
        <v>6505.58</v>
      </c>
      <c r="AT96" s="436">
        <f t="shared" si="51"/>
        <v>239</v>
      </c>
      <c r="AU96" s="437">
        <f t="shared" si="35"/>
        <v>0</v>
      </c>
    </row>
    <row r="97" spans="2:47" x14ac:dyDescent="0.25">
      <c r="B97">
        <v>27.22</v>
      </c>
      <c r="C97" s="15"/>
      <c r="D97" s="69">
        <f t="shared" si="36"/>
        <v>0</v>
      </c>
      <c r="E97" s="245"/>
      <c r="F97" s="69">
        <f t="shared" si="37"/>
        <v>0</v>
      </c>
      <c r="G97" s="70"/>
      <c r="H97" s="71"/>
      <c r="I97" s="435">
        <f t="shared" si="38"/>
        <v>0</v>
      </c>
      <c r="J97" s="436">
        <f t="shared" si="48"/>
        <v>0</v>
      </c>
      <c r="K97" s="437">
        <f t="shared" si="32"/>
        <v>0</v>
      </c>
      <c r="N97">
        <v>27.22</v>
      </c>
      <c r="O97" s="15"/>
      <c r="P97" s="69">
        <f t="shared" si="39"/>
        <v>0</v>
      </c>
      <c r="Q97" s="245"/>
      <c r="R97" s="69">
        <f t="shared" si="40"/>
        <v>0</v>
      </c>
      <c r="S97" s="70"/>
      <c r="T97" s="71"/>
      <c r="U97" s="435">
        <f t="shared" si="41"/>
        <v>4.9900000000003502</v>
      </c>
      <c r="V97" s="436">
        <f t="shared" si="49"/>
        <v>0</v>
      </c>
      <c r="W97" s="437">
        <f t="shared" si="33"/>
        <v>0</v>
      </c>
      <c r="Z97">
        <v>27.24</v>
      </c>
      <c r="AA97" s="15"/>
      <c r="AB97" s="69">
        <f t="shared" si="42"/>
        <v>0</v>
      </c>
      <c r="AC97" s="245"/>
      <c r="AD97" s="69">
        <f t="shared" si="43"/>
        <v>0</v>
      </c>
      <c r="AE97" s="70"/>
      <c r="AF97" s="71"/>
      <c r="AG97" s="435">
        <f t="shared" si="44"/>
        <v>5.0300000000012233</v>
      </c>
      <c r="AH97" s="436">
        <f t="shared" si="50"/>
        <v>0</v>
      </c>
      <c r="AI97" s="437">
        <f t="shared" si="34"/>
        <v>0</v>
      </c>
      <c r="AL97">
        <v>27.22</v>
      </c>
      <c r="AM97" s="15"/>
      <c r="AN97" s="69">
        <f t="shared" si="45"/>
        <v>0</v>
      </c>
      <c r="AO97" s="245"/>
      <c r="AP97" s="69">
        <f t="shared" si="46"/>
        <v>0</v>
      </c>
      <c r="AQ97" s="70"/>
      <c r="AR97" s="71"/>
      <c r="AS97" s="435">
        <f t="shared" si="47"/>
        <v>6505.58</v>
      </c>
      <c r="AT97" s="436">
        <f t="shared" si="51"/>
        <v>239</v>
      </c>
      <c r="AU97" s="437">
        <f t="shared" si="35"/>
        <v>0</v>
      </c>
    </row>
    <row r="98" spans="2:47" x14ac:dyDescent="0.25">
      <c r="B98">
        <v>27.22</v>
      </c>
      <c r="C98" s="15"/>
      <c r="D98" s="69">
        <f t="shared" si="36"/>
        <v>0</v>
      </c>
      <c r="E98" s="245"/>
      <c r="F98" s="69">
        <f t="shared" si="37"/>
        <v>0</v>
      </c>
      <c r="G98" s="70"/>
      <c r="H98" s="71"/>
      <c r="I98" s="435">
        <f t="shared" si="38"/>
        <v>0</v>
      </c>
      <c r="J98" s="436">
        <f t="shared" si="48"/>
        <v>0</v>
      </c>
      <c r="K98" s="437">
        <f t="shared" si="32"/>
        <v>0</v>
      </c>
      <c r="N98">
        <v>27.22</v>
      </c>
      <c r="O98" s="15"/>
      <c r="P98" s="69">
        <f t="shared" si="39"/>
        <v>0</v>
      </c>
      <c r="Q98" s="245"/>
      <c r="R98" s="69">
        <f t="shared" si="40"/>
        <v>0</v>
      </c>
      <c r="S98" s="70"/>
      <c r="T98" s="71"/>
      <c r="U98" s="435">
        <f t="shared" si="41"/>
        <v>4.9900000000003502</v>
      </c>
      <c r="V98" s="436">
        <f t="shared" si="49"/>
        <v>0</v>
      </c>
      <c r="W98" s="437">
        <f t="shared" si="33"/>
        <v>0</v>
      </c>
      <c r="Z98">
        <v>27.24</v>
      </c>
      <c r="AA98" s="15"/>
      <c r="AB98" s="69">
        <f t="shared" si="42"/>
        <v>0</v>
      </c>
      <c r="AC98" s="245"/>
      <c r="AD98" s="69">
        <f t="shared" si="43"/>
        <v>0</v>
      </c>
      <c r="AE98" s="70"/>
      <c r="AF98" s="71"/>
      <c r="AG98" s="435">
        <f t="shared" si="44"/>
        <v>5.0300000000012233</v>
      </c>
      <c r="AH98" s="436">
        <f t="shared" si="50"/>
        <v>0</v>
      </c>
      <c r="AI98" s="437">
        <f t="shared" si="34"/>
        <v>0</v>
      </c>
      <c r="AL98">
        <v>27.22</v>
      </c>
      <c r="AM98" s="15"/>
      <c r="AN98" s="69">
        <f t="shared" si="45"/>
        <v>0</v>
      </c>
      <c r="AO98" s="245"/>
      <c r="AP98" s="69">
        <f t="shared" si="46"/>
        <v>0</v>
      </c>
      <c r="AQ98" s="70"/>
      <c r="AR98" s="71"/>
      <c r="AS98" s="435">
        <f t="shared" si="47"/>
        <v>6505.58</v>
      </c>
      <c r="AT98" s="436">
        <f t="shared" si="51"/>
        <v>239</v>
      </c>
      <c r="AU98" s="437">
        <f t="shared" si="35"/>
        <v>0</v>
      </c>
    </row>
    <row r="99" spans="2:47" x14ac:dyDescent="0.25">
      <c r="B99">
        <v>27.22</v>
      </c>
      <c r="C99" s="15"/>
      <c r="D99" s="69">
        <f t="shared" si="36"/>
        <v>0</v>
      </c>
      <c r="E99" s="245"/>
      <c r="F99" s="69">
        <f t="shared" si="37"/>
        <v>0</v>
      </c>
      <c r="G99" s="70"/>
      <c r="H99" s="71"/>
      <c r="I99" s="435">
        <f t="shared" si="38"/>
        <v>0</v>
      </c>
      <c r="J99" s="436">
        <f t="shared" si="48"/>
        <v>0</v>
      </c>
      <c r="K99" s="437">
        <f t="shared" si="32"/>
        <v>0</v>
      </c>
      <c r="N99">
        <v>27.22</v>
      </c>
      <c r="O99" s="15"/>
      <c r="P99" s="69">
        <f t="shared" si="39"/>
        <v>0</v>
      </c>
      <c r="Q99" s="245"/>
      <c r="R99" s="69">
        <f t="shared" si="40"/>
        <v>0</v>
      </c>
      <c r="S99" s="70"/>
      <c r="T99" s="71"/>
      <c r="U99" s="435">
        <f t="shared" si="41"/>
        <v>4.9900000000003502</v>
      </c>
      <c r="V99" s="436">
        <f t="shared" si="49"/>
        <v>0</v>
      </c>
      <c r="W99" s="437">
        <f t="shared" si="33"/>
        <v>0</v>
      </c>
      <c r="Z99">
        <v>27.24</v>
      </c>
      <c r="AA99" s="15"/>
      <c r="AB99" s="69">
        <f t="shared" si="42"/>
        <v>0</v>
      </c>
      <c r="AC99" s="245"/>
      <c r="AD99" s="69">
        <f t="shared" si="43"/>
        <v>0</v>
      </c>
      <c r="AE99" s="70"/>
      <c r="AF99" s="71"/>
      <c r="AG99" s="435">
        <f t="shared" si="44"/>
        <v>5.0300000000012233</v>
      </c>
      <c r="AH99" s="436">
        <f t="shared" si="50"/>
        <v>0</v>
      </c>
      <c r="AI99" s="437">
        <f t="shared" si="34"/>
        <v>0</v>
      </c>
      <c r="AL99">
        <v>27.22</v>
      </c>
      <c r="AM99" s="15"/>
      <c r="AN99" s="69">
        <f t="shared" si="45"/>
        <v>0</v>
      </c>
      <c r="AO99" s="245"/>
      <c r="AP99" s="69">
        <f t="shared" si="46"/>
        <v>0</v>
      </c>
      <c r="AQ99" s="70"/>
      <c r="AR99" s="71"/>
      <c r="AS99" s="435">
        <f t="shared" si="47"/>
        <v>6505.58</v>
      </c>
      <c r="AT99" s="436">
        <f t="shared" si="51"/>
        <v>239</v>
      </c>
      <c r="AU99" s="437">
        <f t="shared" si="35"/>
        <v>0</v>
      </c>
    </row>
    <row r="100" spans="2:47" x14ac:dyDescent="0.25">
      <c r="B100">
        <v>27.22</v>
      </c>
      <c r="C100" s="15"/>
      <c r="D100" s="69">
        <f t="shared" si="36"/>
        <v>0</v>
      </c>
      <c r="E100" s="245"/>
      <c r="F100" s="69">
        <f t="shared" si="37"/>
        <v>0</v>
      </c>
      <c r="G100" s="70"/>
      <c r="H100" s="71"/>
      <c r="I100" s="435">
        <f t="shared" si="38"/>
        <v>0</v>
      </c>
      <c r="J100" s="436">
        <f t="shared" si="48"/>
        <v>0</v>
      </c>
      <c r="K100" s="437">
        <f t="shared" si="32"/>
        <v>0</v>
      </c>
      <c r="N100">
        <v>27.22</v>
      </c>
      <c r="O100" s="15"/>
      <c r="P100" s="69">
        <f t="shared" si="39"/>
        <v>0</v>
      </c>
      <c r="Q100" s="245"/>
      <c r="R100" s="69">
        <f t="shared" si="40"/>
        <v>0</v>
      </c>
      <c r="S100" s="70"/>
      <c r="T100" s="71"/>
      <c r="U100" s="435">
        <f t="shared" si="41"/>
        <v>4.9900000000003502</v>
      </c>
      <c r="V100" s="436">
        <f t="shared" si="49"/>
        <v>0</v>
      </c>
      <c r="W100" s="437">
        <f t="shared" si="33"/>
        <v>0</v>
      </c>
      <c r="Z100">
        <v>27.24</v>
      </c>
      <c r="AA100" s="15"/>
      <c r="AB100" s="69">
        <f t="shared" si="42"/>
        <v>0</v>
      </c>
      <c r="AC100" s="245"/>
      <c r="AD100" s="69">
        <f t="shared" si="43"/>
        <v>0</v>
      </c>
      <c r="AE100" s="70"/>
      <c r="AF100" s="71"/>
      <c r="AG100" s="435">
        <f t="shared" si="44"/>
        <v>5.0300000000012233</v>
      </c>
      <c r="AH100" s="436">
        <f t="shared" si="50"/>
        <v>0</v>
      </c>
      <c r="AI100" s="437">
        <f t="shared" si="34"/>
        <v>0</v>
      </c>
      <c r="AL100">
        <v>27.22</v>
      </c>
      <c r="AM100" s="15"/>
      <c r="AN100" s="69">
        <f t="shared" si="45"/>
        <v>0</v>
      </c>
      <c r="AO100" s="245"/>
      <c r="AP100" s="69">
        <f t="shared" si="46"/>
        <v>0</v>
      </c>
      <c r="AQ100" s="70"/>
      <c r="AR100" s="71"/>
      <c r="AS100" s="435">
        <f t="shared" si="47"/>
        <v>6505.58</v>
      </c>
      <c r="AT100" s="436">
        <f t="shared" si="51"/>
        <v>239</v>
      </c>
      <c r="AU100" s="437">
        <f t="shared" si="35"/>
        <v>0</v>
      </c>
    </row>
    <row r="101" spans="2:47" x14ac:dyDescent="0.25">
      <c r="B101">
        <v>27.22</v>
      </c>
      <c r="C101" s="15"/>
      <c r="D101" s="69">
        <f t="shared" si="36"/>
        <v>0</v>
      </c>
      <c r="E101" s="245"/>
      <c r="F101" s="69">
        <f t="shared" si="37"/>
        <v>0</v>
      </c>
      <c r="G101" s="70"/>
      <c r="H101" s="71"/>
      <c r="I101" s="435">
        <f t="shared" si="38"/>
        <v>0</v>
      </c>
      <c r="J101" s="436">
        <f t="shared" si="48"/>
        <v>0</v>
      </c>
      <c r="K101" s="437">
        <f t="shared" si="32"/>
        <v>0</v>
      </c>
      <c r="N101">
        <v>27.22</v>
      </c>
      <c r="O101" s="15"/>
      <c r="P101" s="69">
        <f t="shared" si="39"/>
        <v>0</v>
      </c>
      <c r="Q101" s="245"/>
      <c r="R101" s="69">
        <f t="shared" si="40"/>
        <v>0</v>
      </c>
      <c r="S101" s="70"/>
      <c r="T101" s="71"/>
      <c r="U101" s="435">
        <f t="shared" si="41"/>
        <v>4.9900000000003502</v>
      </c>
      <c r="V101" s="436">
        <f t="shared" si="49"/>
        <v>0</v>
      </c>
      <c r="W101" s="437">
        <f t="shared" si="33"/>
        <v>0</v>
      </c>
      <c r="Z101">
        <v>27.24</v>
      </c>
      <c r="AA101" s="15"/>
      <c r="AB101" s="69">
        <f t="shared" si="42"/>
        <v>0</v>
      </c>
      <c r="AC101" s="245"/>
      <c r="AD101" s="69">
        <f t="shared" si="43"/>
        <v>0</v>
      </c>
      <c r="AE101" s="70"/>
      <c r="AF101" s="71"/>
      <c r="AG101" s="435">
        <f t="shared" si="44"/>
        <v>5.0300000000012233</v>
      </c>
      <c r="AH101" s="436">
        <f t="shared" si="50"/>
        <v>0</v>
      </c>
      <c r="AI101" s="437">
        <f t="shared" si="34"/>
        <v>0</v>
      </c>
      <c r="AL101">
        <v>27.22</v>
      </c>
      <c r="AM101" s="15"/>
      <c r="AN101" s="69">
        <f t="shared" si="45"/>
        <v>0</v>
      </c>
      <c r="AO101" s="245"/>
      <c r="AP101" s="69">
        <f t="shared" si="46"/>
        <v>0</v>
      </c>
      <c r="AQ101" s="70"/>
      <c r="AR101" s="71"/>
      <c r="AS101" s="435">
        <f t="shared" si="47"/>
        <v>6505.58</v>
      </c>
      <c r="AT101" s="436">
        <f t="shared" si="51"/>
        <v>239</v>
      </c>
      <c r="AU101" s="437">
        <f t="shared" si="35"/>
        <v>0</v>
      </c>
    </row>
    <row r="102" spans="2:47" x14ac:dyDescent="0.25">
      <c r="B102">
        <v>27.22</v>
      </c>
      <c r="C102" s="15"/>
      <c r="D102" s="69">
        <f t="shared" si="36"/>
        <v>0</v>
      </c>
      <c r="E102" s="245"/>
      <c r="F102" s="69">
        <f t="shared" si="37"/>
        <v>0</v>
      </c>
      <c r="G102" s="70"/>
      <c r="H102" s="71"/>
      <c r="I102" s="435">
        <f t="shared" si="38"/>
        <v>0</v>
      </c>
      <c r="J102" s="436">
        <f t="shared" si="48"/>
        <v>0</v>
      </c>
      <c r="K102" s="437">
        <f t="shared" si="32"/>
        <v>0</v>
      </c>
      <c r="N102">
        <v>27.22</v>
      </c>
      <c r="O102" s="15"/>
      <c r="P102" s="69">
        <f t="shared" si="39"/>
        <v>0</v>
      </c>
      <c r="Q102" s="245"/>
      <c r="R102" s="69">
        <f t="shared" si="40"/>
        <v>0</v>
      </c>
      <c r="S102" s="70"/>
      <c r="T102" s="71"/>
      <c r="U102" s="435">
        <f t="shared" si="41"/>
        <v>4.9900000000003502</v>
      </c>
      <c r="V102" s="436">
        <f t="shared" si="49"/>
        <v>0</v>
      </c>
      <c r="W102" s="437">
        <f t="shared" si="33"/>
        <v>0</v>
      </c>
      <c r="Z102">
        <v>27.24</v>
      </c>
      <c r="AA102" s="15"/>
      <c r="AB102" s="69">
        <f t="shared" si="42"/>
        <v>0</v>
      </c>
      <c r="AC102" s="245"/>
      <c r="AD102" s="69">
        <f t="shared" si="43"/>
        <v>0</v>
      </c>
      <c r="AE102" s="70"/>
      <c r="AF102" s="71"/>
      <c r="AG102" s="435">
        <f t="shared" si="44"/>
        <v>5.0300000000012233</v>
      </c>
      <c r="AH102" s="436">
        <f t="shared" si="50"/>
        <v>0</v>
      </c>
      <c r="AI102" s="437">
        <f t="shared" si="34"/>
        <v>0</v>
      </c>
      <c r="AL102">
        <v>27.22</v>
      </c>
      <c r="AM102" s="15"/>
      <c r="AN102" s="69">
        <f t="shared" si="45"/>
        <v>0</v>
      </c>
      <c r="AO102" s="245"/>
      <c r="AP102" s="69">
        <f t="shared" si="46"/>
        <v>0</v>
      </c>
      <c r="AQ102" s="70"/>
      <c r="AR102" s="71"/>
      <c r="AS102" s="435">
        <f t="shared" si="47"/>
        <v>6505.58</v>
      </c>
      <c r="AT102" s="436">
        <f t="shared" si="51"/>
        <v>239</v>
      </c>
      <c r="AU102" s="437">
        <f t="shared" si="35"/>
        <v>0</v>
      </c>
    </row>
    <row r="103" spans="2:47" x14ac:dyDescent="0.25">
      <c r="B103">
        <v>27.22</v>
      </c>
      <c r="C103" s="15"/>
      <c r="D103" s="69">
        <f t="shared" si="36"/>
        <v>0</v>
      </c>
      <c r="E103" s="245"/>
      <c r="F103" s="69">
        <f t="shared" si="37"/>
        <v>0</v>
      </c>
      <c r="G103" s="70"/>
      <c r="H103" s="71"/>
      <c r="I103" s="435">
        <f t="shared" si="38"/>
        <v>0</v>
      </c>
      <c r="J103" s="436">
        <f t="shared" si="48"/>
        <v>0</v>
      </c>
      <c r="K103" s="437">
        <f t="shared" si="32"/>
        <v>0</v>
      </c>
      <c r="N103">
        <v>27.22</v>
      </c>
      <c r="O103" s="15"/>
      <c r="P103" s="69">
        <f t="shared" si="39"/>
        <v>0</v>
      </c>
      <c r="Q103" s="245"/>
      <c r="R103" s="69">
        <f t="shared" si="40"/>
        <v>0</v>
      </c>
      <c r="S103" s="70"/>
      <c r="T103" s="71"/>
      <c r="U103" s="435">
        <f t="shared" si="41"/>
        <v>4.9900000000003502</v>
      </c>
      <c r="V103" s="436">
        <f t="shared" si="49"/>
        <v>0</v>
      </c>
      <c r="W103" s="437">
        <f t="shared" si="33"/>
        <v>0</v>
      </c>
      <c r="Z103">
        <v>27.24</v>
      </c>
      <c r="AA103" s="15"/>
      <c r="AB103" s="69">
        <f t="shared" si="42"/>
        <v>0</v>
      </c>
      <c r="AC103" s="245"/>
      <c r="AD103" s="69">
        <f t="shared" si="43"/>
        <v>0</v>
      </c>
      <c r="AE103" s="70"/>
      <c r="AF103" s="71"/>
      <c r="AG103" s="435">
        <f t="shared" si="44"/>
        <v>5.0300000000012233</v>
      </c>
      <c r="AH103" s="436">
        <f t="shared" si="50"/>
        <v>0</v>
      </c>
      <c r="AI103" s="437">
        <f t="shared" si="34"/>
        <v>0</v>
      </c>
      <c r="AL103">
        <v>27.22</v>
      </c>
      <c r="AM103" s="15"/>
      <c r="AN103" s="69">
        <f t="shared" si="45"/>
        <v>0</v>
      </c>
      <c r="AO103" s="245"/>
      <c r="AP103" s="69">
        <f t="shared" si="46"/>
        <v>0</v>
      </c>
      <c r="AQ103" s="70"/>
      <c r="AR103" s="71"/>
      <c r="AS103" s="435">
        <f t="shared" si="47"/>
        <v>6505.58</v>
      </c>
      <c r="AT103" s="436">
        <f t="shared" si="51"/>
        <v>239</v>
      </c>
      <c r="AU103" s="437">
        <f t="shared" si="35"/>
        <v>0</v>
      </c>
    </row>
    <row r="104" spans="2:47" x14ac:dyDescent="0.25">
      <c r="B104">
        <v>27.22</v>
      </c>
      <c r="C104" s="15"/>
      <c r="D104" s="69">
        <f t="shared" si="36"/>
        <v>0</v>
      </c>
      <c r="E104" s="245"/>
      <c r="F104" s="69">
        <f t="shared" si="37"/>
        <v>0</v>
      </c>
      <c r="G104" s="70"/>
      <c r="H104" s="71"/>
      <c r="I104" s="435">
        <f t="shared" si="38"/>
        <v>0</v>
      </c>
      <c r="J104" s="436">
        <f t="shared" si="48"/>
        <v>0</v>
      </c>
      <c r="K104" s="437">
        <f t="shared" si="32"/>
        <v>0</v>
      </c>
      <c r="N104">
        <v>27.22</v>
      </c>
      <c r="O104" s="15"/>
      <c r="P104" s="69">
        <f t="shared" si="39"/>
        <v>0</v>
      </c>
      <c r="Q104" s="245"/>
      <c r="R104" s="69">
        <f t="shared" si="40"/>
        <v>0</v>
      </c>
      <c r="S104" s="70"/>
      <c r="T104" s="71"/>
      <c r="U104" s="435">
        <f t="shared" si="41"/>
        <v>4.9900000000003502</v>
      </c>
      <c r="V104" s="436">
        <f t="shared" si="49"/>
        <v>0</v>
      </c>
      <c r="W104" s="437">
        <f t="shared" si="33"/>
        <v>0</v>
      </c>
      <c r="Z104">
        <v>27.24</v>
      </c>
      <c r="AA104" s="15"/>
      <c r="AB104" s="69">
        <f t="shared" si="42"/>
        <v>0</v>
      </c>
      <c r="AC104" s="245"/>
      <c r="AD104" s="69">
        <f t="shared" si="43"/>
        <v>0</v>
      </c>
      <c r="AE104" s="70"/>
      <c r="AF104" s="71"/>
      <c r="AG104" s="435">
        <f t="shared" si="44"/>
        <v>5.0300000000012233</v>
      </c>
      <c r="AH104" s="436">
        <f t="shared" si="50"/>
        <v>0</v>
      </c>
      <c r="AI104" s="437">
        <f t="shared" si="34"/>
        <v>0</v>
      </c>
      <c r="AL104">
        <v>27.22</v>
      </c>
      <c r="AM104" s="15"/>
      <c r="AN104" s="69">
        <f t="shared" si="45"/>
        <v>0</v>
      </c>
      <c r="AO104" s="245"/>
      <c r="AP104" s="69">
        <f t="shared" si="46"/>
        <v>0</v>
      </c>
      <c r="AQ104" s="70"/>
      <c r="AR104" s="71"/>
      <c r="AS104" s="435">
        <f t="shared" si="47"/>
        <v>6505.58</v>
      </c>
      <c r="AT104" s="436">
        <f t="shared" si="51"/>
        <v>239</v>
      </c>
      <c r="AU104" s="437">
        <f t="shared" si="35"/>
        <v>0</v>
      </c>
    </row>
    <row r="105" spans="2:47" x14ac:dyDescent="0.25">
      <c r="B105">
        <v>27.22</v>
      </c>
      <c r="C105" s="15"/>
      <c r="D105" s="69">
        <f t="shared" si="36"/>
        <v>0</v>
      </c>
      <c r="E105" s="245"/>
      <c r="F105" s="69">
        <f t="shared" si="37"/>
        <v>0</v>
      </c>
      <c r="G105" s="70"/>
      <c r="H105" s="71"/>
      <c r="I105" s="435">
        <f t="shared" si="38"/>
        <v>0</v>
      </c>
      <c r="J105" s="436">
        <f t="shared" si="48"/>
        <v>0</v>
      </c>
      <c r="K105" s="437">
        <f t="shared" si="32"/>
        <v>0</v>
      </c>
      <c r="N105">
        <v>27.22</v>
      </c>
      <c r="O105" s="15"/>
      <c r="P105" s="69">
        <f t="shared" si="39"/>
        <v>0</v>
      </c>
      <c r="Q105" s="245"/>
      <c r="R105" s="69">
        <f t="shared" si="40"/>
        <v>0</v>
      </c>
      <c r="S105" s="70"/>
      <c r="T105" s="71"/>
      <c r="U105" s="435">
        <f t="shared" si="41"/>
        <v>4.9900000000003502</v>
      </c>
      <c r="V105" s="436">
        <f t="shared" si="49"/>
        <v>0</v>
      </c>
      <c r="W105" s="437">
        <f t="shared" si="33"/>
        <v>0</v>
      </c>
      <c r="Z105">
        <v>27.24</v>
      </c>
      <c r="AA105" s="15"/>
      <c r="AB105" s="69">
        <f t="shared" si="42"/>
        <v>0</v>
      </c>
      <c r="AC105" s="245"/>
      <c r="AD105" s="69">
        <f t="shared" si="43"/>
        <v>0</v>
      </c>
      <c r="AE105" s="70"/>
      <c r="AF105" s="71"/>
      <c r="AG105" s="435">
        <f t="shared" si="44"/>
        <v>5.0300000000012233</v>
      </c>
      <c r="AH105" s="436">
        <f t="shared" si="50"/>
        <v>0</v>
      </c>
      <c r="AI105" s="437">
        <f t="shared" si="34"/>
        <v>0</v>
      </c>
      <c r="AL105">
        <v>27.22</v>
      </c>
      <c r="AM105" s="15"/>
      <c r="AN105" s="69">
        <f t="shared" si="45"/>
        <v>0</v>
      </c>
      <c r="AO105" s="245"/>
      <c r="AP105" s="69">
        <f t="shared" si="46"/>
        <v>0</v>
      </c>
      <c r="AQ105" s="70"/>
      <c r="AR105" s="71"/>
      <c r="AS105" s="435">
        <f t="shared" si="47"/>
        <v>6505.58</v>
      </c>
      <c r="AT105" s="436">
        <f t="shared" si="51"/>
        <v>239</v>
      </c>
      <c r="AU105" s="437">
        <f t="shared" si="35"/>
        <v>0</v>
      </c>
    </row>
    <row r="106" spans="2:47" x14ac:dyDescent="0.25">
      <c r="B106">
        <v>27.22</v>
      </c>
      <c r="C106" s="15"/>
      <c r="D106" s="69">
        <f t="shared" si="36"/>
        <v>0</v>
      </c>
      <c r="E106" s="245"/>
      <c r="F106" s="69">
        <f t="shared" si="37"/>
        <v>0</v>
      </c>
      <c r="G106" s="70"/>
      <c r="H106" s="71"/>
      <c r="I106" s="435">
        <f t="shared" si="38"/>
        <v>0</v>
      </c>
      <c r="J106" s="436">
        <f t="shared" si="48"/>
        <v>0</v>
      </c>
      <c r="K106" s="437">
        <f t="shared" si="32"/>
        <v>0</v>
      </c>
      <c r="N106">
        <v>27.22</v>
      </c>
      <c r="O106" s="15"/>
      <c r="P106" s="69">
        <f t="shared" si="39"/>
        <v>0</v>
      </c>
      <c r="Q106" s="245"/>
      <c r="R106" s="69">
        <f t="shared" si="40"/>
        <v>0</v>
      </c>
      <c r="S106" s="70"/>
      <c r="T106" s="71"/>
      <c r="U106" s="435">
        <f t="shared" si="41"/>
        <v>4.9900000000003502</v>
      </c>
      <c r="V106" s="436">
        <f t="shared" si="49"/>
        <v>0</v>
      </c>
      <c r="W106" s="437">
        <f t="shared" si="33"/>
        <v>0</v>
      </c>
      <c r="Z106">
        <v>27.24</v>
      </c>
      <c r="AA106" s="15"/>
      <c r="AB106" s="69">
        <f t="shared" si="42"/>
        <v>0</v>
      </c>
      <c r="AC106" s="245"/>
      <c r="AD106" s="69">
        <f t="shared" si="43"/>
        <v>0</v>
      </c>
      <c r="AE106" s="70"/>
      <c r="AF106" s="71"/>
      <c r="AG106" s="435">
        <f t="shared" si="44"/>
        <v>5.0300000000012233</v>
      </c>
      <c r="AH106" s="436">
        <f t="shared" si="50"/>
        <v>0</v>
      </c>
      <c r="AI106" s="437">
        <f t="shared" si="34"/>
        <v>0</v>
      </c>
      <c r="AL106">
        <v>27.22</v>
      </c>
      <c r="AM106" s="15"/>
      <c r="AN106" s="69">
        <f t="shared" si="45"/>
        <v>0</v>
      </c>
      <c r="AO106" s="245"/>
      <c r="AP106" s="69">
        <f t="shared" si="46"/>
        <v>0</v>
      </c>
      <c r="AQ106" s="70"/>
      <c r="AR106" s="71"/>
      <c r="AS106" s="435">
        <f t="shared" si="47"/>
        <v>6505.58</v>
      </c>
      <c r="AT106" s="436">
        <f t="shared" si="51"/>
        <v>239</v>
      </c>
      <c r="AU106" s="437">
        <f t="shared" si="35"/>
        <v>0</v>
      </c>
    </row>
    <row r="107" spans="2:47" x14ac:dyDescent="0.25">
      <c r="B107">
        <v>27.22</v>
      </c>
      <c r="C107" s="15"/>
      <c r="D107" s="69">
        <f t="shared" si="36"/>
        <v>0</v>
      </c>
      <c r="E107" s="245"/>
      <c r="F107" s="69">
        <f t="shared" si="37"/>
        <v>0</v>
      </c>
      <c r="G107" s="70"/>
      <c r="H107" s="71"/>
      <c r="I107" s="435">
        <f t="shared" si="38"/>
        <v>0</v>
      </c>
      <c r="J107" s="436">
        <f t="shared" si="48"/>
        <v>0</v>
      </c>
      <c r="K107" s="437">
        <f t="shared" si="32"/>
        <v>0</v>
      </c>
      <c r="N107">
        <v>27.22</v>
      </c>
      <c r="O107" s="15"/>
      <c r="P107" s="69">
        <f t="shared" si="39"/>
        <v>0</v>
      </c>
      <c r="Q107" s="245"/>
      <c r="R107" s="69">
        <f t="shared" si="40"/>
        <v>0</v>
      </c>
      <c r="S107" s="70"/>
      <c r="T107" s="71"/>
      <c r="U107" s="435">
        <f t="shared" si="41"/>
        <v>4.9900000000003502</v>
      </c>
      <c r="V107" s="436">
        <f t="shared" si="49"/>
        <v>0</v>
      </c>
      <c r="W107" s="437">
        <f t="shared" si="33"/>
        <v>0</v>
      </c>
      <c r="Z107">
        <v>27.24</v>
      </c>
      <c r="AA107" s="15"/>
      <c r="AB107" s="69">
        <f t="shared" si="42"/>
        <v>0</v>
      </c>
      <c r="AC107" s="245"/>
      <c r="AD107" s="69">
        <f t="shared" si="43"/>
        <v>0</v>
      </c>
      <c r="AE107" s="70"/>
      <c r="AF107" s="71"/>
      <c r="AG107" s="435">
        <f t="shared" si="44"/>
        <v>5.0300000000012233</v>
      </c>
      <c r="AH107" s="436">
        <f t="shared" si="50"/>
        <v>0</v>
      </c>
      <c r="AI107" s="437">
        <f t="shared" si="34"/>
        <v>0</v>
      </c>
      <c r="AL107">
        <v>27.22</v>
      </c>
      <c r="AM107" s="15"/>
      <c r="AN107" s="69">
        <f t="shared" si="45"/>
        <v>0</v>
      </c>
      <c r="AO107" s="245"/>
      <c r="AP107" s="69">
        <f t="shared" si="46"/>
        <v>0</v>
      </c>
      <c r="AQ107" s="70"/>
      <c r="AR107" s="71"/>
      <c r="AS107" s="435">
        <f t="shared" si="47"/>
        <v>6505.58</v>
      </c>
      <c r="AT107" s="436">
        <f t="shared" si="51"/>
        <v>239</v>
      </c>
      <c r="AU107" s="437">
        <f t="shared" si="35"/>
        <v>0</v>
      </c>
    </row>
    <row r="108" spans="2:47" x14ac:dyDescent="0.25">
      <c r="B108">
        <v>27.22</v>
      </c>
      <c r="C108" s="15"/>
      <c r="D108" s="69">
        <f t="shared" si="36"/>
        <v>0</v>
      </c>
      <c r="E108" s="245"/>
      <c r="F108" s="69">
        <f t="shared" si="37"/>
        <v>0</v>
      </c>
      <c r="G108" s="70"/>
      <c r="H108" s="71"/>
      <c r="I108" s="435">
        <f t="shared" si="38"/>
        <v>0</v>
      </c>
      <c r="J108" s="436">
        <f t="shared" si="48"/>
        <v>0</v>
      </c>
      <c r="K108" s="437">
        <f t="shared" si="32"/>
        <v>0</v>
      </c>
      <c r="N108">
        <v>27.22</v>
      </c>
      <c r="O108" s="15"/>
      <c r="P108" s="69">
        <f t="shared" si="39"/>
        <v>0</v>
      </c>
      <c r="Q108" s="245"/>
      <c r="R108" s="69">
        <f t="shared" si="40"/>
        <v>0</v>
      </c>
      <c r="S108" s="70"/>
      <c r="T108" s="71"/>
      <c r="U108" s="435">
        <f t="shared" si="41"/>
        <v>4.9900000000003502</v>
      </c>
      <c r="V108" s="436">
        <f t="shared" si="49"/>
        <v>0</v>
      </c>
      <c r="W108" s="437">
        <f t="shared" si="33"/>
        <v>0</v>
      </c>
      <c r="Z108">
        <v>27.24</v>
      </c>
      <c r="AA108" s="15"/>
      <c r="AB108" s="69">
        <f t="shared" si="42"/>
        <v>0</v>
      </c>
      <c r="AC108" s="245"/>
      <c r="AD108" s="69">
        <f t="shared" si="43"/>
        <v>0</v>
      </c>
      <c r="AE108" s="70"/>
      <c r="AF108" s="71"/>
      <c r="AG108" s="435">
        <f t="shared" si="44"/>
        <v>5.0300000000012233</v>
      </c>
      <c r="AH108" s="436">
        <f t="shared" si="50"/>
        <v>0</v>
      </c>
      <c r="AI108" s="437">
        <f t="shared" si="34"/>
        <v>0</v>
      </c>
      <c r="AL108">
        <v>27.22</v>
      </c>
      <c r="AM108" s="15"/>
      <c r="AN108" s="69">
        <f t="shared" si="45"/>
        <v>0</v>
      </c>
      <c r="AO108" s="245"/>
      <c r="AP108" s="69">
        <f t="shared" si="46"/>
        <v>0</v>
      </c>
      <c r="AQ108" s="70"/>
      <c r="AR108" s="71"/>
      <c r="AS108" s="435">
        <f t="shared" si="47"/>
        <v>6505.58</v>
      </c>
      <c r="AT108" s="436">
        <f t="shared" si="51"/>
        <v>239</v>
      </c>
      <c r="AU108" s="437">
        <f t="shared" si="35"/>
        <v>0</v>
      </c>
    </row>
    <row r="109" spans="2:47" x14ac:dyDescent="0.25">
      <c r="B109">
        <v>27.22</v>
      </c>
      <c r="C109" s="15"/>
      <c r="D109" s="69">
        <f t="shared" si="36"/>
        <v>0</v>
      </c>
      <c r="E109" s="245"/>
      <c r="F109" s="69">
        <f t="shared" si="37"/>
        <v>0</v>
      </c>
      <c r="G109" s="70"/>
      <c r="H109" s="71"/>
      <c r="I109" s="435">
        <f t="shared" si="38"/>
        <v>0</v>
      </c>
      <c r="J109" s="436">
        <f t="shared" si="48"/>
        <v>0</v>
      </c>
      <c r="K109" s="437">
        <f t="shared" si="32"/>
        <v>0</v>
      </c>
      <c r="N109">
        <v>27.22</v>
      </c>
      <c r="O109" s="15"/>
      <c r="P109" s="69">
        <f t="shared" si="39"/>
        <v>0</v>
      </c>
      <c r="Q109" s="245"/>
      <c r="R109" s="69">
        <f t="shared" si="40"/>
        <v>0</v>
      </c>
      <c r="S109" s="70"/>
      <c r="T109" s="71"/>
      <c r="U109" s="435">
        <f t="shared" si="41"/>
        <v>4.9900000000003502</v>
      </c>
      <c r="V109" s="436">
        <f t="shared" si="49"/>
        <v>0</v>
      </c>
      <c r="W109" s="437">
        <f t="shared" si="33"/>
        <v>0</v>
      </c>
      <c r="Z109">
        <v>27.24</v>
      </c>
      <c r="AA109" s="15"/>
      <c r="AB109" s="69">
        <f t="shared" si="42"/>
        <v>0</v>
      </c>
      <c r="AC109" s="245"/>
      <c r="AD109" s="69">
        <f t="shared" si="43"/>
        <v>0</v>
      </c>
      <c r="AE109" s="70"/>
      <c r="AF109" s="71"/>
      <c r="AG109" s="435">
        <f t="shared" si="44"/>
        <v>5.0300000000012233</v>
      </c>
      <c r="AH109" s="436">
        <f t="shared" si="50"/>
        <v>0</v>
      </c>
      <c r="AI109" s="437">
        <f t="shared" si="34"/>
        <v>0</v>
      </c>
      <c r="AL109">
        <v>27.22</v>
      </c>
      <c r="AM109" s="15"/>
      <c r="AN109" s="69">
        <f t="shared" si="45"/>
        <v>0</v>
      </c>
      <c r="AO109" s="245"/>
      <c r="AP109" s="69">
        <f t="shared" si="46"/>
        <v>0</v>
      </c>
      <c r="AQ109" s="70"/>
      <c r="AR109" s="71"/>
      <c r="AS109" s="435">
        <f t="shared" si="47"/>
        <v>6505.58</v>
      </c>
      <c r="AT109" s="436">
        <f t="shared" si="51"/>
        <v>239</v>
      </c>
      <c r="AU109" s="437">
        <f t="shared" si="35"/>
        <v>0</v>
      </c>
    </row>
    <row r="110" spans="2:47" x14ac:dyDescent="0.25">
      <c r="B110">
        <v>27.22</v>
      </c>
      <c r="C110" s="15"/>
      <c r="D110" s="69">
        <f t="shared" si="36"/>
        <v>0</v>
      </c>
      <c r="E110" s="245"/>
      <c r="F110" s="69">
        <f t="shared" si="37"/>
        <v>0</v>
      </c>
      <c r="G110" s="70"/>
      <c r="H110" s="71"/>
      <c r="I110" s="435">
        <f t="shared" si="38"/>
        <v>0</v>
      </c>
      <c r="J110" s="436">
        <f t="shared" si="48"/>
        <v>0</v>
      </c>
      <c r="K110" s="437">
        <f t="shared" si="32"/>
        <v>0</v>
      </c>
      <c r="N110">
        <v>27.22</v>
      </c>
      <c r="O110" s="15"/>
      <c r="P110" s="69">
        <f t="shared" si="39"/>
        <v>0</v>
      </c>
      <c r="Q110" s="245"/>
      <c r="R110" s="69">
        <f t="shared" si="40"/>
        <v>0</v>
      </c>
      <c r="S110" s="70"/>
      <c r="T110" s="71"/>
      <c r="U110" s="435">
        <f t="shared" si="41"/>
        <v>4.9900000000003502</v>
      </c>
      <c r="V110" s="436">
        <f t="shared" si="49"/>
        <v>0</v>
      </c>
      <c r="W110" s="437">
        <f t="shared" si="33"/>
        <v>0</v>
      </c>
      <c r="Z110">
        <v>27.24</v>
      </c>
      <c r="AA110" s="15"/>
      <c r="AB110" s="69">
        <f t="shared" si="42"/>
        <v>0</v>
      </c>
      <c r="AC110" s="245"/>
      <c r="AD110" s="69">
        <f t="shared" si="43"/>
        <v>0</v>
      </c>
      <c r="AE110" s="70"/>
      <c r="AF110" s="71"/>
      <c r="AG110" s="435">
        <f t="shared" si="44"/>
        <v>5.0300000000012233</v>
      </c>
      <c r="AH110" s="436">
        <f t="shared" si="50"/>
        <v>0</v>
      </c>
      <c r="AI110" s="437">
        <f t="shared" si="34"/>
        <v>0</v>
      </c>
      <c r="AL110">
        <v>27.22</v>
      </c>
      <c r="AM110" s="15"/>
      <c r="AN110" s="69">
        <f t="shared" si="45"/>
        <v>0</v>
      </c>
      <c r="AO110" s="245"/>
      <c r="AP110" s="69">
        <f t="shared" si="46"/>
        <v>0</v>
      </c>
      <c r="AQ110" s="70"/>
      <c r="AR110" s="71"/>
      <c r="AS110" s="435">
        <f t="shared" si="47"/>
        <v>6505.58</v>
      </c>
      <c r="AT110" s="436">
        <f t="shared" si="51"/>
        <v>239</v>
      </c>
      <c r="AU110" s="437">
        <f t="shared" si="35"/>
        <v>0</v>
      </c>
    </row>
    <row r="111" spans="2:47" x14ac:dyDescent="0.25">
      <c r="B111">
        <v>27.22</v>
      </c>
      <c r="C111" s="15"/>
      <c r="D111" s="69">
        <f t="shared" si="36"/>
        <v>0</v>
      </c>
      <c r="E111" s="245"/>
      <c r="F111" s="69">
        <f t="shared" si="37"/>
        <v>0</v>
      </c>
      <c r="G111" s="70"/>
      <c r="H111" s="71"/>
      <c r="I111" s="435">
        <f t="shared" si="38"/>
        <v>0</v>
      </c>
      <c r="J111" s="436">
        <f t="shared" si="48"/>
        <v>0</v>
      </c>
      <c r="K111" s="437">
        <f t="shared" si="32"/>
        <v>0</v>
      </c>
      <c r="N111">
        <v>27.22</v>
      </c>
      <c r="O111" s="15"/>
      <c r="P111" s="69">
        <f t="shared" si="39"/>
        <v>0</v>
      </c>
      <c r="Q111" s="245"/>
      <c r="R111" s="69">
        <f t="shared" si="40"/>
        <v>0</v>
      </c>
      <c r="S111" s="70"/>
      <c r="T111" s="71"/>
      <c r="U111" s="435">
        <f t="shared" si="41"/>
        <v>4.9900000000003502</v>
      </c>
      <c r="V111" s="436">
        <f t="shared" si="49"/>
        <v>0</v>
      </c>
      <c r="W111" s="437">
        <f t="shared" si="33"/>
        <v>0</v>
      </c>
      <c r="Z111">
        <v>27.24</v>
      </c>
      <c r="AA111" s="15"/>
      <c r="AB111" s="69">
        <f t="shared" si="42"/>
        <v>0</v>
      </c>
      <c r="AC111" s="245"/>
      <c r="AD111" s="69">
        <f t="shared" si="43"/>
        <v>0</v>
      </c>
      <c r="AE111" s="70"/>
      <c r="AF111" s="71"/>
      <c r="AG111" s="435">
        <f t="shared" si="44"/>
        <v>5.0300000000012233</v>
      </c>
      <c r="AH111" s="436">
        <f t="shared" si="50"/>
        <v>0</v>
      </c>
      <c r="AI111" s="437">
        <f t="shared" si="34"/>
        <v>0</v>
      </c>
      <c r="AL111">
        <v>27.22</v>
      </c>
      <c r="AM111" s="15"/>
      <c r="AN111" s="69">
        <f t="shared" si="45"/>
        <v>0</v>
      </c>
      <c r="AO111" s="245"/>
      <c r="AP111" s="69">
        <f t="shared" si="46"/>
        <v>0</v>
      </c>
      <c r="AQ111" s="70"/>
      <c r="AR111" s="71"/>
      <c r="AS111" s="435">
        <f t="shared" si="47"/>
        <v>6505.58</v>
      </c>
      <c r="AT111" s="436">
        <f t="shared" si="51"/>
        <v>239</v>
      </c>
      <c r="AU111" s="437">
        <f t="shared" si="35"/>
        <v>0</v>
      </c>
    </row>
    <row r="112" spans="2:47" x14ac:dyDescent="0.25">
      <c r="B112">
        <v>27.22</v>
      </c>
      <c r="C112" s="15"/>
      <c r="D112" s="69">
        <f t="shared" si="36"/>
        <v>0</v>
      </c>
      <c r="E112" s="245"/>
      <c r="F112" s="69">
        <f t="shared" si="37"/>
        <v>0</v>
      </c>
      <c r="G112" s="70"/>
      <c r="H112" s="71"/>
      <c r="I112" s="435">
        <f t="shared" si="38"/>
        <v>0</v>
      </c>
      <c r="J112" s="436">
        <f t="shared" si="48"/>
        <v>0</v>
      </c>
      <c r="K112" s="437">
        <f t="shared" si="32"/>
        <v>0</v>
      </c>
      <c r="N112">
        <v>27.22</v>
      </c>
      <c r="O112" s="15"/>
      <c r="P112" s="69">
        <f t="shared" si="39"/>
        <v>0</v>
      </c>
      <c r="Q112" s="245"/>
      <c r="R112" s="69">
        <f t="shared" si="40"/>
        <v>0</v>
      </c>
      <c r="S112" s="70"/>
      <c r="T112" s="71"/>
      <c r="U112" s="435">
        <f t="shared" si="41"/>
        <v>4.9900000000003502</v>
      </c>
      <c r="V112" s="436">
        <f t="shared" si="49"/>
        <v>0</v>
      </c>
      <c r="W112" s="437">
        <f t="shared" si="33"/>
        <v>0</v>
      </c>
      <c r="Z112">
        <v>27.24</v>
      </c>
      <c r="AA112" s="15"/>
      <c r="AB112" s="69">
        <f t="shared" si="42"/>
        <v>0</v>
      </c>
      <c r="AC112" s="245"/>
      <c r="AD112" s="69">
        <f t="shared" si="43"/>
        <v>0</v>
      </c>
      <c r="AE112" s="70"/>
      <c r="AF112" s="71"/>
      <c r="AG112" s="435">
        <f t="shared" si="44"/>
        <v>5.0300000000012233</v>
      </c>
      <c r="AH112" s="436">
        <f t="shared" si="50"/>
        <v>0</v>
      </c>
      <c r="AI112" s="437">
        <f t="shared" si="34"/>
        <v>0</v>
      </c>
      <c r="AL112">
        <v>27.22</v>
      </c>
      <c r="AM112" s="15"/>
      <c r="AN112" s="69">
        <f t="shared" si="45"/>
        <v>0</v>
      </c>
      <c r="AO112" s="245"/>
      <c r="AP112" s="69">
        <f t="shared" si="46"/>
        <v>0</v>
      </c>
      <c r="AQ112" s="70"/>
      <c r="AR112" s="71"/>
      <c r="AS112" s="435">
        <f t="shared" si="47"/>
        <v>6505.58</v>
      </c>
      <c r="AT112" s="436">
        <f t="shared" si="51"/>
        <v>239</v>
      </c>
      <c r="AU112" s="437">
        <f t="shared" si="35"/>
        <v>0</v>
      </c>
    </row>
    <row r="113" spans="1:47" ht="15.75" thickBot="1" x14ac:dyDescent="0.3">
      <c r="A113">
        <f>SUM(A59:A60)</f>
        <v>0</v>
      </c>
      <c r="B113">
        <v>27.22</v>
      </c>
      <c r="C113" s="15"/>
      <c r="D113" s="69">
        <f t="shared" si="36"/>
        <v>0</v>
      </c>
      <c r="E113" s="245"/>
      <c r="F113" s="69">
        <f t="shared" si="37"/>
        <v>0</v>
      </c>
      <c r="G113" s="70"/>
      <c r="H113" s="71"/>
      <c r="I113" s="435">
        <f t="shared" si="38"/>
        <v>0</v>
      </c>
      <c r="J113" s="436">
        <f t="shared" si="48"/>
        <v>0</v>
      </c>
      <c r="K113" s="438">
        <f t="shared" si="32"/>
        <v>0</v>
      </c>
      <c r="M113">
        <f>SUM(M59:M60)</f>
        <v>0</v>
      </c>
      <c r="N113">
        <v>27.22</v>
      </c>
      <c r="O113" s="15"/>
      <c r="P113" s="69">
        <f t="shared" si="39"/>
        <v>0</v>
      </c>
      <c r="Q113" s="245"/>
      <c r="R113" s="69">
        <f t="shared" si="40"/>
        <v>0</v>
      </c>
      <c r="S113" s="70"/>
      <c r="T113" s="71"/>
      <c r="U113" s="435">
        <f t="shared" si="41"/>
        <v>4.9900000000003502</v>
      </c>
      <c r="V113" s="436">
        <f t="shared" si="49"/>
        <v>0</v>
      </c>
      <c r="W113" s="438">
        <f t="shared" si="33"/>
        <v>0</v>
      </c>
      <c r="Y113">
        <f>SUM(Y59:Y60)</f>
        <v>0</v>
      </c>
      <c r="Z113">
        <v>27.24</v>
      </c>
      <c r="AA113" s="15"/>
      <c r="AB113" s="69">
        <f t="shared" si="42"/>
        <v>0</v>
      </c>
      <c r="AC113" s="245"/>
      <c r="AD113" s="69">
        <f t="shared" si="43"/>
        <v>0</v>
      </c>
      <c r="AE113" s="70"/>
      <c r="AF113" s="71"/>
      <c r="AG113" s="435">
        <f t="shared" si="44"/>
        <v>5.0300000000012233</v>
      </c>
      <c r="AH113" s="436">
        <f t="shared" si="50"/>
        <v>0</v>
      </c>
      <c r="AI113" s="438">
        <f t="shared" si="34"/>
        <v>0</v>
      </c>
      <c r="AK113">
        <f>SUM(AK59:AK60)</f>
        <v>0</v>
      </c>
      <c r="AL113">
        <v>27.22</v>
      </c>
      <c r="AM113" s="15"/>
      <c r="AN113" s="69">
        <f t="shared" si="45"/>
        <v>0</v>
      </c>
      <c r="AO113" s="245"/>
      <c r="AP113" s="69">
        <f t="shared" si="46"/>
        <v>0</v>
      </c>
      <c r="AQ113" s="70"/>
      <c r="AR113" s="71"/>
      <c r="AS113" s="435">
        <f t="shared" si="47"/>
        <v>6505.58</v>
      </c>
      <c r="AT113" s="436">
        <f t="shared" si="51"/>
        <v>239</v>
      </c>
      <c r="AU113" s="438">
        <f t="shared" si="35"/>
        <v>0</v>
      </c>
    </row>
    <row r="114" spans="1:47" ht="16.5" thickTop="1" thickBot="1" x14ac:dyDescent="0.3">
      <c r="B114">
        <v>27.22</v>
      </c>
      <c r="C114" s="36"/>
      <c r="D114" s="69">
        <f t="shared" si="36"/>
        <v>0</v>
      </c>
      <c r="E114" s="157"/>
      <c r="F114" s="150">
        <f t="shared" si="37"/>
        <v>0</v>
      </c>
      <c r="G114" s="139"/>
      <c r="H114" s="693"/>
      <c r="I114" s="24"/>
      <c r="J114" s="24"/>
      <c r="K114" s="198">
        <f t="shared" si="32"/>
        <v>0</v>
      </c>
      <c r="N114">
        <v>27.22</v>
      </c>
      <c r="O114" s="36"/>
      <c r="P114" s="69">
        <f t="shared" si="39"/>
        <v>0</v>
      </c>
      <c r="Q114" s="157"/>
      <c r="R114" s="150">
        <f t="shared" si="40"/>
        <v>0</v>
      </c>
      <c r="S114" s="139"/>
      <c r="T114" s="693"/>
      <c r="U114" s="24"/>
      <c r="V114" s="24"/>
      <c r="W114" s="198">
        <f t="shared" si="33"/>
        <v>0</v>
      </c>
      <c r="Z114">
        <v>27.24</v>
      </c>
      <c r="AA114" s="36"/>
      <c r="AB114" s="69">
        <f t="shared" si="42"/>
        <v>0</v>
      </c>
      <c r="AC114" s="157"/>
      <c r="AD114" s="150">
        <f t="shared" si="43"/>
        <v>0</v>
      </c>
      <c r="AE114" s="139"/>
      <c r="AF114" s="693"/>
      <c r="AG114" s="24"/>
      <c r="AH114" s="24"/>
      <c r="AI114" s="198">
        <f t="shared" si="34"/>
        <v>0</v>
      </c>
      <c r="AL114">
        <v>27.22</v>
      </c>
      <c r="AM114" s="36"/>
      <c r="AN114" s="69">
        <f t="shared" si="45"/>
        <v>0</v>
      </c>
      <c r="AO114" s="157"/>
      <c r="AP114" s="150">
        <f t="shared" si="46"/>
        <v>0</v>
      </c>
      <c r="AQ114" s="139"/>
      <c r="AR114" s="693"/>
      <c r="AS114" s="24"/>
      <c r="AT114" s="24"/>
      <c r="AU114" s="198">
        <f t="shared" si="35"/>
        <v>0</v>
      </c>
    </row>
    <row r="115" spans="1:47" x14ac:dyDescent="0.25">
      <c r="C115" s="53">
        <f>SUM(C9:C114)</f>
        <v>184</v>
      </c>
      <c r="D115" s="6">
        <f>SUM(D9:D114)</f>
        <v>5008.4799999999996</v>
      </c>
      <c r="F115" s="6">
        <f>SUM(F9:F114)</f>
        <v>5013.4699999999993</v>
      </c>
      <c r="O115" s="53">
        <f>SUM(O9:O114)</f>
        <v>191</v>
      </c>
      <c r="P115" s="6">
        <f>SUM(P9:P114)</f>
        <v>5199.0199999999986</v>
      </c>
      <c r="R115" s="6">
        <f>SUM(R9:R114)</f>
        <v>5199.0199999999986</v>
      </c>
      <c r="AA115" s="53">
        <f>SUM(AA9:AA114)</f>
        <v>338</v>
      </c>
      <c r="AB115" s="6">
        <f>SUM(AB9:AB114)</f>
        <v>9206.9399999999987</v>
      </c>
      <c r="AD115" s="6">
        <f>SUM(AD9:AD114)</f>
        <v>9206.9399999999987</v>
      </c>
      <c r="AM115" s="53">
        <f>SUM(AM9:AM114)</f>
        <v>100</v>
      </c>
      <c r="AN115" s="6">
        <f>SUM(AN9:AN114)</f>
        <v>2722</v>
      </c>
      <c r="AP115" s="6">
        <f>SUM(AP9:AP114)</f>
        <v>2722</v>
      </c>
    </row>
    <row r="117" spans="1:47" ht="15.75" thickBot="1" x14ac:dyDescent="0.3"/>
    <row r="118" spans="1:47" ht="15.75" thickBot="1" x14ac:dyDescent="0.3">
      <c r="D118" s="45" t="s">
        <v>4</v>
      </c>
      <c r="E118" s="56">
        <f>F5-C115+F4+F6</f>
        <v>0</v>
      </c>
      <c r="P118" s="45" t="s">
        <v>4</v>
      </c>
      <c r="Q118" s="56">
        <f>R5-O115+R4+R6</f>
        <v>0</v>
      </c>
      <c r="AB118" s="45" t="s">
        <v>4</v>
      </c>
      <c r="AC118" s="56">
        <f>AD5-AA115+AD4+AD6</f>
        <v>0</v>
      </c>
      <c r="AN118" s="45" t="s">
        <v>4</v>
      </c>
      <c r="AO118" s="56">
        <f>AP5-AM115+AP4+AP6</f>
        <v>239</v>
      </c>
    </row>
    <row r="119" spans="1:47" ht="15.75" thickBot="1" x14ac:dyDescent="0.3"/>
    <row r="120" spans="1:47" ht="15.75" thickBot="1" x14ac:dyDescent="0.3">
      <c r="C120" s="1388" t="s">
        <v>11</v>
      </c>
      <c r="D120" s="1389"/>
      <c r="E120" s="57">
        <f>E4+E5+E6-F115</f>
        <v>0</v>
      </c>
      <c r="G120" s="47"/>
      <c r="H120" s="91"/>
      <c r="O120" s="1388" t="s">
        <v>11</v>
      </c>
      <c r="P120" s="1389"/>
      <c r="Q120" s="57">
        <f>Q4+Q5+Q6-R115</f>
        <v>4.9900000000006912</v>
      </c>
      <c r="S120" s="47"/>
      <c r="T120" s="91"/>
      <c r="AA120" s="1388" t="s">
        <v>11</v>
      </c>
      <c r="AB120" s="1389"/>
      <c r="AC120" s="57">
        <f>AC4+AC5+AC6-AD115</f>
        <v>5.0300000000024738</v>
      </c>
      <c r="AE120" s="47"/>
      <c r="AF120" s="91"/>
      <c r="AM120" s="1388" t="s">
        <v>11</v>
      </c>
      <c r="AN120" s="1389"/>
      <c r="AO120" s="57">
        <f>AO4+AO5+AO6-AP115</f>
        <v>6505.58</v>
      </c>
      <c r="AQ120" s="47"/>
      <c r="AR120" s="91"/>
    </row>
  </sheetData>
  <mergeCells count="12">
    <mergeCell ref="AK1:AT1"/>
    <mergeCell ref="AK5:AK6"/>
    <mergeCell ref="AM120:AN120"/>
    <mergeCell ref="A1:J1"/>
    <mergeCell ref="A5:A6"/>
    <mergeCell ref="C120:D120"/>
    <mergeCell ref="Y1:AH1"/>
    <mergeCell ref="Y5:Y6"/>
    <mergeCell ref="AA120:AB120"/>
    <mergeCell ref="M1:V1"/>
    <mergeCell ref="M5:M6"/>
    <mergeCell ref="O120:P120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S73"/>
  <sheetViews>
    <sheetView topLeftCell="H1" zoomScaleNormal="100" workbookViewId="0">
      <pane ySplit="8" topLeftCell="A9" activePane="bottomLeft" state="frozen"/>
      <selection pane="bottomLeft" activeCell="L11" sqref="L11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  <col min="11" max="11" width="31" bestFit="1" customWidth="1"/>
    <col min="12" max="12" width="19.7109375" customWidth="1"/>
    <col min="17" max="17" width="12.85546875" bestFit="1" customWidth="1"/>
  </cols>
  <sheetData>
    <row r="1" spans="1:19" ht="40.5" x14ac:dyDescent="0.55000000000000004">
      <c r="A1" s="1386" t="s">
        <v>325</v>
      </c>
      <c r="B1" s="1386"/>
      <c r="C1" s="1386"/>
      <c r="D1" s="1386"/>
      <c r="E1" s="1386"/>
      <c r="F1" s="1386"/>
      <c r="G1" s="1386"/>
      <c r="H1" s="11">
        <v>1</v>
      </c>
      <c r="K1" s="1390" t="s">
        <v>498</v>
      </c>
      <c r="L1" s="1390"/>
      <c r="M1" s="1390"/>
      <c r="N1" s="1390"/>
      <c r="O1" s="1390"/>
      <c r="P1" s="1390"/>
      <c r="Q1" s="1390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24</v>
      </c>
    </row>
    <row r="4" spans="1:19" ht="15.75" thickTop="1" x14ac:dyDescent="0.25">
      <c r="B4" s="83"/>
      <c r="C4" s="880"/>
      <c r="D4" s="881"/>
      <c r="E4" s="943">
        <v>111.09</v>
      </c>
      <c r="F4" s="872">
        <v>6</v>
      </c>
      <c r="G4" s="73"/>
      <c r="L4" s="83"/>
      <c r="M4" s="880"/>
      <c r="N4" s="881"/>
      <c r="O4" s="943">
        <v>244.42</v>
      </c>
      <c r="P4" s="872">
        <v>13</v>
      </c>
      <c r="Q4" s="73"/>
    </row>
    <row r="5" spans="1:19" ht="15.75" customHeight="1" x14ac:dyDescent="0.25">
      <c r="A5" s="1391" t="s">
        <v>223</v>
      </c>
      <c r="B5" s="350" t="s">
        <v>66</v>
      </c>
      <c r="C5" s="710">
        <v>144</v>
      </c>
      <c r="D5" s="711">
        <v>44874</v>
      </c>
      <c r="E5" s="697">
        <v>2545.4699999999998</v>
      </c>
      <c r="F5" s="709">
        <v>128</v>
      </c>
      <c r="G5" s="47">
        <f>F68</f>
        <v>2656.5600000000004</v>
      </c>
      <c r="H5" s="7">
        <f>E5-G5+E4+E6+E7</f>
        <v>-5.9685589803848416E-13</v>
      </c>
      <c r="K5" s="1391" t="s">
        <v>223</v>
      </c>
      <c r="L5" s="350" t="s">
        <v>66</v>
      </c>
      <c r="M5" s="710">
        <v>142</v>
      </c>
      <c r="N5" s="711">
        <v>44915</v>
      </c>
      <c r="O5" s="697">
        <v>1085.3399999999999</v>
      </c>
      <c r="P5" s="709">
        <v>52</v>
      </c>
      <c r="Q5" s="47">
        <f>P68</f>
        <v>309.63</v>
      </c>
      <c r="R5" s="7">
        <f>O5-Q5+O4+O6+O7</f>
        <v>1020.1299999999999</v>
      </c>
    </row>
    <row r="6" spans="1:19" ht="15" customHeight="1" x14ac:dyDescent="0.25">
      <c r="A6" s="1391"/>
      <c r="B6" s="852" t="s">
        <v>67</v>
      </c>
      <c r="C6" s="883"/>
      <c r="D6" s="883"/>
      <c r="E6" s="883"/>
      <c r="F6" s="882"/>
      <c r="K6" s="1391"/>
      <c r="L6" s="1112" t="s">
        <v>67</v>
      </c>
      <c r="M6" s="883"/>
      <c r="N6" s="883"/>
      <c r="O6" s="883"/>
      <c r="P6" s="882"/>
    </row>
    <row r="7" spans="1:19" ht="15.75" thickBot="1" x14ac:dyDescent="0.3">
      <c r="B7" s="73"/>
      <c r="C7" s="884"/>
      <c r="D7" s="884"/>
      <c r="E7" s="884"/>
      <c r="F7" s="882"/>
      <c r="L7" s="73"/>
      <c r="M7" s="884"/>
      <c r="N7" s="884"/>
      <c r="O7" s="884"/>
      <c r="P7" s="882"/>
    </row>
    <row r="8" spans="1:19" ht="16.5" thickTop="1" thickBot="1" x14ac:dyDescent="0.3">
      <c r="B8" s="64" t="s">
        <v>7</v>
      </c>
      <c r="C8" s="821" t="s">
        <v>8</v>
      </c>
      <c r="D8" s="822" t="s">
        <v>3</v>
      </c>
      <c r="E8" s="823" t="s">
        <v>2</v>
      </c>
      <c r="F8" s="9" t="s">
        <v>9</v>
      </c>
      <c r="G8" s="10" t="s">
        <v>15</v>
      </c>
      <c r="H8" s="24"/>
      <c r="L8" s="64" t="s">
        <v>7</v>
      </c>
      <c r="M8" s="821" t="s">
        <v>8</v>
      </c>
      <c r="N8" s="822" t="s">
        <v>3</v>
      </c>
      <c r="O8" s="82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55" t="s">
        <v>32</v>
      </c>
      <c r="B9" s="416">
        <f>F4+F5+F6+F7-C9</f>
        <v>126</v>
      </c>
      <c r="C9" s="127">
        <v>8</v>
      </c>
      <c r="D9" s="69">
        <v>146.94999999999999</v>
      </c>
      <c r="E9" s="245">
        <v>44883</v>
      </c>
      <c r="F9" s="69">
        <f t="shared" ref="F9:F52" si="0">D9</f>
        <v>146.94999999999999</v>
      </c>
      <c r="G9" s="70" t="s">
        <v>286</v>
      </c>
      <c r="H9" s="71">
        <v>145</v>
      </c>
      <c r="I9" s="843">
        <f>E6+E5+E4-F9+E7</f>
        <v>2509.61</v>
      </c>
      <c r="K9" s="55" t="s">
        <v>32</v>
      </c>
      <c r="L9" s="416">
        <f>P4+P5+P6+P7-M9</f>
        <v>50</v>
      </c>
      <c r="M9" s="73">
        <v>15</v>
      </c>
      <c r="N9" s="69">
        <v>309.63</v>
      </c>
      <c r="O9" s="245">
        <v>44926</v>
      </c>
      <c r="P9" s="69">
        <f t="shared" ref="P9" si="1">N9</f>
        <v>309.63</v>
      </c>
      <c r="Q9" s="70" t="s">
        <v>865</v>
      </c>
      <c r="R9" s="71">
        <v>148</v>
      </c>
      <c r="S9" s="843">
        <f>O6+O5+O4-P9+O7</f>
        <v>1020.13</v>
      </c>
    </row>
    <row r="10" spans="1:19" x14ac:dyDescent="0.25">
      <c r="A10" s="77"/>
      <c r="B10" s="182">
        <f t="shared" ref="B10:B52" si="2">B9-C10</f>
        <v>118</v>
      </c>
      <c r="C10" s="127">
        <v>8</v>
      </c>
      <c r="D10" s="69">
        <v>147.13999999999999</v>
      </c>
      <c r="E10" s="245">
        <v>44886</v>
      </c>
      <c r="F10" s="69">
        <f t="shared" si="0"/>
        <v>147.13999999999999</v>
      </c>
      <c r="G10" s="70" t="s">
        <v>291</v>
      </c>
      <c r="H10" s="71">
        <v>148</v>
      </c>
      <c r="I10" s="78">
        <f t="shared" ref="I10:I52" si="3">I9-F10</f>
        <v>2362.4700000000003</v>
      </c>
      <c r="K10" s="77"/>
      <c r="L10" s="182">
        <f t="shared" ref="L10:L52" si="4">L9-M10</f>
        <v>50</v>
      </c>
      <c r="M10" s="127"/>
      <c r="N10" s="69"/>
      <c r="O10" s="245"/>
      <c r="P10" s="69">
        <f t="shared" ref="P10:P52" si="5">N10</f>
        <v>0</v>
      </c>
      <c r="Q10" s="70"/>
      <c r="R10" s="71"/>
      <c r="S10" s="78">
        <f t="shared" ref="S10:S52" si="6">S9-P10</f>
        <v>1020.13</v>
      </c>
    </row>
    <row r="11" spans="1:19" x14ac:dyDescent="0.25">
      <c r="A11" s="12"/>
      <c r="B11" s="182">
        <f t="shared" si="2"/>
        <v>114</v>
      </c>
      <c r="C11" s="127">
        <v>4</v>
      </c>
      <c r="D11" s="69">
        <v>81.99</v>
      </c>
      <c r="E11" s="245">
        <v>44891</v>
      </c>
      <c r="F11" s="69">
        <f t="shared" si="0"/>
        <v>81.99</v>
      </c>
      <c r="G11" s="70" t="s">
        <v>310</v>
      </c>
      <c r="H11" s="71">
        <v>148</v>
      </c>
      <c r="I11" s="78">
        <f t="shared" si="3"/>
        <v>2280.4800000000005</v>
      </c>
      <c r="K11" s="12"/>
      <c r="L11" s="182">
        <f t="shared" si="4"/>
        <v>50</v>
      </c>
      <c r="M11" s="127"/>
      <c r="N11" s="69"/>
      <c r="O11" s="245"/>
      <c r="P11" s="69">
        <f t="shared" si="5"/>
        <v>0</v>
      </c>
      <c r="Q11" s="70"/>
      <c r="R11" s="71"/>
      <c r="S11" s="78">
        <f t="shared" si="6"/>
        <v>1020.13</v>
      </c>
    </row>
    <row r="12" spans="1:19" x14ac:dyDescent="0.25">
      <c r="A12" s="55" t="s">
        <v>33</v>
      </c>
      <c r="B12" s="817">
        <f t="shared" si="2"/>
        <v>110</v>
      </c>
      <c r="C12" s="127">
        <v>4</v>
      </c>
      <c r="D12" s="69">
        <v>83.34</v>
      </c>
      <c r="E12" s="245">
        <v>44891</v>
      </c>
      <c r="F12" s="69">
        <f t="shared" si="0"/>
        <v>83.34</v>
      </c>
      <c r="G12" s="70" t="s">
        <v>313</v>
      </c>
      <c r="H12" s="71">
        <v>148</v>
      </c>
      <c r="I12" s="820">
        <f t="shared" si="3"/>
        <v>2197.1400000000003</v>
      </c>
      <c r="K12" s="55" t="s">
        <v>33</v>
      </c>
      <c r="L12" s="878">
        <f t="shared" si="4"/>
        <v>50</v>
      </c>
      <c r="M12" s="1115"/>
      <c r="N12" s="697"/>
      <c r="O12" s="842"/>
      <c r="P12" s="697">
        <f t="shared" si="5"/>
        <v>0</v>
      </c>
      <c r="Q12" s="695"/>
      <c r="R12" s="696"/>
      <c r="S12" s="843">
        <f t="shared" si="6"/>
        <v>1020.13</v>
      </c>
    </row>
    <row r="13" spans="1:19" x14ac:dyDescent="0.25">
      <c r="A13" s="77"/>
      <c r="B13" s="182">
        <f t="shared" si="2"/>
        <v>104</v>
      </c>
      <c r="C13" s="127">
        <v>6</v>
      </c>
      <c r="D13" s="534">
        <v>115.79</v>
      </c>
      <c r="E13" s="570">
        <v>44893</v>
      </c>
      <c r="F13" s="534">
        <f t="shared" si="0"/>
        <v>115.79</v>
      </c>
      <c r="G13" s="329" t="s">
        <v>571</v>
      </c>
      <c r="H13" s="330">
        <v>148</v>
      </c>
      <c r="I13" s="78">
        <f t="shared" si="3"/>
        <v>2081.3500000000004</v>
      </c>
      <c r="K13" s="77"/>
      <c r="L13" s="878">
        <f t="shared" si="4"/>
        <v>50</v>
      </c>
      <c r="M13" s="1115"/>
      <c r="N13" s="697"/>
      <c r="O13" s="842"/>
      <c r="P13" s="697">
        <f t="shared" si="5"/>
        <v>0</v>
      </c>
      <c r="Q13" s="695"/>
      <c r="R13" s="696"/>
      <c r="S13" s="843">
        <f t="shared" si="6"/>
        <v>1020.13</v>
      </c>
    </row>
    <row r="14" spans="1:19" x14ac:dyDescent="0.25">
      <c r="A14" s="12"/>
      <c r="B14" s="182">
        <f t="shared" si="2"/>
        <v>103</v>
      </c>
      <c r="C14" s="127">
        <v>1</v>
      </c>
      <c r="D14" s="534">
        <v>18.190000000000001</v>
      </c>
      <c r="E14" s="570">
        <v>44895</v>
      </c>
      <c r="F14" s="534">
        <f t="shared" si="0"/>
        <v>18.190000000000001</v>
      </c>
      <c r="G14" s="329" t="s">
        <v>578</v>
      </c>
      <c r="H14" s="330">
        <v>148</v>
      </c>
      <c r="I14" s="78">
        <f t="shared" si="3"/>
        <v>2063.1600000000003</v>
      </c>
      <c r="K14" s="12"/>
      <c r="L14" s="182">
        <f t="shared" si="4"/>
        <v>50</v>
      </c>
      <c r="M14" s="127"/>
      <c r="N14" s="69"/>
      <c r="O14" s="245"/>
      <c r="P14" s="69">
        <f t="shared" si="5"/>
        <v>0</v>
      </c>
      <c r="Q14" s="70"/>
      <c r="R14" s="71"/>
      <c r="S14" s="78">
        <f t="shared" si="6"/>
        <v>1020.13</v>
      </c>
    </row>
    <row r="15" spans="1:19" x14ac:dyDescent="0.25">
      <c r="B15" s="182">
        <f t="shared" si="2"/>
        <v>93</v>
      </c>
      <c r="C15" s="127">
        <v>10</v>
      </c>
      <c r="D15" s="534">
        <v>179.11</v>
      </c>
      <c r="E15" s="570">
        <v>44897</v>
      </c>
      <c r="F15" s="534">
        <f t="shared" si="0"/>
        <v>179.11</v>
      </c>
      <c r="G15" s="329" t="s">
        <v>596</v>
      </c>
      <c r="H15" s="330">
        <v>148</v>
      </c>
      <c r="I15" s="78">
        <f t="shared" si="3"/>
        <v>1884.0500000000002</v>
      </c>
      <c r="L15" s="182">
        <f t="shared" si="4"/>
        <v>50</v>
      </c>
      <c r="M15" s="127"/>
      <c r="N15" s="69"/>
      <c r="O15" s="245"/>
      <c r="P15" s="69">
        <f t="shared" si="5"/>
        <v>0</v>
      </c>
      <c r="Q15" s="70"/>
      <c r="R15" s="71"/>
      <c r="S15" s="78">
        <f t="shared" si="6"/>
        <v>1020.13</v>
      </c>
    </row>
    <row r="16" spans="1:19" x14ac:dyDescent="0.25">
      <c r="B16" s="182">
        <f t="shared" si="2"/>
        <v>92</v>
      </c>
      <c r="C16" s="127">
        <v>1</v>
      </c>
      <c r="D16" s="534">
        <v>17.850000000000001</v>
      </c>
      <c r="E16" s="570">
        <v>44898</v>
      </c>
      <c r="F16" s="534">
        <f t="shared" si="0"/>
        <v>17.850000000000001</v>
      </c>
      <c r="G16" s="329" t="s">
        <v>606</v>
      </c>
      <c r="H16" s="330">
        <v>148</v>
      </c>
      <c r="I16" s="78">
        <f t="shared" si="3"/>
        <v>1866.2000000000003</v>
      </c>
      <c r="L16" s="182">
        <f t="shared" si="4"/>
        <v>50</v>
      </c>
      <c r="M16" s="127"/>
      <c r="N16" s="69"/>
      <c r="O16" s="245"/>
      <c r="P16" s="69">
        <f t="shared" si="5"/>
        <v>0</v>
      </c>
      <c r="Q16" s="70"/>
      <c r="R16" s="71"/>
      <c r="S16" s="78">
        <f t="shared" si="6"/>
        <v>1020.13</v>
      </c>
    </row>
    <row r="17" spans="2:19" x14ac:dyDescent="0.25">
      <c r="B17" s="182">
        <f t="shared" si="2"/>
        <v>91</v>
      </c>
      <c r="C17" s="127">
        <v>1</v>
      </c>
      <c r="D17" s="534">
        <v>17.350000000000001</v>
      </c>
      <c r="E17" s="570">
        <v>44902</v>
      </c>
      <c r="F17" s="534">
        <f t="shared" si="0"/>
        <v>17.350000000000001</v>
      </c>
      <c r="G17" s="329" t="s">
        <v>638</v>
      </c>
      <c r="H17" s="330">
        <v>148</v>
      </c>
      <c r="I17" s="78">
        <f t="shared" si="3"/>
        <v>1848.8500000000004</v>
      </c>
      <c r="L17" s="182">
        <f t="shared" si="4"/>
        <v>50</v>
      </c>
      <c r="M17" s="127"/>
      <c r="N17" s="69"/>
      <c r="O17" s="245"/>
      <c r="P17" s="69">
        <f t="shared" si="5"/>
        <v>0</v>
      </c>
      <c r="Q17" s="70"/>
      <c r="R17" s="71"/>
      <c r="S17" s="78">
        <f t="shared" si="6"/>
        <v>1020.13</v>
      </c>
    </row>
    <row r="18" spans="2:19" x14ac:dyDescent="0.25">
      <c r="B18" s="182">
        <f t="shared" si="2"/>
        <v>90</v>
      </c>
      <c r="C18" s="127">
        <v>1</v>
      </c>
      <c r="D18" s="534">
        <v>17.79</v>
      </c>
      <c r="E18" s="570">
        <v>44904</v>
      </c>
      <c r="F18" s="534">
        <f t="shared" si="0"/>
        <v>17.79</v>
      </c>
      <c r="G18" s="329" t="s">
        <v>653</v>
      </c>
      <c r="H18" s="330">
        <v>148</v>
      </c>
      <c r="I18" s="78">
        <f t="shared" si="3"/>
        <v>1831.0600000000004</v>
      </c>
      <c r="L18" s="182">
        <f t="shared" si="4"/>
        <v>50</v>
      </c>
      <c r="M18" s="127"/>
      <c r="N18" s="69"/>
      <c r="O18" s="245"/>
      <c r="P18" s="69">
        <f t="shared" si="5"/>
        <v>0</v>
      </c>
      <c r="Q18" s="70"/>
      <c r="R18" s="71"/>
      <c r="S18" s="78">
        <f t="shared" si="6"/>
        <v>1020.13</v>
      </c>
    </row>
    <row r="19" spans="2:19" x14ac:dyDescent="0.25">
      <c r="B19" s="182">
        <f t="shared" si="2"/>
        <v>86</v>
      </c>
      <c r="C19" s="127">
        <v>4</v>
      </c>
      <c r="D19" s="534">
        <v>72.3</v>
      </c>
      <c r="E19" s="570">
        <v>44905</v>
      </c>
      <c r="F19" s="534">
        <f t="shared" si="0"/>
        <v>72.3</v>
      </c>
      <c r="G19" s="329" t="s">
        <v>667</v>
      </c>
      <c r="H19" s="330">
        <v>148</v>
      </c>
      <c r="I19" s="78">
        <f t="shared" si="3"/>
        <v>1758.7600000000004</v>
      </c>
      <c r="L19" s="182">
        <f t="shared" si="4"/>
        <v>50</v>
      </c>
      <c r="M19" s="127"/>
      <c r="N19" s="69"/>
      <c r="O19" s="245"/>
      <c r="P19" s="69">
        <f t="shared" si="5"/>
        <v>0</v>
      </c>
      <c r="Q19" s="70"/>
      <c r="R19" s="71"/>
      <c r="S19" s="78">
        <f t="shared" si="6"/>
        <v>1020.13</v>
      </c>
    </row>
    <row r="20" spans="2:19" x14ac:dyDescent="0.25">
      <c r="B20" s="182">
        <f t="shared" si="2"/>
        <v>85</v>
      </c>
      <c r="C20" s="127">
        <v>1</v>
      </c>
      <c r="D20" s="534">
        <v>23.05</v>
      </c>
      <c r="E20" s="570">
        <v>44909</v>
      </c>
      <c r="F20" s="534">
        <f t="shared" si="0"/>
        <v>23.05</v>
      </c>
      <c r="G20" s="329" t="s">
        <v>701</v>
      </c>
      <c r="H20" s="330">
        <v>148</v>
      </c>
      <c r="I20" s="78">
        <f t="shared" si="3"/>
        <v>1735.7100000000005</v>
      </c>
      <c r="L20" s="182">
        <f t="shared" si="4"/>
        <v>50</v>
      </c>
      <c r="M20" s="127"/>
      <c r="N20" s="69"/>
      <c r="O20" s="245"/>
      <c r="P20" s="69">
        <f t="shared" si="5"/>
        <v>0</v>
      </c>
      <c r="Q20" s="70"/>
      <c r="R20" s="71"/>
      <c r="S20" s="78">
        <f t="shared" si="6"/>
        <v>1020.13</v>
      </c>
    </row>
    <row r="21" spans="2:19" x14ac:dyDescent="0.25">
      <c r="B21" s="182">
        <f t="shared" si="2"/>
        <v>83</v>
      </c>
      <c r="C21" s="127">
        <v>2</v>
      </c>
      <c r="D21" s="534">
        <v>41.33</v>
      </c>
      <c r="E21" s="570">
        <v>44909</v>
      </c>
      <c r="F21" s="534">
        <f t="shared" si="0"/>
        <v>41.33</v>
      </c>
      <c r="G21" s="329" t="s">
        <v>703</v>
      </c>
      <c r="H21" s="330">
        <v>148</v>
      </c>
      <c r="I21" s="78">
        <f t="shared" si="3"/>
        <v>1694.3800000000006</v>
      </c>
      <c r="L21" s="182">
        <f t="shared" si="4"/>
        <v>50</v>
      </c>
      <c r="M21" s="127"/>
      <c r="N21" s="69"/>
      <c r="O21" s="245"/>
      <c r="P21" s="69">
        <f t="shared" si="5"/>
        <v>0</v>
      </c>
      <c r="Q21" s="70"/>
      <c r="R21" s="71"/>
      <c r="S21" s="78">
        <f t="shared" si="6"/>
        <v>1020.13</v>
      </c>
    </row>
    <row r="22" spans="2:19" x14ac:dyDescent="0.25">
      <c r="B22" s="182">
        <f t="shared" si="2"/>
        <v>72</v>
      </c>
      <c r="C22" s="127">
        <v>11</v>
      </c>
      <c r="D22" s="534">
        <v>197.87</v>
      </c>
      <c r="E22" s="570">
        <v>44909</v>
      </c>
      <c r="F22" s="534">
        <f t="shared" si="0"/>
        <v>197.87</v>
      </c>
      <c r="G22" s="329" t="s">
        <v>704</v>
      </c>
      <c r="H22" s="330">
        <v>148</v>
      </c>
      <c r="I22" s="78">
        <f t="shared" si="3"/>
        <v>1496.5100000000007</v>
      </c>
      <c r="L22" s="182">
        <f t="shared" si="4"/>
        <v>50</v>
      </c>
      <c r="M22" s="127"/>
      <c r="N22" s="69"/>
      <c r="O22" s="245"/>
      <c r="P22" s="69">
        <f t="shared" si="5"/>
        <v>0</v>
      </c>
      <c r="Q22" s="70"/>
      <c r="R22" s="71"/>
      <c r="S22" s="78">
        <f t="shared" si="6"/>
        <v>1020.13</v>
      </c>
    </row>
    <row r="23" spans="2:19" x14ac:dyDescent="0.25">
      <c r="B23" s="182">
        <f t="shared" si="2"/>
        <v>71</v>
      </c>
      <c r="C23" s="127">
        <v>1</v>
      </c>
      <c r="D23" s="534">
        <v>20.14</v>
      </c>
      <c r="E23" s="570">
        <v>44912</v>
      </c>
      <c r="F23" s="534">
        <f t="shared" si="0"/>
        <v>20.14</v>
      </c>
      <c r="G23" s="329" t="s">
        <v>742</v>
      </c>
      <c r="H23" s="330">
        <v>148</v>
      </c>
      <c r="I23" s="78">
        <f t="shared" si="3"/>
        <v>1476.3700000000006</v>
      </c>
      <c r="L23" s="182">
        <f t="shared" si="4"/>
        <v>50</v>
      </c>
      <c r="M23" s="127"/>
      <c r="N23" s="69"/>
      <c r="O23" s="245"/>
      <c r="P23" s="69">
        <f t="shared" si="5"/>
        <v>0</v>
      </c>
      <c r="Q23" s="70"/>
      <c r="R23" s="71"/>
      <c r="S23" s="78">
        <f t="shared" si="6"/>
        <v>1020.13</v>
      </c>
    </row>
    <row r="24" spans="2:19" x14ac:dyDescent="0.25">
      <c r="B24" s="182">
        <f t="shared" si="2"/>
        <v>59</v>
      </c>
      <c r="C24" s="127">
        <v>12</v>
      </c>
      <c r="D24" s="534">
        <v>252.95</v>
      </c>
      <c r="E24" s="570">
        <v>44912</v>
      </c>
      <c r="F24" s="534">
        <f t="shared" si="0"/>
        <v>252.95</v>
      </c>
      <c r="G24" s="329" t="s">
        <v>744</v>
      </c>
      <c r="H24" s="330">
        <v>148</v>
      </c>
      <c r="I24" s="78">
        <f t="shared" si="3"/>
        <v>1223.4200000000005</v>
      </c>
      <c r="L24" s="182">
        <f t="shared" si="4"/>
        <v>50</v>
      </c>
      <c r="M24" s="127"/>
      <c r="N24" s="69"/>
      <c r="O24" s="245"/>
      <c r="P24" s="69">
        <f t="shared" si="5"/>
        <v>0</v>
      </c>
      <c r="Q24" s="70"/>
      <c r="R24" s="71"/>
      <c r="S24" s="78">
        <f t="shared" si="6"/>
        <v>1020.13</v>
      </c>
    </row>
    <row r="25" spans="2:19" x14ac:dyDescent="0.25">
      <c r="B25" s="182">
        <f t="shared" si="2"/>
        <v>58</v>
      </c>
      <c r="C25" s="127">
        <v>1</v>
      </c>
      <c r="D25" s="534">
        <v>22.42</v>
      </c>
      <c r="E25" s="570">
        <v>44914</v>
      </c>
      <c r="F25" s="534">
        <f t="shared" si="0"/>
        <v>22.42</v>
      </c>
      <c r="G25" s="329" t="s">
        <v>752</v>
      </c>
      <c r="H25" s="330">
        <v>148</v>
      </c>
      <c r="I25" s="78">
        <f t="shared" si="3"/>
        <v>1201.0000000000005</v>
      </c>
      <c r="L25" s="182">
        <f t="shared" si="4"/>
        <v>50</v>
      </c>
      <c r="M25" s="127"/>
      <c r="N25" s="69"/>
      <c r="O25" s="245"/>
      <c r="P25" s="69">
        <f t="shared" si="5"/>
        <v>0</v>
      </c>
      <c r="Q25" s="70"/>
      <c r="R25" s="71"/>
      <c r="S25" s="78">
        <f t="shared" si="6"/>
        <v>1020.13</v>
      </c>
    </row>
    <row r="26" spans="2:19" x14ac:dyDescent="0.25">
      <c r="B26" s="182">
        <f t="shared" si="2"/>
        <v>52</v>
      </c>
      <c r="C26" s="127">
        <v>6</v>
      </c>
      <c r="D26" s="534">
        <v>122.2</v>
      </c>
      <c r="E26" s="570">
        <v>44918</v>
      </c>
      <c r="F26" s="534">
        <f t="shared" si="0"/>
        <v>122.2</v>
      </c>
      <c r="G26" s="329" t="s">
        <v>808</v>
      </c>
      <c r="H26" s="330">
        <v>148</v>
      </c>
      <c r="I26" s="78">
        <f t="shared" si="3"/>
        <v>1078.8000000000004</v>
      </c>
      <c r="L26" s="182">
        <f t="shared" si="4"/>
        <v>50</v>
      </c>
      <c r="M26" s="127"/>
      <c r="N26" s="69"/>
      <c r="O26" s="245"/>
      <c r="P26" s="69">
        <f t="shared" si="5"/>
        <v>0</v>
      </c>
      <c r="Q26" s="70"/>
      <c r="R26" s="71"/>
      <c r="S26" s="78">
        <f t="shared" si="6"/>
        <v>1020.13</v>
      </c>
    </row>
    <row r="27" spans="2:19" x14ac:dyDescent="0.25">
      <c r="B27" s="182">
        <f t="shared" si="2"/>
        <v>40</v>
      </c>
      <c r="C27" s="127">
        <v>12</v>
      </c>
      <c r="D27" s="534">
        <v>258.67</v>
      </c>
      <c r="E27" s="570">
        <v>44919</v>
      </c>
      <c r="F27" s="534">
        <f t="shared" si="0"/>
        <v>258.67</v>
      </c>
      <c r="G27" s="329" t="s">
        <v>820</v>
      </c>
      <c r="H27" s="330">
        <v>148</v>
      </c>
      <c r="I27" s="78">
        <f t="shared" si="3"/>
        <v>820.13000000000034</v>
      </c>
      <c r="L27" s="182">
        <f t="shared" si="4"/>
        <v>50</v>
      </c>
      <c r="M27" s="127"/>
      <c r="N27" s="69"/>
      <c r="O27" s="245"/>
      <c r="P27" s="69">
        <f t="shared" si="5"/>
        <v>0</v>
      </c>
      <c r="Q27" s="70"/>
      <c r="R27" s="71"/>
      <c r="S27" s="78">
        <f t="shared" si="6"/>
        <v>1020.13</v>
      </c>
    </row>
    <row r="28" spans="2:19" x14ac:dyDescent="0.25">
      <c r="B28" s="182">
        <f t="shared" si="2"/>
        <v>38</v>
      </c>
      <c r="C28" s="127">
        <v>2</v>
      </c>
      <c r="D28" s="534">
        <v>43.68</v>
      </c>
      <c r="E28" s="570">
        <v>44918</v>
      </c>
      <c r="F28" s="534">
        <f t="shared" si="0"/>
        <v>43.68</v>
      </c>
      <c r="G28" s="329" t="s">
        <v>810</v>
      </c>
      <c r="H28" s="330">
        <v>148</v>
      </c>
      <c r="I28" s="78">
        <f t="shared" si="3"/>
        <v>776.45000000000039</v>
      </c>
      <c r="L28" s="182">
        <f t="shared" si="4"/>
        <v>50</v>
      </c>
      <c r="M28" s="127"/>
      <c r="N28" s="69"/>
      <c r="O28" s="245"/>
      <c r="P28" s="69">
        <f t="shared" si="5"/>
        <v>0</v>
      </c>
      <c r="Q28" s="70"/>
      <c r="R28" s="71"/>
      <c r="S28" s="78">
        <f t="shared" si="6"/>
        <v>1020.13</v>
      </c>
    </row>
    <row r="29" spans="2:19" x14ac:dyDescent="0.25">
      <c r="B29" s="182">
        <f t="shared" si="2"/>
        <v>35</v>
      </c>
      <c r="C29" s="127">
        <v>3</v>
      </c>
      <c r="D29" s="534">
        <v>65.83</v>
      </c>
      <c r="E29" s="570">
        <v>44922</v>
      </c>
      <c r="F29" s="534">
        <f t="shared" si="0"/>
        <v>65.83</v>
      </c>
      <c r="G29" s="329" t="s">
        <v>832</v>
      </c>
      <c r="H29" s="330">
        <v>148</v>
      </c>
      <c r="I29" s="78">
        <f t="shared" si="3"/>
        <v>710.62000000000035</v>
      </c>
      <c r="L29" s="182">
        <f t="shared" si="4"/>
        <v>50</v>
      </c>
      <c r="M29" s="127"/>
      <c r="N29" s="69"/>
      <c r="O29" s="245"/>
      <c r="P29" s="69">
        <f t="shared" si="5"/>
        <v>0</v>
      </c>
      <c r="Q29" s="70"/>
      <c r="R29" s="71"/>
      <c r="S29" s="78">
        <f t="shared" si="6"/>
        <v>1020.13</v>
      </c>
    </row>
    <row r="30" spans="2:19" x14ac:dyDescent="0.25">
      <c r="B30" s="182">
        <f t="shared" si="2"/>
        <v>33</v>
      </c>
      <c r="C30" s="127">
        <v>2</v>
      </c>
      <c r="D30" s="534">
        <v>45.92</v>
      </c>
      <c r="E30" s="570">
        <v>44924</v>
      </c>
      <c r="F30" s="534">
        <f t="shared" si="0"/>
        <v>45.92</v>
      </c>
      <c r="G30" s="329" t="s">
        <v>846</v>
      </c>
      <c r="H30" s="330">
        <v>148</v>
      </c>
      <c r="I30" s="78">
        <f t="shared" si="3"/>
        <v>664.70000000000039</v>
      </c>
      <c r="L30" s="182">
        <f t="shared" si="4"/>
        <v>50</v>
      </c>
      <c r="M30" s="127"/>
      <c r="N30" s="69"/>
      <c r="O30" s="245"/>
      <c r="P30" s="69">
        <f t="shared" si="5"/>
        <v>0</v>
      </c>
      <c r="Q30" s="70"/>
      <c r="R30" s="71"/>
      <c r="S30" s="78">
        <f t="shared" si="6"/>
        <v>1020.13</v>
      </c>
    </row>
    <row r="31" spans="2:19" x14ac:dyDescent="0.25">
      <c r="B31" s="182">
        <f t="shared" si="2"/>
        <v>18</v>
      </c>
      <c r="C31" s="73">
        <v>15</v>
      </c>
      <c r="D31" s="534">
        <v>313.43</v>
      </c>
      <c r="E31" s="570">
        <v>44925</v>
      </c>
      <c r="F31" s="534">
        <f t="shared" si="0"/>
        <v>313.43</v>
      </c>
      <c r="G31" s="329" t="s">
        <v>852</v>
      </c>
      <c r="H31" s="330">
        <v>148</v>
      </c>
      <c r="I31" s="78">
        <f t="shared" si="3"/>
        <v>351.27000000000038</v>
      </c>
      <c r="L31" s="182">
        <f t="shared" si="4"/>
        <v>50</v>
      </c>
      <c r="M31" s="73"/>
      <c r="N31" s="69"/>
      <c r="O31" s="245"/>
      <c r="P31" s="69">
        <f t="shared" si="5"/>
        <v>0</v>
      </c>
      <c r="Q31" s="70"/>
      <c r="R31" s="71"/>
      <c r="S31" s="78">
        <f t="shared" si="6"/>
        <v>1020.13</v>
      </c>
    </row>
    <row r="32" spans="2:19" x14ac:dyDescent="0.25">
      <c r="B32" s="182">
        <f t="shared" si="2"/>
        <v>13</v>
      </c>
      <c r="C32" s="73">
        <v>5</v>
      </c>
      <c r="D32" s="534">
        <v>106.85</v>
      </c>
      <c r="E32" s="570">
        <v>44926</v>
      </c>
      <c r="F32" s="534">
        <f t="shared" si="0"/>
        <v>106.85</v>
      </c>
      <c r="G32" s="329" t="s">
        <v>858</v>
      </c>
      <c r="H32" s="330">
        <v>148</v>
      </c>
      <c r="I32" s="78">
        <f t="shared" si="3"/>
        <v>244.42000000000039</v>
      </c>
      <c r="L32" s="182">
        <f t="shared" si="4"/>
        <v>50</v>
      </c>
      <c r="M32" s="73"/>
      <c r="N32" s="69"/>
      <c r="O32" s="245"/>
      <c r="P32" s="69">
        <f t="shared" si="5"/>
        <v>0</v>
      </c>
      <c r="Q32" s="70"/>
      <c r="R32" s="71"/>
      <c r="S32" s="78">
        <f t="shared" si="6"/>
        <v>1020.13</v>
      </c>
    </row>
    <row r="33" spans="2:19" x14ac:dyDescent="0.25">
      <c r="B33" s="182">
        <f t="shared" si="2"/>
        <v>13</v>
      </c>
      <c r="C33" s="73"/>
      <c r="D33" s="534"/>
      <c r="E33" s="570"/>
      <c r="F33" s="534">
        <f t="shared" si="0"/>
        <v>0</v>
      </c>
      <c r="G33" s="329"/>
      <c r="H33" s="330"/>
      <c r="I33" s="78">
        <f t="shared" si="3"/>
        <v>244.42000000000039</v>
      </c>
      <c r="L33" s="182">
        <f t="shared" si="4"/>
        <v>50</v>
      </c>
      <c r="M33" s="73"/>
      <c r="N33" s="69"/>
      <c r="O33" s="245"/>
      <c r="P33" s="69">
        <f t="shared" si="5"/>
        <v>0</v>
      </c>
      <c r="Q33" s="70"/>
      <c r="R33" s="71"/>
      <c r="S33" s="78">
        <f t="shared" si="6"/>
        <v>1020.13</v>
      </c>
    </row>
    <row r="34" spans="2:19" x14ac:dyDescent="0.25">
      <c r="B34" s="182">
        <f t="shared" si="2"/>
        <v>13</v>
      </c>
      <c r="C34" s="73"/>
      <c r="D34" s="534"/>
      <c r="E34" s="570"/>
      <c r="F34" s="1160">
        <f t="shared" si="0"/>
        <v>0</v>
      </c>
      <c r="G34" s="1161"/>
      <c r="H34" s="1162"/>
      <c r="I34" s="1168">
        <f t="shared" si="3"/>
        <v>244.42000000000039</v>
      </c>
      <c r="L34" s="182">
        <f t="shared" si="4"/>
        <v>50</v>
      </c>
      <c r="M34" s="73"/>
      <c r="N34" s="69"/>
      <c r="O34" s="245"/>
      <c r="P34" s="69">
        <f t="shared" si="5"/>
        <v>0</v>
      </c>
      <c r="Q34" s="70"/>
      <c r="R34" s="71"/>
      <c r="S34" s="78">
        <f t="shared" si="6"/>
        <v>1020.13</v>
      </c>
    </row>
    <row r="35" spans="2:19" x14ac:dyDescent="0.25">
      <c r="B35" s="182">
        <f t="shared" si="2"/>
        <v>13</v>
      </c>
      <c r="C35" s="73"/>
      <c r="D35" s="534"/>
      <c r="E35" s="570"/>
      <c r="F35" s="1160">
        <f t="shared" si="0"/>
        <v>0</v>
      </c>
      <c r="G35" s="1161"/>
      <c r="H35" s="1162"/>
      <c r="I35" s="1168">
        <f t="shared" si="3"/>
        <v>244.42000000000039</v>
      </c>
      <c r="L35" s="182">
        <f t="shared" si="4"/>
        <v>50</v>
      </c>
      <c r="M35" s="73"/>
      <c r="N35" s="69"/>
      <c r="O35" s="245"/>
      <c r="P35" s="69">
        <f t="shared" si="5"/>
        <v>0</v>
      </c>
      <c r="Q35" s="70"/>
      <c r="R35" s="71"/>
      <c r="S35" s="78">
        <f t="shared" si="6"/>
        <v>1020.13</v>
      </c>
    </row>
    <row r="36" spans="2:19" x14ac:dyDescent="0.25">
      <c r="B36" s="182">
        <f t="shared" si="2"/>
        <v>0</v>
      </c>
      <c r="C36" s="73">
        <v>13</v>
      </c>
      <c r="D36" s="534"/>
      <c r="E36" s="570"/>
      <c r="F36" s="1160">
        <v>244.42</v>
      </c>
      <c r="G36" s="1161"/>
      <c r="H36" s="1162"/>
      <c r="I36" s="1168">
        <f t="shared" si="3"/>
        <v>3.979039320256561E-13</v>
      </c>
      <c r="L36" s="182">
        <f t="shared" si="4"/>
        <v>50</v>
      </c>
      <c r="M36" s="73"/>
      <c r="N36" s="69"/>
      <c r="O36" s="245"/>
      <c r="P36" s="69">
        <f t="shared" si="5"/>
        <v>0</v>
      </c>
      <c r="Q36" s="70"/>
      <c r="R36" s="71"/>
      <c r="S36" s="78">
        <f t="shared" si="6"/>
        <v>1020.13</v>
      </c>
    </row>
    <row r="37" spans="2:19" x14ac:dyDescent="0.25">
      <c r="B37" s="182">
        <f t="shared" si="2"/>
        <v>0</v>
      </c>
      <c r="C37" s="73"/>
      <c r="D37" s="534"/>
      <c r="E37" s="570"/>
      <c r="F37" s="1160">
        <f t="shared" si="0"/>
        <v>0</v>
      </c>
      <c r="G37" s="1161"/>
      <c r="H37" s="1162"/>
      <c r="I37" s="1168">
        <f t="shared" si="3"/>
        <v>3.979039320256561E-13</v>
      </c>
      <c r="L37" s="182">
        <f t="shared" si="4"/>
        <v>50</v>
      </c>
      <c r="M37" s="73"/>
      <c r="N37" s="69"/>
      <c r="O37" s="245"/>
      <c r="P37" s="69">
        <f t="shared" si="5"/>
        <v>0</v>
      </c>
      <c r="Q37" s="70"/>
      <c r="R37" s="71"/>
      <c r="S37" s="78">
        <f t="shared" si="6"/>
        <v>1020.13</v>
      </c>
    </row>
    <row r="38" spans="2:19" x14ac:dyDescent="0.25">
      <c r="B38" s="182">
        <f t="shared" si="2"/>
        <v>0</v>
      </c>
      <c r="C38" s="15"/>
      <c r="D38" s="534"/>
      <c r="E38" s="570"/>
      <c r="F38" s="1160">
        <f t="shared" si="0"/>
        <v>0</v>
      </c>
      <c r="G38" s="1161"/>
      <c r="H38" s="1162"/>
      <c r="I38" s="1168">
        <f t="shared" si="3"/>
        <v>3.979039320256561E-13</v>
      </c>
      <c r="L38" s="182">
        <f t="shared" si="4"/>
        <v>50</v>
      </c>
      <c r="M38" s="15"/>
      <c r="N38" s="69"/>
      <c r="O38" s="245"/>
      <c r="P38" s="69">
        <f t="shared" si="5"/>
        <v>0</v>
      </c>
      <c r="Q38" s="70"/>
      <c r="R38" s="71"/>
      <c r="S38" s="78">
        <f t="shared" si="6"/>
        <v>1020.13</v>
      </c>
    </row>
    <row r="39" spans="2:19" x14ac:dyDescent="0.25">
      <c r="B39" s="182">
        <f t="shared" si="2"/>
        <v>0</v>
      </c>
      <c r="C39" s="15"/>
      <c r="D39" s="534"/>
      <c r="E39" s="570"/>
      <c r="F39" s="534">
        <f t="shared" si="0"/>
        <v>0</v>
      </c>
      <c r="G39" s="329"/>
      <c r="H39" s="330"/>
      <c r="I39" s="78">
        <f t="shared" si="3"/>
        <v>3.979039320256561E-13</v>
      </c>
      <c r="L39" s="182">
        <f t="shared" si="4"/>
        <v>50</v>
      </c>
      <c r="M39" s="15"/>
      <c r="N39" s="69"/>
      <c r="O39" s="245"/>
      <c r="P39" s="69">
        <f t="shared" si="5"/>
        <v>0</v>
      </c>
      <c r="Q39" s="70"/>
      <c r="R39" s="71"/>
      <c r="S39" s="78">
        <f t="shared" si="6"/>
        <v>1020.13</v>
      </c>
    </row>
    <row r="40" spans="2:19" x14ac:dyDescent="0.25">
      <c r="B40" s="182">
        <f t="shared" si="2"/>
        <v>0</v>
      </c>
      <c r="C40" s="15"/>
      <c r="D40" s="534"/>
      <c r="E40" s="570"/>
      <c r="F40" s="534">
        <f t="shared" si="0"/>
        <v>0</v>
      </c>
      <c r="G40" s="329"/>
      <c r="H40" s="330"/>
      <c r="I40" s="78">
        <f t="shared" si="3"/>
        <v>3.979039320256561E-13</v>
      </c>
      <c r="L40" s="182">
        <f t="shared" si="4"/>
        <v>50</v>
      </c>
      <c r="M40" s="15"/>
      <c r="N40" s="69"/>
      <c r="O40" s="245"/>
      <c r="P40" s="69">
        <f t="shared" si="5"/>
        <v>0</v>
      </c>
      <c r="Q40" s="70"/>
      <c r="R40" s="71"/>
      <c r="S40" s="78">
        <f t="shared" si="6"/>
        <v>1020.13</v>
      </c>
    </row>
    <row r="41" spans="2:19" x14ac:dyDescent="0.25">
      <c r="B41" s="182">
        <f t="shared" si="2"/>
        <v>0</v>
      </c>
      <c r="C41" s="15"/>
      <c r="D41" s="534"/>
      <c r="E41" s="570"/>
      <c r="F41" s="534">
        <f t="shared" si="0"/>
        <v>0</v>
      </c>
      <c r="G41" s="329"/>
      <c r="H41" s="330"/>
      <c r="I41" s="78">
        <f t="shared" si="3"/>
        <v>3.979039320256561E-13</v>
      </c>
      <c r="L41" s="182">
        <f t="shared" si="4"/>
        <v>50</v>
      </c>
      <c r="M41" s="15"/>
      <c r="N41" s="69"/>
      <c r="O41" s="245"/>
      <c r="P41" s="69">
        <f t="shared" si="5"/>
        <v>0</v>
      </c>
      <c r="Q41" s="70"/>
      <c r="R41" s="71"/>
      <c r="S41" s="78">
        <f t="shared" si="6"/>
        <v>1020.13</v>
      </c>
    </row>
    <row r="42" spans="2:19" x14ac:dyDescent="0.25">
      <c r="B42" s="182">
        <f t="shared" si="2"/>
        <v>0</v>
      </c>
      <c r="C42" s="15"/>
      <c r="D42" s="534"/>
      <c r="E42" s="570"/>
      <c r="F42" s="534">
        <f t="shared" si="0"/>
        <v>0</v>
      </c>
      <c r="G42" s="329"/>
      <c r="H42" s="330"/>
      <c r="I42" s="78">
        <f t="shared" si="3"/>
        <v>3.979039320256561E-13</v>
      </c>
      <c r="L42" s="182">
        <f t="shared" si="4"/>
        <v>50</v>
      </c>
      <c r="M42" s="15"/>
      <c r="N42" s="69"/>
      <c r="O42" s="245"/>
      <c r="P42" s="69">
        <f t="shared" si="5"/>
        <v>0</v>
      </c>
      <c r="Q42" s="70"/>
      <c r="R42" s="71"/>
      <c r="S42" s="78">
        <f t="shared" si="6"/>
        <v>1020.13</v>
      </c>
    </row>
    <row r="43" spans="2:19" x14ac:dyDescent="0.25">
      <c r="B43" s="182">
        <f t="shared" si="2"/>
        <v>0</v>
      </c>
      <c r="C43" s="15"/>
      <c r="D43" s="534"/>
      <c r="E43" s="570"/>
      <c r="F43" s="534">
        <f t="shared" si="0"/>
        <v>0</v>
      </c>
      <c r="G43" s="329"/>
      <c r="H43" s="330"/>
      <c r="I43" s="78">
        <f t="shared" si="3"/>
        <v>3.979039320256561E-13</v>
      </c>
      <c r="L43" s="182">
        <f t="shared" si="4"/>
        <v>50</v>
      </c>
      <c r="M43" s="15"/>
      <c r="N43" s="69"/>
      <c r="O43" s="245"/>
      <c r="P43" s="69">
        <f t="shared" si="5"/>
        <v>0</v>
      </c>
      <c r="Q43" s="70"/>
      <c r="R43" s="71"/>
      <c r="S43" s="78">
        <f t="shared" si="6"/>
        <v>1020.13</v>
      </c>
    </row>
    <row r="44" spans="2:19" x14ac:dyDescent="0.25">
      <c r="B44" s="182">
        <f t="shared" si="2"/>
        <v>0</v>
      </c>
      <c r="C44" s="15"/>
      <c r="D44" s="69"/>
      <c r="E44" s="245"/>
      <c r="F44" s="69">
        <f t="shared" si="0"/>
        <v>0</v>
      </c>
      <c r="G44" s="70"/>
      <c r="H44" s="71"/>
      <c r="I44" s="78">
        <f t="shared" si="3"/>
        <v>3.979039320256561E-13</v>
      </c>
      <c r="L44" s="182">
        <f t="shared" si="4"/>
        <v>50</v>
      </c>
      <c r="M44" s="15"/>
      <c r="N44" s="69"/>
      <c r="O44" s="245"/>
      <c r="P44" s="69">
        <f t="shared" si="5"/>
        <v>0</v>
      </c>
      <c r="Q44" s="70"/>
      <c r="R44" s="71"/>
      <c r="S44" s="78">
        <f t="shared" si="6"/>
        <v>1020.13</v>
      </c>
    </row>
    <row r="45" spans="2:19" x14ac:dyDescent="0.25">
      <c r="B45" s="182">
        <f t="shared" si="2"/>
        <v>0</v>
      </c>
      <c r="C45" s="15"/>
      <c r="D45" s="69"/>
      <c r="E45" s="245"/>
      <c r="F45" s="69">
        <f t="shared" si="0"/>
        <v>0</v>
      </c>
      <c r="G45" s="70"/>
      <c r="H45" s="71"/>
      <c r="I45" s="78">
        <f t="shared" si="3"/>
        <v>3.979039320256561E-13</v>
      </c>
      <c r="L45" s="182">
        <f t="shared" si="4"/>
        <v>50</v>
      </c>
      <c r="M45" s="15"/>
      <c r="N45" s="69"/>
      <c r="O45" s="245"/>
      <c r="P45" s="69">
        <f t="shared" si="5"/>
        <v>0</v>
      </c>
      <c r="Q45" s="70"/>
      <c r="R45" s="71"/>
      <c r="S45" s="78">
        <f t="shared" si="6"/>
        <v>1020.13</v>
      </c>
    </row>
    <row r="46" spans="2:19" x14ac:dyDescent="0.25">
      <c r="B46" s="182">
        <f t="shared" si="2"/>
        <v>0</v>
      </c>
      <c r="C46" s="15"/>
      <c r="D46" s="69"/>
      <c r="E46" s="245"/>
      <c r="F46" s="69">
        <f t="shared" si="0"/>
        <v>0</v>
      </c>
      <c r="G46" s="70"/>
      <c r="H46" s="71"/>
      <c r="I46" s="78">
        <f t="shared" si="3"/>
        <v>3.979039320256561E-13</v>
      </c>
      <c r="L46" s="182">
        <f t="shared" si="4"/>
        <v>50</v>
      </c>
      <c r="M46" s="15"/>
      <c r="N46" s="69"/>
      <c r="O46" s="245"/>
      <c r="P46" s="69">
        <f t="shared" si="5"/>
        <v>0</v>
      </c>
      <c r="Q46" s="70"/>
      <c r="R46" s="71"/>
      <c r="S46" s="78">
        <f t="shared" si="6"/>
        <v>1020.13</v>
      </c>
    </row>
    <row r="47" spans="2:19" x14ac:dyDescent="0.25">
      <c r="B47" s="182">
        <f t="shared" si="2"/>
        <v>0</v>
      </c>
      <c r="C47" s="15"/>
      <c r="D47" s="69"/>
      <c r="E47" s="245"/>
      <c r="F47" s="69">
        <f t="shared" si="0"/>
        <v>0</v>
      </c>
      <c r="G47" s="70"/>
      <c r="H47" s="71"/>
      <c r="I47" s="78">
        <f t="shared" si="3"/>
        <v>3.979039320256561E-13</v>
      </c>
      <c r="L47" s="182">
        <f t="shared" si="4"/>
        <v>50</v>
      </c>
      <c r="M47" s="15"/>
      <c r="N47" s="69"/>
      <c r="O47" s="245"/>
      <c r="P47" s="69">
        <f t="shared" si="5"/>
        <v>0</v>
      </c>
      <c r="Q47" s="70"/>
      <c r="R47" s="71"/>
      <c r="S47" s="78">
        <f t="shared" si="6"/>
        <v>1020.13</v>
      </c>
    </row>
    <row r="48" spans="2:19" x14ac:dyDescent="0.25">
      <c r="B48" s="182">
        <f t="shared" si="2"/>
        <v>0</v>
      </c>
      <c r="C48" s="15"/>
      <c r="D48" s="69"/>
      <c r="E48" s="245"/>
      <c r="F48" s="69">
        <f t="shared" si="0"/>
        <v>0</v>
      </c>
      <c r="G48" s="70"/>
      <c r="H48" s="71"/>
      <c r="I48" s="78">
        <f t="shared" si="3"/>
        <v>3.979039320256561E-13</v>
      </c>
      <c r="L48" s="182">
        <f t="shared" si="4"/>
        <v>50</v>
      </c>
      <c r="M48" s="15"/>
      <c r="N48" s="69"/>
      <c r="O48" s="245"/>
      <c r="P48" s="69">
        <f t="shared" si="5"/>
        <v>0</v>
      </c>
      <c r="Q48" s="70"/>
      <c r="R48" s="71"/>
      <c r="S48" s="78">
        <f t="shared" si="6"/>
        <v>1020.13</v>
      </c>
    </row>
    <row r="49" spans="2:19" x14ac:dyDescent="0.25">
      <c r="B49" s="182">
        <f t="shared" si="2"/>
        <v>0</v>
      </c>
      <c r="C49" s="15"/>
      <c r="D49" s="69"/>
      <c r="E49" s="245"/>
      <c r="F49" s="69">
        <f t="shared" si="0"/>
        <v>0</v>
      </c>
      <c r="G49" s="70"/>
      <c r="H49" s="71"/>
      <c r="I49" s="78">
        <f t="shared" si="3"/>
        <v>3.979039320256561E-13</v>
      </c>
      <c r="L49" s="182">
        <f t="shared" si="4"/>
        <v>50</v>
      </c>
      <c r="M49" s="15"/>
      <c r="N49" s="69"/>
      <c r="O49" s="245"/>
      <c r="P49" s="69">
        <f t="shared" si="5"/>
        <v>0</v>
      </c>
      <c r="Q49" s="70"/>
      <c r="R49" s="71"/>
      <c r="S49" s="78">
        <f t="shared" si="6"/>
        <v>1020.13</v>
      </c>
    </row>
    <row r="50" spans="2:19" x14ac:dyDescent="0.25">
      <c r="B50" s="182">
        <f t="shared" si="2"/>
        <v>0</v>
      </c>
      <c r="C50" s="15"/>
      <c r="D50" s="69"/>
      <c r="E50" s="245"/>
      <c r="F50" s="69">
        <f t="shared" si="0"/>
        <v>0</v>
      </c>
      <c r="G50" s="70"/>
      <c r="H50" s="71"/>
      <c r="I50" s="78">
        <f t="shared" si="3"/>
        <v>3.979039320256561E-13</v>
      </c>
      <c r="L50" s="182">
        <f t="shared" si="4"/>
        <v>50</v>
      </c>
      <c r="M50" s="15"/>
      <c r="N50" s="69"/>
      <c r="O50" s="245"/>
      <c r="P50" s="69">
        <f t="shared" si="5"/>
        <v>0</v>
      </c>
      <c r="Q50" s="70"/>
      <c r="R50" s="71"/>
      <c r="S50" s="78">
        <f t="shared" si="6"/>
        <v>1020.13</v>
      </c>
    </row>
    <row r="51" spans="2:19" x14ac:dyDescent="0.25">
      <c r="B51" s="182">
        <f t="shared" si="2"/>
        <v>0</v>
      </c>
      <c r="C51" s="15"/>
      <c r="D51" s="69"/>
      <c r="E51" s="245"/>
      <c r="F51" s="69">
        <f t="shared" si="0"/>
        <v>0</v>
      </c>
      <c r="G51" s="70"/>
      <c r="H51" s="71"/>
      <c r="I51" s="78">
        <f t="shared" si="3"/>
        <v>3.979039320256561E-13</v>
      </c>
      <c r="L51" s="182">
        <f t="shared" si="4"/>
        <v>50</v>
      </c>
      <c r="M51" s="15"/>
      <c r="N51" s="69"/>
      <c r="O51" s="245"/>
      <c r="P51" s="69">
        <f t="shared" si="5"/>
        <v>0</v>
      </c>
      <c r="Q51" s="70"/>
      <c r="R51" s="71"/>
      <c r="S51" s="78">
        <f t="shared" si="6"/>
        <v>1020.13</v>
      </c>
    </row>
    <row r="52" spans="2:19" x14ac:dyDescent="0.25">
      <c r="B52" s="182">
        <f t="shared" si="2"/>
        <v>0</v>
      </c>
      <c r="C52" s="15"/>
      <c r="D52" s="69"/>
      <c r="E52" s="245"/>
      <c r="F52" s="69">
        <f t="shared" si="0"/>
        <v>0</v>
      </c>
      <c r="G52" s="70"/>
      <c r="H52" s="71"/>
      <c r="I52" s="78">
        <f t="shared" si="3"/>
        <v>3.979039320256561E-13</v>
      </c>
      <c r="L52" s="182">
        <f t="shared" si="4"/>
        <v>50</v>
      </c>
      <c r="M52" s="15"/>
      <c r="N52" s="69"/>
      <c r="O52" s="245"/>
      <c r="P52" s="69">
        <f t="shared" si="5"/>
        <v>0</v>
      </c>
      <c r="Q52" s="70"/>
      <c r="R52" s="71"/>
      <c r="S52" s="78">
        <f t="shared" si="6"/>
        <v>1020.13</v>
      </c>
    </row>
    <row r="53" spans="2:19" x14ac:dyDescent="0.25">
      <c r="B53" s="182"/>
      <c r="C53" s="15"/>
      <c r="D53" s="69"/>
      <c r="E53" s="245"/>
      <c r="F53" s="69"/>
      <c r="G53" s="70"/>
      <c r="H53" s="71"/>
      <c r="I53" s="78"/>
      <c r="L53" s="182"/>
      <c r="M53" s="15"/>
      <c r="N53" s="69"/>
      <c r="O53" s="245"/>
      <c r="P53" s="69"/>
      <c r="Q53" s="70"/>
      <c r="R53" s="71"/>
      <c r="S53" s="78"/>
    </row>
    <row r="54" spans="2:19" x14ac:dyDescent="0.25">
      <c r="B54" s="182"/>
      <c r="C54" s="15"/>
      <c r="D54" s="69"/>
      <c r="E54" s="245"/>
      <c r="F54" s="69"/>
      <c r="G54" s="70"/>
      <c r="H54" s="71"/>
      <c r="I54" s="78"/>
      <c r="L54" s="182"/>
      <c r="M54" s="15"/>
      <c r="N54" s="69"/>
      <c r="O54" s="245"/>
      <c r="P54" s="69"/>
      <c r="Q54" s="70"/>
      <c r="R54" s="71"/>
      <c r="S54" s="78"/>
    </row>
    <row r="55" spans="2:19" x14ac:dyDescent="0.25">
      <c r="B55" s="182"/>
      <c r="C55" s="15"/>
      <c r="D55" s="69"/>
      <c r="E55" s="245"/>
      <c r="F55" s="69"/>
      <c r="G55" s="70"/>
      <c r="H55" s="71"/>
      <c r="I55" s="78"/>
      <c r="L55" s="182"/>
      <c r="M55" s="15"/>
      <c r="N55" s="69"/>
      <c r="O55" s="245"/>
      <c r="P55" s="69"/>
      <c r="Q55" s="70"/>
      <c r="R55" s="71"/>
      <c r="S55" s="78"/>
    </row>
    <row r="56" spans="2:19" x14ac:dyDescent="0.25">
      <c r="B56" s="182"/>
      <c r="C56" s="15"/>
      <c r="D56" s="69"/>
      <c r="E56" s="245"/>
      <c r="F56" s="69"/>
      <c r="G56" s="70"/>
      <c r="H56" s="71"/>
      <c r="I56" s="78"/>
      <c r="L56" s="182"/>
      <c r="M56" s="15"/>
      <c r="N56" s="69"/>
      <c r="O56" s="245"/>
      <c r="P56" s="69"/>
      <c r="Q56" s="70"/>
      <c r="R56" s="71"/>
      <c r="S56" s="78"/>
    </row>
    <row r="57" spans="2:19" x14ac:dyDescent="0.25">
      <c r="B57" s="182"/>
      <c r="C57" s="15"/>
      <c r="D57" s="69"/>
      <c r="E57" s="245"/>
      <c r="F57" s="69"/>
      <c r="G57" s="70"/>
      <c r="H57" s="71"/>
      <c r="I57" s="78"/>
      <c r="L57" s="182"/>
      <c r="M57" s="15"/>
      <c r="N57" s="69"/>
      <c r="O57" s="245"/>
      <c r="P57" s="69"/>
      <c r="Q57" s="70"/>
      <c r="R57" s="71"/>
      <c r="S57" s="78"/>
    </row>
    <row r="58" spans="2:19" x14ac:dyDescent="0.25">
      <c r="B58" s="182"/>
      <c r="C58" s="15"/>
      <c r="D58" s="69"/>
      <c r="E58" s="245"/>
      <c r="F58" s="69"/>
      <c r="G58" s="70"/>
      <c r="H58" s="71"/>
      <c r="I58" s="78"/>
      <c r="L58" s="182"/>
      <c r="M58" s="15"/>
      <c r="N58" s="69"/>
      <c r="O58" s="245"/>
      <c r="P58" s="69"/>
      <c r="Q58" s="70"/>
      <c r="R58" s="71"/>
      <c r="S58" s="78"/>
    </row>
    <row r="59" spans="2:19" x14ac:dyDescent="0.25">
      <c r="B59" s="182"/>
      <c r="C59" s="15"/>
      <c r="D59" s="69"/>
      <c r="E59" s="245"/>
      <c r="F59" s="69"/>
      <c r="G59" s="70"/>
      <c r="H59" s="71"/>
      <c r="I59" s="78"/>
      <c r="L59" s="182"/>
      <c r="M59" s="15"/>
      <c r="N59" s="69"/>
      <c r="O59" s="245"/>
      <c r="P59" s="69"/>
      <c r="Q59" s="70"/>
      <c r="R59" s="71"/>
      <c r="S59" s="78"/>
    </row>
    <row r="60" spans="2:19" x14ac:dyDescent="0.25">
      <c r="B60" s="182"/>
      <c r="C60" s="15"/>
      <c r="D60" s="69"/>
      <c r="E60" s="245"/>
      <c r="F60" s="69"/>
      <c r="G60" s="70"/>
      <c r="H60" s="71"/>
      <c r="I60" s="78"/>
      <c r="L60" s="182"/>
      <c r="M60" s="15"/>
      <c r="N60" s="69"/>
      <c r="O60" s="245"/>
      <c r="P60" s="69"/>
      <c r="Q60" s="70"/>
      <c r="R60" s="71"/>
      <c r="S60" s="78"/>
    </row>
    <row r="61" spans="2:19" x14ac:dyDescent="0.25">
      <c r="B61" s="182"/>
      <c r="C61" s="15"/>
      <c r="D61" s="69"/>
      <c r="E61" s="245"/>
      <c r="F61" s="69"/>
      <c r="G61" s="70"/>
      <c r="H61" s="71"/>
      <c r="I61" s="78"/>
      <c r="L61" s="182"/>
      <c r="M61" s="15"/>
      <c r="N61" s="69"/>
      <c r="O61" s="245"/>
      <c r="P61" s="69"/>
      <c r="Q61" s="70"/>
      <c r="R61" s="71"/>
      <c r="S61" s="78"/>
    </row>
    <row r="62" spans="2:19" x14ac:dyDescent="0.25">
      <c r="B62" s="182"/>
      <c r="C62" s="15"/>
      <c r="D62" s="69"/>
      <c r="E62" s="245"/>
      <c r="F62" s="69"/>
      <c r="G62" s="70"/>
      <c r="H62" s="71"/>
      <c r="I62" s="78"/>
      <c r="L62" s="182"/>
      <c r="M62" s="15"/>
      <c r="N62" s="69"/>
      <c r="O62" s="245"/>
      <c r="P62" s="69"/>
      <c r="Q62" s="70"/>
      <c r="R62" s="71"/>
      <c r="S62" s="78"/>
    </row>
    <row r="63" spans="2:19" x14ac:dyDescent="0.25">
      <c r="B63" s="182"/>
      <c r="C63" s="15"/>
      <c r="D63" s="69"/>
      <c r="E63" s="245"/>
      <c r="F63" s="69"/>
      <c r="G63" s="70"/>
      <c r="H63" s="71"/>
      <c r="I63" s="78"/>
      <c r="L63" s="182"/>
      <c r="M63" s="15"/>
      <c r="N63" s="69"/>
      <c r="O63" s="245"/>
      <c r="P63" s="69"/>
      <c r="Q63" s="70"/>
      <c r="R63" s="71"/>
      <c r="S63" s="78"/>
    </row>
    <row r="64" spans="2:19" x14ac:dyDescent="0.25">
      <c r="B64" s="182"/>
      <c r="C64" s="15"/>
      <c r="D64" s="69"/>
      <c r="E64" s="245"/>
      <c r="F64" s="69"/>
      <c r="G64" s="70"/>
      <c r="H64" s="71"/>
      <c r="I64" s="78"/>
      <c r="L64" s="182"/>
      <c r="M64" s="15"/>
      <c r="N64" s="69"/>
      <c r="O64" s="245"/>
      <c r="P64" s="69"/>
      <c r="Q64" s="70"/>
      <c r="R64" s="71"/>
      <c r="S64" s="78"/>
    </row>
    <row r="65" spans="2:19" x14ac:dyDescent="0.25">
      <c r="B65" s="182"/>
      <c r="C65" s="15"/>
      <c r="D65" s="69"/>
      <c r="E65" s="245"/>
      <c r="F65" s="69"/>
      <c r="G65" s="70"/>
      <c r="H65" s="71"/>
      <c r="I65" s="78"/>
      <c r="L65" s="182"/>
      <c r="M65" s="15"/>
      <c r="N65" s="69"/>
      <c r="O65" s="245"/>
      <c r="P65" s="69"/>
      <c r="Q65" s="70"/>
      <c r="R65" s="71"/>
      <c r="S65" s="78"/>
    </row>
    <row r="66" spans="2:19" x14ac:dyDescent="0.25">
      <c r="B66" s="182"/>
      <c r="C66" s="15"/>
      <c r="D66" s="69"/>
      <c r="E66" s="245"/>
      <c r="F66" s="69"/>
      <c r="G66" s="70"/>
      <c r="H66" s="71"/>
      <c r="I66" s="78"/>
      <c r="L66" s="182"/>
      <c r="M66" s="15"/>
      <c r="N66" s="69"/>
      <c r="O66" s="245"/>
      <c r="P66" s="69"/>
      <c r="Q66" s="70"/>
      <c r="R66" s="71"/>
      <c r="S66" s="78"/>
    </row>
    <row r="67" spans="2:19" ht="15.75" thickBot="1" x14ac:dyDescent="0.3">
      <c r="B67" s="3"/>
      <c r="C67" s="36"/>
      <c r="D67" s="150"/>
      <c r="E67" s="251"/>
      <c r="F67" s="150">
        <f t="shared" ref="F67" si="7">D67</f>
        <v>0</v>
      </c>
      <c r="G67" s="206"/>
      <c r="H67" s="75"/>
      <c r="I67" s="78">
        <f>I52-F67</f>
        <v>3.979039320256561E-13</v>
      </c>
      <c r="L67" s="3"/>
      <c r="M67" s="36"/>
      <c r="N67" s="150"/>
      <c r="O67" s="251"/>
      <c r="P67" s="150">
        <f t="shared" ref="P67" si="8">N67</f>
        <v>0</v>
      </c>
      <c r="Q67" s="206"/>
      <c r="R67" s="75"/>
      <c r="S67" s="78">
        <f>S52-P67</f>
        <v>1020.13</v>
      </c>
    </row>
    <row r="68" spans="2:19" x14ac:dyDescent="0.25">
      <c r="C68" s="53">
        <f>SUM(C9:C67)</f>
        <v>134</v>
      </c>
      <c r="D68" s="124">
        <f>SUM(D9:D67)</f>
        <v>2412.1400000000003</v>
      </c>
      <c r="E68" s="165"/>
      <c r="F68" s="124">
        <f>SUM(F9:F67)</f>
        <v>2656.5600000000004</v>
      </c>
      <c r="G68" s="159"/>
      <c r="H68" s="159"/>
      <c r="M68" s="53">
        <f>SUM(M9:M67)</f>
        <v>15</v>
      </c>
      <c r="N68" s="124">
        <f>SUM(N9:N67)</f>
        <v>309.63</v>
      </c>
      <c r="O68" s="165"/>
      <c r="P68" s="124">
        <f>SUM(P9:P67)</f>
        <v>309.63</v>
      </c>
      <c r="Q68" s="159"/>
      <c r="R68" s="159"/>
    </row>
    <row r="69" spans="2:19" x14ac:dyDescent="0.25">
      <c r="C69" s="110"/>
      <c r="M69" s="110"/>
    </row>
    <row r="70" spans="2:19" ht="15.75" thickBot="1" x14ac:dyDescent="0.3">
      <c r="B70" s="47"/>
      <c r="L70" s="47"/>
    </row>
    <row r="71" spans="2:19" ht="15.75" thickBot="1" x14ac:dyDescent="0.3">
      <c r="B71" s="91"/>
      <c r="D71" s="45" t="s">
        <v>4</v>
      </c>
      <c r="E71" s="56">
        <f>F5-C68+F4+F6+F7</f>
        <v>0</v>
      </c>
      <c r="L71" s="91"/>
      <c r="N71" s="45" t="s">
        <v>4</v>
      </c>
      <c r="O71" s="56">
        <f>P5-M68+P4+P6+P7</f>
        <v>50</v>
      </c>
    </row>
    <row r="72" spans="2:19" ht="15.75" thickBot="1" x14ac:dyDescent="0.3">
      <c r="B72" s="125"/>
      <c r="L72" s="125"/>
    </row>
    <row r="73" spans="2:19" ht="15.75" thickBot="1" x14ac:dyDescent="0.3">
      <c r="B73" s="91"/>
      <c r="C73" s="1388" t="s">
        <v>11</v>
      </c>
      <c r="D73" s="1389"/>
      <c r="E73" s="57">
        <f>E5-F68+E4+E6+E7</f>
        <v>-5.9685589803848416E-13</v>
      </c>
      <c r="L73" s="91"/>
      <c r="M73" s="1388" t="s">
        <v>11</v>
      </c>
      <c r="N73" s="1389"/>
      <c r="O73" s="57">
        <f>O5-P68+O4+O6+O7</f>
        <v>1020.1299999999999</v>
      </c>
    </row>
  </sheetData>
  <mergeCells count="6">
    <mergeCell ref="A1:G1"/>
    <mergeCell ref="A5:A6"/>
    <mergeCell ref="C73:D73"/>
    <mergeCell ref="K1:Q1"/>
    <mergeCell ref="K5:K6"/>
    <mergeCell ref="M73:N73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60"/>
  <sheetViews>
    <sheetView workbookViewId="0">
      <selection activeCell="D12" sqref="D1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390"/>
      <c r="B1" s="1390"/>
      <c r="C1" s="1390"/>
      <c r="D1" s="1390"/>
      <c r="E1" s="1390"/>
      <c r="F1" s="1390"/>
      <c r="G1" s="1390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B4" s="83"/>
      <c r="C4" s="243"/>
      <c r="D4" s="134"/>
      <c r="E4" s="124"/>
      <c r="F4" s="73"/>
      <c r="G4" s="73"/>
    </row>
    <row r="5" spans="1:9" ht="15.75" customHeight="1" x14ac:dyDescent="0.25">
      <c r="A5" s="1391"/>
      <c r="B5" s="1417" t="s">
        <v>82</v>
      </c>
      <c r="C5" s="128"/>
      <c r="D5" s="134"/>
      <c r="E5" s="124"/>
      <c r="F5" s="73"/>
      <c r="G5" s="47">
        <f>F55</f>
        <v>0</v>
      </c>
      <c r="H5" s="7">
        <f>E5-G5+E4+E6+E7</f>
        <v>0</v>
      </c>
    </row>
    <row r="6" spans="1:9" ht="15" customHeight="1" x14ac:dyDescent="0.25">
      <c r="A6" s="1391"/>
      <c r="B6" s="1417"/>
      <c r="C6" s="128"/>
      <c r="D6" s="231"/>
      <c r="E6" s="78"/>
      <c r="F6" s="62"/>
    </row>
    <row r="7" spans="1:9" ht="15.75" thickBot="1" x14ac:dyDescent="0.3">
      <c r="B7" s="73"/>
      <c r="C7" s="128"/>
      <c r="D7" s="231"/>
      <c r="E7" s="105"/>
      <c r="F7" s="73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5" t="s">
        <v>32</v>
      </c>
      <c r="B9" s="182">
        <f>F4+F5+F6+F7-C9</f>
        <v>0</v>
      </c>
      <c r="C9" s="53"/>
      <c r="D9" s="69"/>
      <c r="E9" s="245"/>
      <c r="F9" s="69">
        <f t="shared" ref="F9:F54" si="0">D9</f>
        <v>0</v>
      </c>
      <c r="G9" s="70"/>
      <c r="H9" s="71"/>
      <c r="I9" s="78">
        <f>E6+E5+E4-F9+E7</f>
        <v>0</v>
      </c>
    </row>
    <row r="10" spans="1:9" x14ac:dyDescent="0.25">
      <c r="A10" s="77"/>
      <c r="B10" s="182">
        <f t="shared" ref="B10:B53" si="1">B9-C10</f>
        <v>0</v>
      </c>
      <c r="C10" s="53"/>
      <c r="D10" s="69"/>
      <c r="E10" s="245"/>
      <c r="F10" s="69">
        <f t="shared" si="0"/>
        <v>0</v>
      </c>
      <c r="G10" s="70"/>
      <c r="H10" s="71"/>
      <c r="I10" s="78">
        <f t="shared" ref="I10:I54" si="2">I9-F10</f>
        <v>0</v>
      </c>
    </row>
    <row r="11" spans="1:9" x14ac:dyDescent="0.25">
      <c r="A11" s="12"/>
      <c r="B11" s="182">
        <f t="shared" si="1"/>
        <v>0</v>
      </c>
      <c r="C11" s="53"/>
      <c r="D11" s="69"/>
      <c r="E11" s="245"/>
      <c r="F11" s="69">
        <f t="shared" si="0"/>
        <v>0</v>
      </c>
      <c r="G11" s="70"/>
      <c r="H11" s="71"/>
      <c r="I11" s="78">
        <f t="shared" si="2"/>
        <v>0</v>
      </c>
    </row>
    <row r="12" spans="1:9" x14ac:dyDescent="0.25">
      <c r="A12" s="55" t="s">
        <v>33</v>
      </c>
      <c r="B12" s="182">
        <f t="shared" si="1"/>
        <v>0</v>
      </c>
      <c r="C12" s="53"/>
      <c r="D12" s="69"/>
      <c r="E12" s="245"/>
      <c r="F12" s="69">
        <f t="shared" si="0"/>
        <v>0</v>
      </c>
      <c r="G12" s="70"/>
      <c r="H12" s="71"/>
      <c r="I12" s="78">
        <f t="shared" si="2"/>
        <v>0</v>
      </c>
    </row>
    <row r="13" spans="1:9" x14ac:dyDescent="0.25">
      <c r="A13" s="77"/>
      <c r="B13" s="182">
        <f t="shared" si="1"/>
        <v>0</v>
      </c>
      <c r="C13" s="53"/>
      <c r="D13" s="69"/>
      <c r="E13" s="245"/>
      <c r="F13" s="69">
        <f t="shared" si="0"/>
        <v>0</v>
      </c>
      <c r="G13" s="70"/>
      <c r="H13" s="71"/>
      <c r="I13" s="78">
        <f t="shared" si="2"/>
        <v>0</v>
      </c>
    </row>
    <row r="14" spans="1:9" x14ac:dyDescent="0.25">
      <c r="A14" s="12"/>
      <c r="B14" s="182">
        <f t="shared" si="1"/>
        <v>0</v>
      </c>
      <c r="C14" s="53"/>
      <c r="D14" s="69"/>
      <c r="E14" s="245"/>
      <c r="F14" s="69">
        <f t="shared" si="0"/>
        <v>0</v>
      </c>
      <c r="G14" s="70"/>
      <c r="H14" s="71"/>
      <c r="I14" s="78">
        <f t="shared" si="2"/>
        <v>0</v>
      </c>
    </row>
    <row r="15" spans="1:9" x14ac:dyDescent="0.25">
      <c r="B15" s="182">
        <f t="shared" si="1"/>
        <v>0</v>
      </c>
      <c r="C15" s="53"/>
      <c r="D15" s="69"/>
      <c r="E15" s="245"/>
      <c r="F15" s="69">
        <f t="shared" si="0"/>
        <v>0</v>
      </c>
      <c r="G15" s="70"/>
      <c r="H15" s="71"/>
      <c r="I15" s="78">
        <f t="shared" si="2"/>
        <v>0</v>
      </c>
    </row>
    <row r="16" spans="1:9" x14ac:dyDescent="0.25">
      <c r="B16" s="182">
        <f t="shared" si="1"/>
        <v>0</v>
      </c>
      <c r="C16" s="53"/>
      <c r="D16" s="69"/>
      <c r="E16" s="245"/>
      <c r="F16" s="69">
        <f t="shared" si="0"/>
        <v>0</v>
      </c>
      <c r="G16" s="70"/>
      <c r="H16" s="71"/>
      <c r="I16" s="78">
        <f t="shared" si="2"/>
        <v>0</v>
      </c>
    </row>
    <row r="17" spans="2:9" x14ac:dyDescent="0.25">
      <c r="B17" s="182">
        <f t="shared" si="1"/>
        <v>0</v>
      </c>
      <c r="C17" s="53"/>
      <c r="D17" s="69"/>
      <c r="E17" s="245"/>
      <c r="F17" s="69">
        <f t="shared" si="0"/>
        <v>0</v>
      </c>
      <c r="G17" s="70"/>
      <c r="H17" s="71"/>
      <c r="I17" s="78">
        <f t="shared" si="2"/>
        <v>0</v>
      </c>
    </row>
    <row r="18" spans="2:9" x14ac:dyDescent="0.25">
      <c r="B18" s="182">
        <f t="shared" si="1"/>
        <v>0</v>
      </c>
      <c r="C18" s="53"/>
      <c r="D18" s="69"/>
      <c r="E18" s="245"/>
      <c r="F18" s="69">
        <f t="shared" si="0"/>
        <v>0</v>
      </c>
      <c r="G18" s="70"/>
      <c r="H18" s="71"/>
      <c r="I18" s="78">
        <f t="shared" si="2"/>
        <v>0</v>
      </c>
    </row>
    <row r="19" spans="2:9" x14ac:dyDescent="0.25">
      <c r="B19" s="182">
        <f t="shared" si="1"/>
        <v>0</v>
      </c>
      <c r="C19" s="53"/>
      <c r="D19" s="69"/>
      <c r="E19" s="245"/>
      <c r="F19" s="69">
        <f t="shared" si="0"/>
        <v>0</v>
      </c>
      <c r="G19" s="70"/>
      <c r="H19" s="71"/>
      <c r="I19" s="78">
        <f t="shared" si="2"/>
        <v>0</v>
      </c>
    </row>
    <row r="20" spans="2:9" x14ac:dyDescent="0.25">
      <c r="B20" s="182">
        <f t="shared" si="1"/>
        <v>0</v>
      </c>
      <c r="C20" s="53"/>
      <c r="D20" s="69"/>
      <c r="E20" s="245"/>
      <c r="F20" s="69">
        <f t="shared" si="0"/>
        <v>0</v>
      </c>
      <c r="G20" s="70"/>
      <c r="H20" s="71"/>
      <c r="I20" s="78">
        <f t="shared" si="2"/>
        <v>0</v>
      </c>
    </row>
    <row r="21" spans="2:9" x14ac:dyDescent="0.25">
      <c r="B21" s="182">
        <f t="shared" si="1"/>
        <v>0</v>
      </c>
      <c r="C21" s="53"/>
      <c r="D21" s="69"/>
      <c r="E21" s="245"/>
      <c r="F21" s="69">
        <f t="shared" si="0"/>
        <v>0</v>
      </c>
      <c r="G21" s="70"/>
      <c r="H21" s="71"/>
      <c r="I21" s="78">
        <f t="shared" si="2"/>
        <v>0</v>
      </c>
    </row>
    <row r="22" spans="2:9" x14ac:dyDescent="0.25">
      <c r="B22" s="182">
        <f t="shared" si="1"/>
        <v>0</v>
      </c>
      <c r="C22" s="53"/>
      <c r="D22" s="69"/>
      <c r="E22" s="245"/>
      <c r="F22" s="69">
        <f t="shared" si="0"/>
        <v>0</v>
      </c>
      <c r="G22" s="70"/>
      <c r="H22" s="71"/>
      <c r="I22" s="78">
        <f t="shared" si="2"/>
        <v>0</v>
      </c>
    </row>
    <row r="23" spans="2:9" x14ac:dyDescent="0.25">
      <c r="B23" s="182">
        <f t="shared" si="1"/>
        <v>0</v>
      </c>
      <c r="C23" s="53"/>
      <c r="D23" s="69"/>
      <c r="E23" s="245"/>
      <c r="F23" s="69">
        <f t="shared" si="0"/>
        <v>0</v>
      </c>
      <c r="G23" s="70"/>
      <c r="H23" s="71"/>
      <c r="I23" s="78">
        <f t="shared" si="2"/>
        <v>0</v>
      </c>
    </row>
    <row r="24" spans="2:9" x14ac:dyDescent="0.25">
      <c r="B24" s="182">
        <f t="shared" si="1"/>
        <v>0</v>
      </c>
      <c r="C24" s="53"/>
      <c r="D24" s="69"/>
      <c r="E24" s="245"/>
      <c r="F24" s="69">
        <f t="shared" si="0"/>
        <v>0</v>
      </c>
      <c r="G24" s="70"/>
      <c r="H24" s="71"/>
      <c r="I24" s="78">
        <f t="shared" si="2"/>
        <v>0</v>
      </c>
    </row>
    <row r="25" spans="2:9" x14ac:dyDescent="0.25">
      <c r="B25" s="182">
        <f t="shared" si="1"/>
        <v>0</v>
      </c>
      <c r="C25" s="53"/>
      <c r="D25" s="69"/>
      <c r="E25" s="245"/>
      <c r="F25" s="69">
        <f t="shared" si="0"/>
        <v>0</v>
      </c>
      <c r="G25" s="70"/>
      <c r="H25" s="71"/>
      <c r="I25" s="78">
        <f t="shared" si="2"/>
        <v>0</v>
      </c>
    </row>
    <row r="26" spans="2:9" x14ac:dyDescent="0.25">
      <c r="B26" s="182">
        <f t="shared" si="1"/>
        <v>0</v>
      </c>
      <c r="C26" s="53"/>
      <c r="D26" s="69"/>
      <c r="E26" s="245"/>
      <c r="F26" s="69">
        <f t="shared" si="0"/>
        <v>0</v>
      </c>
      <c r="G26" s="70"/>
      <c r="H26" s="71"/>
      <c r="I26" s="78">
        <f t="shared" si="2"/>
        <v>0</v>
      </c>
    </row>
    <row r="27" spans="2:9" x14ac:dyDescent="0.25">
      <c r="B27" s="182">
        <f t="shared" si="1"/>
        <v>0</v>
      </c>
      <c r="C27" s="53"/>
      <c r="D27" s="69"/>
      <c r="E27" s="245"/>
      <c r="F27" s="69">
        <f t="shared" si="0"/>
        <v>0</v>
      </c>
      <c r="G27" s="70"/>
      <c r="H27" s="71"/>
      <c r="I27" s="78">
        <f t="shared" si="2"/>
        <v>0</v>
      </c>
    </row>
    <row r="28" spans="2:9" x14ac:dyDescent="0.25">
      <c r="B28" s="182">
        <f t="shared" si="1"/>
        <v>0</v>
      </c>
      <c r="C28" s="53"/>
      <c r="D28" s="69"/>
      <c r="E28" s="245"/>
      <c r="F28" s="69">
        <f t="shared" si="0"/>
        <v>0</v>
      </c>
      <c r="G28" s="70"/>
      <c r="H28" s="71"/>
      <c r="I28" s="78">
        <f t="shared" si="2"/>
        <v>0</v>
      </c>
    </row>
    <row r="29" spans="2:9" x14ac:dyDescent="0.25">
      <c r="B29" s="182">
        <f t="shared" si="1"/>
        <v>0</v>
      </c>
      <c r="C29" s="53"/>
      <c r="D29" s="69"/>
      <c r="E29" s="245"/>
      <c r="F29" s="69">
        <f t="shared" si="0"/>
        <v>0</v>
      </c>
      <c r="G29" s="70"/>
      <c r="H29" s="71"/>
      <c r="I29" s="78">
        <f t="shared" si="2"/>
        <v>0</v>
      </c>
    </row>
    <row r="30" spans="2:9" x14ac:dyDescent="0.25">
      <c r="B30" s="182">
        <f t="shared" si="1"/>
        <v>0</v>
      </c>
      <c r="C30" s="53"/>
      <c r="D30" s="69"/>
      <c r="E30" s="245"/>
      <c r="F30" s="69">
        <f t="shared" si="0"/>
        <v>0</v>
      </c>
      <c r="G30" s="70"/>
      <c r="H30" s="71"/>
      <c r="I30" s="78">
        <f t="shared" si="2"/>
        <v>0</v>
      </c>
    </row>
    <row r="31" spans="2:9" x14ac:dyDescent="0.25">
      <c r="B31" s="182">
        <f t="shared" si="1"/>
        <v>0</v>
      </c>
      <c r="C31" s="15"/>
      <c r="D31" s="69"/>
      <c r="E31" s="245"/>
      <c r="F31" s="69">
        <f t="shared" si="0"/>
        <v>0</v>
      </c>
      <c r="G31" s="70"/>
      <c r="H31" s="71"/>
      <c r="I31" s="78">
        <f t="shared" si="2"/>
        <v>0</v>
      </c>
    </row>
    <row r="32" spans="2:9" x14ac:dyDescent="0.25">
      <c r="B32" s="182">
        <f t="shared" si="1"/>
        <v>0</v>
      </c>
      <c r="C32" s="15"/>
      <c r="D32" s="69"/>
      <c r="E32" s="245"/>
      <c r="F32" s="69">
        <f t="shared" si="0"/>
        <v>0</v>
      </c>
      <c r="G32" s="70"/>
      <c r="H32" s="71"/>
      <c r="I32" s="78">
        <f t="shared" si="2"/>
        <v>0</v>
      </c>
    </row>
    <row r="33" spans="2:9" x14ac:dyDescent="0.25">
      <c r="B33" s="182">
        <f t="shared" si="1"/>
        <v>0</v>
      </c>
      <c r="C33" s="15"/>
      <c r="D33" s="69"/>
      <c r="E33" s="245"/>
      <c r="F33" s="69">
        <f t="shared" si="0"/>
        <v>0</v>
      </c>
      <c r="G33" s="70"/>
      <c r="H33" s="71"/>
      <c r="I33" s="78">
        <f t="shared" si="2"/>
        <v>0</v>
      </c>
    </row>
    <row r="34" spans="2:9" x14ac:dyDescent="0.25">
      <c r="B34" s="182">
        <f t="shared" si="1"/>
        <v>0</v>
      </c>
      <c r="C34" s="15"/>
      <c r="D34" s="69"/>
      <c r="E34" s="245"/>
      <c r="F34" s="69">
        <f t="shared" si="0"/>
        <v>0</v>
      </c>
      <c r="G34" s="70"/>
      <c r="H34" s="71"/>
      <c r="I34" s="78">
        <f t="shared" si="2"/>
        <v>0</v>
      </c>
    </row>
    <row r="35" spans="2:9" x14ac:dyDescent="0.25">
      <c r="B35" s="182">
        <f t="shared" si="1"/>
        <v>0</v>
      </c>
      <c r="C35" s="15"/>
      <c r="D35" s="69"/>
      <c r="E35" s="245"/>
      <c r="F35" s="69">
        <f t="shared" si="0"/>
        <v>0</v>
      </c>
      <c r="G35" s="70"/>
      <c r="H35" s="71"/>
      <c r="I35" s="78">
        <f t="shared" si="2"/>
        <v>0</v>
      </c>
    </row>
    <row r="36" spans="2:9" x14ac:dyDescent="0.25">
      <c r="B36" s="182">
        <f t="shared" si="1"/>
        <v>0</v>
      </c>
      <c r="C36" s="15"/>
      <c r="D36" s="69"/>
      <c r="E36" s="245"/>
      <c r="F36" s="69">
        <f t="shared" si="0"/>
        <v>0</v>
      </c>
      <c r="G36" s="70"/>
      <c r="H36" s="71"/>
      <c r="I36" s="78">
        <f t="shared" si="2"/>
        <v>0</v>
      </c>
    </row>
    <row r="37" spans="2:9" x14ac:dyDescent="0.25">
      <c r="B37" s="182">
        <f t="shared" si="1"/>
        <v>0</v>
      </c>
      <c r="C37" s="15"/>
      <c r="D37" s="69"/>
      <c r="E37" s="245"/>
      <c r="F37" s="69">
        <f t="shared" si="0"/>
        <v>0</v>
      </c>
      <c r="G37" s="70"/>
      <c r="H37" s="71"/>
      <c r="I37" s="78">
        <f t="shared" si="2"/>
        <v>0</v>
      </c>
    </row>
    <row r="38" spans="2:9" x14ac:dyDescent="0.25">
      <c r="B38" s="182">
        <f t="shared" si="1"/>
        <v>0</v>
      </c>
      <c r="C38" s="15"/>
      <c r="D38" s="69"/>
      <c r="E38" s="245"/>
      <c r="F38" s="69">
        <f t="shared" si="0"/>
        <v>0</v>
      </c>
      <c r="G38" s="70"/>
      <c r="H38" s="71"/>
      <c r="I38" s="78">
        <f t="shared" si="2"/>
        <v>0</v>
      </c>
    </row>
    <row r="39" spans="2:9" x14ac:dyDescent="0.25">
      <c r="B39" s="182">
        <f t="shared" si="1"/>
        <v>0</v>
      </c>
      <c r="C39" s="15"/>
      <c r="D39" s="69"/>
      <c r="E39" s="245"/>
      <c r="F39" s="69">
        <f t="shared" si="0"/>
        <v>0</v>
      </c>
      <c r="G39" s="70"/>
      <c r="H39" s="71"/>
      <c r="I39" s="78">
        <f t="shared" si="2"/>
        <v>0</v>
      </c>
    </row>
    <row r="40" spans="2:9" x14ac:dyDescent="0.25">
      <c r="B40" s="182">
        <f t="shared" si="1"/>
        <v>0</v>
      </c>
      <c r="C40" s="15"/>
      <c r="D40" s="69"/>
      <c r="E40" s="245"/>
      <c r="F40" s="69">
        <f t="shared" si="0"/>
        <v>0</v>
      </c>
      <c r="G40" s="70"/>
      <c r="H40" s="71"/>
      <c r="I40" s="78">
        <f t="shared" si="2"/>
        <v>0</v>
      </c>
    </row>
    <row r="41" spans="2:9" x14ac:dyDescent="0.25">
      <c r="B41" s="182">
        <f t="shared" si="1"/>
        <v>0</v>
      </c>
      <c r="C41" s="15"/>
      <c r="D41" s="69"/>
      <c r="E41" s="245"/>
      <c r="F41" s="69">
        <f t="shared" si="0"/>
        <v>0</v>
      </c>
      <c r="G41" s="70"/>
      <c r="H41" s="71"/>
      <c r="I41" s="78">
        <f t="shared" si="2"/>
        <v>0</v>
      </c>
    </row>
    <row r="42" spans="2:9" x14ac:dyDescent="0.25">
      <c r="B42" s="182">
        <f t="shared" si="1"/>
        <v>0</v>
      </c>
      <c r="C42" s="15"/>
      <c r="D42" s="69"/>
      <c r="E42" s="245"/>
      <c r="F42" s="69">
        <f t="shared" si="0"/>
        <v>0</v>
      </c>
      <c r="G42" s="70"/>
      <c r="H42" s="71"/>
      <c r="I42" s="78">
        <f t="shared" si="2"/>
        <v>0</v>
      </c>
    </row>
    <row r="43" spans="2:9" x14ac:dyDescent="0.25">
      <c r="B43" s="182">
        <f t="shared" si="1"/>
        <v>0</v>
      </c>
      <c r="C43" s="15"/>
      <c r="D43" s="69"/>
      <c r="E43" s="245"/>
      <c r="F43" s="69">
        <f t="shared" si="0"/>
        <v>0</v>
      </c>
      <c r="G43" s="70"/>
      <c r="H43" s="71"/>
      <c r="I43" s="78">
        <f t="shared" si="2"/>
        <v>0</v>
      </c>
    </row>
    <row r="44" spans="2:9" x14ac:dyDescent="0.25">
      <c r="B44" s="182">
        <f t="shared" si="1"/>
        <v>0</v>
      </c>
      <c r="C44" s="15"/>
      <c r="D44" s="69"/>
      <c r="E44" s="245"/>
      <c r="F44" s="69">
        <f t="shared" si="0"/>
        <v>0</v>
      </c>
      <c r="G44" s="70"/>
      <c r="H44" s="71"/>
      <c r="I44" s="78">
        <f t="shared" si="2"/>
        <v>0</v>
      </c>
    </row>
    <row r="45" spans="2:9" x14ac:dyDescent="0.25">
      <c r="B45" s="182">
        <f t="shared" si="1"/>
        <v>0</v>
      </c>
      <c r="C45" s="15"/>
      <c r="D45" s="69"/>
      <c r="E45" s="245"/>
      <c r="F45" s="69">
        <f t="shared" si="0"/>
        <v>0</v>
      </c>
      <c r="G45" s="70"/>
      <c r="H45" s="71"/>
      <c r="I45" s="78">
        <f t="shared" si="2"/>
        <v>0</v>
      </c>
    </row>
    <row r="46" spans="2:9" x14ac:dyDescent="0.25">
      <c r="B46" s="182">
        <f t="shared" si="1"/>
        <v>0</v>
      </c>
      <c r="C46" s="15"/>
      <c r="D46" s="69"/>
      <c r="E46" s="245"/>
      <c r="F46" s="69">
        <f t="shared" si="0"/>
        <v>0</v>
      </c>
      <c r="G46" s="70"/>
      <c r="H46" s="71"/>
      <c r="I46" s="78">
        <f t="shared" si="2"/>
        <v>0</v>
      </c>
    </row>
    <row r="47" spans="2:9" x14ac:dyDescent="0.25">
      <c r="B47" s="182">
        <f t="shared" si="1"/>
        <v>0</v>
      </c>
      <c r="C47" s="15"/>
      <c r="D47" s="69"/>
      <c r="E47" s="245"/>
      <c r="F47" s="69">
        <f t="shared" si="0"/>
        <v>0</v>
      </c>
      <c r="G47" s="70"/>
      <c r="H47" s="71"/>
      <c r="I47" s="78">
        <f t="shared" si="2"/>
        <v>0</v>
      </c>
    </row>
    <row r="48" spans="2:9" x14ac:dyDescent="0.25">
      <c r="B48" s="182">
        <f t="shared" si="1"/>
        <v>0</v>
      </c>
      <c r="C48" s="15"/>
      <c r="D48" s="69"/>
      <c r="E48" s="245"/>
      <c r="F48" s="69">
        <f t="shared" si="0"/>
        <v>0</v>
      </c>
      <c r="G48" s="70"/>
      <c r="H48" s="71"/>
      <c r="I48" s="78">
        <f t="shared" si="2"/>
        <v>0</v>
      </c>
    </row>
    <row r="49" spans="2:9" x14ac:dyDescent="0.25">
      <c r="B49" s="182">
        <f t="shared" si="1"/>
        <v>0</v>
      </c>
      <c r="C49" s="15"/>
      <c r="D49" s="69"/>
      <c r="E49" s="245"/>
      <c r="F49" s="69">
        <f t="shared" si="0"/>
        <v>0</v>
      </c>
      <c r="G49" s="70"/>
      <c r="H49" s="71"/>
      <c r="I49" s="78">
        <f t="shared" si="2"/>
        <v>0</v>
      </c>
    </row>
    <row r="50" spans="2:9" x14ac:dyDescent="0.25">
      <c r="B50" s="182">
        <f t="shared" si="1"/>
        <v>0</v>
      </c>
      <c r="C50" s="15"/>
      <c r="D50" s="69"/>
      <c r="E50" s="245"/>
      <c r="F50" s="69">
        <f t="shared" si="0"/>
        <v>0</v>
      </c>
      <c r="G50" s="70"/>
      <c r="H50" s="71"/>
      <c r="I50" s="78">
        <f t="shared" si="2"/>
        <v>0</v>
      </c>
    </row>
    <row r="51" spans="2:9" x14ac:dyDescent="0.25">
      <c r="B51" s="182">
        <f t="shared" si="1"/>
        <v>0</v>
      </c>
      <c r="C51" s="15"/>
      <c r="D51" s="69"/>
      <c r="E51" s="245"/>
      <c r="F51" s="69">
        <f t="shared" si="0"/>
        <v>0</v>
      </c>
      <c r="G51" s="70"/>
      <c r="H51" s="71"/>
      <c r="I51" s="78">
        <f t="shared" si="2"/>
        <v>0</v>
      </c>
    </row>
    <row r="52" spans="2:9" x14ac:dyDescent="0.25">
      <c r="B52" s="182">
        <f t="shared" si="1"/>
        <v>0</v>
      </c>
      <c r="C52" s="15"/>
      <c r="D52" s="69"/>
      <c r="E52" s="245"/>
      <c r="F52" s="69">
        <f t="shared" si="0"/>
        <v>0</v>
      </c>
      <c r="G52" s="70"/>
      <c r="H52" s="71"/>
      <c r="I52" s="78">
        <f t="shared" si="2"/>
        <v>0</v>
      </c>
    </row>
    <row r="53" spans="2:9" x14ac:dyDescent="0.25">
      <c r="B53" s="182">
        <f t="shared" si="1"/>
        <v>0</v>
      </c>
      <c r="C53" s="15"/>
      <c r="D53" s="69"/>
      <c r="E53" s="245"/>
      <c r="F53" s="69">
        <f t="shared" si="0"/>
        <v>0</v>
      </c>
      <c r="G53" s="70"/>
      <c r="H53" s="71"/>
      <c r="I53" s="78">
        <f t="shared" si="2"/>
        <v>0</v>
      </c>
    </row>
    <row r="54" spans="2:9" ht="15.75" thickBot="1" x14ac:dyDescent="0.3">
      <c r="B54" s="3"/>
      <c r="C54" s="36"/>
      <c r="D54" s="150"/>
      <c r="E54" s="251"/>
      <c r="F54" s="150">
        <f t="shared" si="0"/>
        <v>0</v>
      </c>
      <c r="G54" s="206"/>
      <c r="H54" s="75"/>
      <c r="I54" s="78">
        <f t="shared" si="2"/>
        <v>0</v>
      </c>
    </row>
    <row r="55" spans="2:9" x14ac:dyDescent="0.25">
      <c r="C55" s="53">
        <f>SUM(C9:C54)</f>
        <v>0</v>
      </c>
      <c r="D55" s="124">
        <f>SUM(D9:D54)</f>
        <v>0</v>
      </c>
      <c r="E55" s="165"/>
      <c r="F55" s="124">
        <f>SUM(F9:F54)</f>
        <v>0</v>
      </c>
      <c r="G55" s="159"/>
      <c r="H55" s="159"/>
    </row>
    <row r="56" spans="2:9" x14ac:dyDescent="0.25">
      <c r="C56" s="110"/>
    </row>
    <row r="57" spans="2:9" ht="15.75" thickBot="1" x14ac:dyDescent="0.3">
      <c r="B57" s="47"/>
    </row>
    <row r="58" spans="2:9" ht="15.75" thickBot="1" x14ac:dyDescent="0.3">
      <c r="B58" s="91"/>
      <c r="D58" s="45" t="s">
        <v>4</v>
      </c>
      <c r="E58" s="56">
        <f>F5-C55+F4+F6+F7</f>
        <v>0</v>
      </c>
    </row>
    <row r="59" spans="2:9" ht="15.75" thickBot="1" x14ac:dyDescent="0.3">
      <c r="B59" s="125"/>
    </row>
    <row r="60" spans="2:9" ht="15.75" thickBot="1" x14ac:dyDescent="0.3">
      <c r="B60" s="91"/>
      <c r="C60" s="1388" t="s">
        <v>11</v>
      </c>
      <c r="D60" s="1389"/>
      <c r="E60" s="57">
        <f>E5-F55+E4+E6+E7</f>
        <v>0</v>
      </c>
    </row>
  </sheetData>
  <mergeCells count="4">
    <mergeCell ref="A1:G1"/>
    <mergeCell ref="A5:A6"/>
    <mergeCell ref="C60:D60"/>
    <mergeCell ref="B5:B6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S61"/>
  <sheetViews>
    <sheetView topLeftCell="I1" workbookViewId="0">
      <pane xSplit="2" ySplit="9" topLeftCell="K10" activePane="bottomRight" state="frozen"/>
      <selection activeCell="I1" sqref="I1"/>
      <selection pane="topRight" activeCell="K1" sqref="K1"/>
      <selection pane="bottomLeft" activeCell="I10" sqref="I10"/>
      <selection pane="bottomRight" activeCell="M14" sqref="M14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  <col min="11" max="11" width="31" bestFit="1" customWidth="1"/>
    <col min="12" max="12" width="19.7109375" customWidth="1"/>
    <col min="17" max="17" width="12.85546875" bestFit="1" customWidth="1"/>
  </cols>
  <sheetData>
    <row r="1" spans="1:19" ht="40.5" x14ac:dyDescent="0.55000000000000004">
      <c r="A1" s="1386" t="s">
        <v>326</v>
      </c>
      <c r="B1" s="1386"/>
      <c r="C1" s="1386"/>
      <c r="D1" s="1386"/>
      <c r="E1" s="1386"/>
      <c r="F1" s="1386"/>
      <c r="G1" s="1386"/>
      <c r="H1" s="11">
        <v>1</v>
      </c>
      <c r="K1" s="1390" t="s">
        <v>326</v>
      </c>
      <c r="L1" s="1390"/>
      <c r="M1" s="1390"/>
      <c r="N1" s="1390"/>
      <c r="O1" s="1390"/>
      <c r="P1" s="1390"/>
      <c r="Q1" s="1390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24</v>
      </c>
    </row>
    <row r="4" spans="1:19" ht="15.75" customHeight="1" thickTop="1" x14ac:dyDescent="0.25">
      <c r="A4" s="1391"/>
      <c r="B4" s="1418" t="s">
        <v>91</v>
      </c>
      <c r="C4" s="128"/>
      <c r="D4" s="134"/>
      <c r="E4" s="124"/>
      <c r="F4" s="73"/>
      <c r="G4" s="47">
        <f>F56</f>
        <v>2997.33</v>
      </c>
      <c r="H4" s="7">
        <f>E4-G4+E5+E6+E7+E8</f>
        <v>0</v>
      </c>
      <c r="K4" s="1391"/>
      <c r="L4" s="1418" t="s">
        <v>91</v>
      </c>
      <c r="M4" s="128"/>
      <c r="N4" s="134"/>
      <c r="O4" s="124"/>
      <c r="P4" s="73"/>
      <c r="Q4" s="47">
        <f>P56</f>
        <v>3050.42</v>
      </c>
      <c r="R4" s="7">
        <f>O4-Q4+O5+O6+O7+O8</f>
        <v>0</v>
      </c>
    </row>
    <row r="5" spans="1:19" ht="15" customHeight="1" x14ac:dyDescent="0.25">
      <c r="A5" s="1391"/>
      <c r="B5" s="1419"/>
      <c r="C5" s="128">
        <v>75.5</v>
      </c>
      <c r="D5" s="231">
        <v>44887</v>
      </c>
      <c r="E5" s="78">
        <v>2997.33</v>
      </c>
      <c r="F5" s="62">
        <v>113</v>
      </c>
      <c r="K5" s="1391"/>
      <c r="L5" s="1419"/>
      <c r="M5" s="128">
        <v>73</v>
      </c>
      <c r="N5" s="231">
        <v>44900</v>
      </c>
      <c r="O5" s="78">
        <v>3050.42</v>
      </c>
      <c r="P5" s="62">
        <v>115</v>
      </c>
    </row>
    <row r="6" spans="1:19" ht="15" customHeight="1" x14ac:dyDescent="0.25">
      <c r="A6" s="546" t="s">
        <v>52</v>
      </c>
      <c r="B6" s="1419"/>
      <c r="C6" s="128"/>
      <c r="D6" s="231"/>
      <c r="E6" s="78"/>
      <c r="F6" s="62"/>
      <c r="K6" s="1054" t="s">
        <v>52</v>
      </c>
      <c r="L6" s="1419"/>
      <c r="M6" s="128"/>
      <c r="N6" s="231"/>
      <c r="O6" s="78"/>
      <c r="P6" s="62"/>
    </row>
    <row r="7" spans="1:19" ht="15.75" x14ac:dyDescent="0.25">
      <c r="A7" s="546"/>
      <c r="B7" s="569"/>
      <c r="C7" s="128"/>
      <c r="D7" s="231"/>
      <c r="E7" s="78"/>
      <c r="F7" s="62"/>
      <c r="K7" s="1054"/>
      <c r="L7" s="1055"/>
      <c r="M7" s="128"/>
      <c r="N7" s="231"/>
      <c r="O7" s="78"/>
      <c r="P7" s="62"/>
    </row>
    <row r="8" spans="1:19" ht="16.5" thickBot="1" x14ac:dyDescent="0.3">
      <c r="A8" s="546"/>
      <c r="B8" s="569"/>
      <c r="C8" s="128"/>
      <c r="D8" s="231"/>
      <c r="E8" s="78"/>
      <c r="F8" s="62"/>
      <c r="K8" s="1054"/>
      <c r="L8" s="1055"/>
      <c r="M8" s="128"/>
      <c r="N8" s="231"/>
      <c r="O8" s="78"/>
      <c r="P8" s="62"/>
    </row>
    <row r="9" spans="1:19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L9" s="64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 t="s">
        <v>15</v>
      </c>
      <c r="R9" s="24"/>
    </row>
    <row r="10" spans="1:19" ht="15.75" thickTop="1" x14ac:dyDescent="0.25">
      <c r="A10" s="55" t="s">
        <v>32</v>
      </c>
      <c r="B10" s="840">
        <f>F4+F5-C10+F6+F7+F8</f>
        <v>80</v>
      </c>
      <c r="C10" s="53">
        <v>33</v>
      </c>
      <c r="D10" s="69">
        <v>877.04</v>
      </c>
      <c r="E10" s="245">
        <v>44895</v>
      </c>
      <c r="F10" s="69">
        <f t="shared" ref="F10:F55" si="0">D10</f>
        <v>877.04</v>
      </c>
      <c r="G10" s="70" t="s">
        <v>581</v>
      </c>
      <c r="H10" s="71">
        <v>77.5</v>
      </c>
      <c r="I10" s="820">
        <f>E5+E4-F10+E6+E7+E8</f>
        <v>2120.29</v>
      </c>
      <c r="K10" s="55" t="s">
        <v>32</v>
      </c>
      <c r="L10" s="840">
        <f>P4+P5-M10+P6+P7+P8</f>
        <v>80</v>
      </c>
      <c r="M10" s="53">
        <v>35</v>
      </c>
      <c r="N10" s="69">
        <v>934.72</v>
      </c>
      <c r="O10" s="245">
        <v>44902</v>
      </c>
      <c r="P10" s="69">
        <f t="shared" ref="P10:P55" si="1">N10</f>
        <v>934.72</v>
      </c>
      <c r="Q10" s="70" t="s">
        <v>639</v>
      </c>
      <c r="R10" s="71">
        <v>75</v>
      </c>
      <c r="S10" s="820">
        <f>O5+O4-P10+O6+O7+O8</f>
        <v>2115.6999999999998</v>
      </c>
    </row>
    <row r="11" spans="1:19" x14ac:dyDescent="0.25">
      <c r="A11" s="77"/>
      <c r="B11" s="182">
        <f t="shared" ref="B11:B54" si="2">B10-C11</f>
        <v>40</v>
      </c>
      <c r="C11" s="53">
        <v>40</v>
      </c>
      <c r="D11" s="69">
        <v>1064.6600000000001</v>
      </c>
      <c r="E11" s="245">
        <v>44896</v>
      </c>
      <c r="F11" s="69">
        <f t="shared" si="0"/>
        <v>1064.6600000000001</v>
      </c>
      <c r="G11" s="70" t="s">
        <v>592</v>
      </c>
      <c r="H11" s="71">
        <v>77.5</v>
      </c>
      <c r="I11" s="78">
        <f>I10-F11</f>
        <v>1055.6299999999999</v>
      </c>
      <c r="K11" s="77"/>
      <c r="L11" s="182">
        <f t="shared" ref="L11:L54" si="3">L10-M11</f>
        <v>40</v>
      </c>
      <c r="M11" s="53">
        <v>40</v>
      </c>
      <c r="N11" s="69">
        <v>1075.07</v>
      </c>
      <c r="O11" s="245">
        <v>44903</v>
      </c>
      <c r="P11" s="69">
        <f t="shared" si="1"/>
        <v>1075.07</v>
      </c>
      <c r="Q11" s="70" t="s">
        <v>652</v>
      </c>
      <c r="R11" s="71">
        <v>75</v>
      </c>
      <c r="S11" s="78">
        <f>S10-P11</f>
        <v>1040.6299999999999</v>
      </c>
    </row>
    <row r="12" spans="1:19" x14ac:dyDescent="0.25">
      <c r="A12" s="12"/>
      <c r="B12" s="182">
        <f t="shared" si="2"/>
        <v>20</v>
      </c>
      <c r="C12" s="15">
        <v>20</v>
      </c>
      <c r="D12" s="69">
        <v>530.54999999999995</v>
      </c>
      <c r="E12" s="245">
        <v>44898</v>
      </c>
      <c r="F12" s="69">
        <f t="shared" si="0"/>
        <v>530.54999999999995</v>
      </c>
      <c r="G12" s="70" t="s">
        <v>603</v>
      </c>
      <c r="H12" s="71">
        <v>77.5</v>
      </c>
      <c r="I12" s="78">
        <f t="shared" ref="I12:I55" si="4">I11-F12</f>
        <v>525.07999999999993</v>
      </c>
      <c r="K12" s="12"/>
      <c r="L12" s="182">
        <f t="shared" si="3"/>
        <v>0</v>
      </c>
      <c r="M12" s="15">
        <v>40</v>
      </c>
      <c r="N12" s="69">
        <v>1040.6300000000001</v>
      </c>
      <c r="O12" s="245">
        <v>44904</v>
      </c>
      <c r="P12" s="69">
        <f t="shared" si="1"/>
        <v>1040.6300000000001</v>
      </c>
      <c r="Q12" s="70" t="s">
        <v>665</v>
      </c>
      <c r="R12" s="71">
        <v>75</v>
      </c>
      <c r="S12" s="78">
        <f t="shared" ref="S12:S55" si="5">S11-P12</f>
        <v>0</v>
      </c>
    </row>
    <row r="13" spans="1:19" x14ac:dyDescent="0.25">
      <c r="A13" s="55" t="s">
        <v>33</v>
      </c>
      <c r="B13" s="182">
        <f t="shared" si="2"/>
        <v>0</v>
      </c>
      <c r="C13" s="15">
        <v>20</v>
      </c>
      <c r="D13" s="697">
        <v>525.08000000000004</v>
      </c>
      <c r="E13" s="842">
        <v>44900</v>
      </c>
      <c r="F13" s="697">
        <f t="shared" si="0"/>
        <v>525.08000000000004</v>
      </c>
      <c r="G13" s="695" t="s">
        <v>612</v>
      </c>
      <c r="H13" s="696">
        <v>77.5</v>
      </c>
      <c r="I13" s="843">
        <f t="shared" si="4"/>
        <v>0</v>
      </c>
      <c r="K13" s="55" t="s">
        <v>33</v>
      </c>
      <c r="L13" s="182">
        <f t="shared" si="3"/>
        <v>0</v>
      </c>
      <c r="M13" s="15"/>
      <c r="N13" s="697"/>
      <c r="O13" s="842"/>
      <c r="P13" s="1165">
        <f t="shared" si="1"/>
        <v>0</v>
      </c>
      <c r="Q13" s="1166"/>
      <c r="R13" s="1167"/>
      <c r="S13" s="1168">
        <f t="shared" si="5"/>
        <v>0</v>
      </c>
    </row>
    <row r="14" spans="1:19" x14ac:dyDescent="0.25">
      <c r="A14" s="77"/>
      <c r="B14" s="182">
        <f t="shared" si="2"/>
        <v>0</v>
      </c>
      <c r="C14" s="15"/>
      <c r="D14" s="697"/>
      <c r="E14" s="842"/>
      <c r="F14" s="1165">
        <f t="shared" si="0"/>
        <v>0</v>
      </c>
      <c r="G14" s="1166"/>
      <c r="H14" s="1167"/>
      <c r="I14" s="1168">
        <f t="shared" si="4"/>
        <v>0</v>
      </c>
      <c r="K14" s="77"/>
      <c r="L14" s="182">
        <f t="shared" si="3"/>
        <v>0</v>
      </c>
      <c r="M14" s="15"/>
      <c r="N14" s="697"/>
      <c r="O14" s="842"/>
      <c r="P14" s="1165">
        <f t="shared" si="1"/>
        <v>0</v>
      </c>
      <c r="Q14" s="1166"/>
      <c r="R14" s="1167"/>
      <c r="S14" s="1168">
        <f t="shared" si="5"/>
        <v>0</v>
      </c>
    </row>
    <row r="15" spans="1:19" x14ac:dyDescent="0.25">
      <c r="A15" s="12"/>
      <c r="B15" s="182">
        <f t="shared" si="2"/>
        <v>0</v>
      </c>
      <c r="C15" s="15"/>
      <c r="D15" s="697"/>
      <c r="E15" s="842"/>
      <c r="F15" s="1165">
        <f t="shared" si="0"/>
        <v>0</v>
      </c>
      <c r="G15" s="1166"/>
      <c r="H15" s="1167"/>
      <c r="I15" s="1168">
        <f t="shared" si="4"/>
        <v>0</v>
      </c>
      <c r="K15" s="12"/>
      <c r="L15" s="182">
        <f t="shared" si="3"/>
        <v>0</v>
      </c>
      <c r="M15" s="15"/>
      <c r="N15" s="697"/>
      <c r="O15" s="842"/>
      <c r="P15" s="1165">
        <f t="shared" si="1"/>
        <v>0</v>
      </c>
      <c r="Q15" s="1166"/>
      <c r="R15" s="1167"/>
      <c r="S15" s="1168">
        <f t="shared" si="5"/>
        <v>0</v>
      </c>
    </row>
    <row r="16" spans="1:19" x14ac:dyDescent="0.25">
      <c r="B16" s="182">
        <f t="shared" si="2"/>
        <v>0</v>
      </c>
      <c r="C16" s="15"/>
      <c r="D16" s="697"/>
      <c r="E16" s="842"/>
      <c r="F16" s="1165">
        <f t="shared" si="0"/>
        <v>0</v>
      </c>
      <c r="G16" s="1166"/>
      <c r="H16" s="1167"/>
      <c r="I16" s="1168">
        <f t="shared" si="4"/>
        <v>0</v>
      </c>
      <c r="L16" s="182">
        <f t="shared" si="3"/>
        <v>0</v>
      </c>
      <c r="M16" s="15"/>
      <c r="N16" s="697"/>
      <c r="O16" s="842"/>
      <c r="P16" s="697">
        <f t="shared" si="1"/>
        <v>0</v>
      </c>
      <c r="Q16" s="695"/>
      <c r="R16" s="696"/>
      <c r="S16" s="843">
        <f t="shared" si="5"/>
        <v>0</v>
      </c>
    </row>
    <row r="17" spans="2:19" x14ac:dyDescent="0.25">
      <c r="B17" s="182">
        <f t="shared" si="2"/>
        <v>0</v>
      </c>
      <c r="C17" s="15"/>
      <c r="D17" s="697"/>
      <c r="E17" s="842"/>
      <c r="F17" s="1165">
        <f t="shared" si="0"/>
        <v>0</v>
      </c>
      <c r="G17" s="1166"/>
      <c r="H17" s="1167"/>
      <c r="I17" s="1168">
        <f t="shared" si="4"/>
        <v>0</v>
      </c>
      <c r="L17" s="182">
        <f t="shared" si="3"/>
        <v>0</v>
      </c>
      <c r="M17" s="15"/>
      <c r="N17" s="697"/>
      <c r="O17" s="842"/>
      <c r="P17" s="697">
        <f t="shared" si="1"/>
        <v>0</v>
      </c>
      <c r="Q17" s="695"/>
      <c r="R17" s="696"/>
      <c r="S17" s="843">
        <f t="shared" si="5"/>
        <v>0</v>
      </c>
    </row>
    <row r="18" spans="2:19" x14ac:dyDescent="0.25">
      <c r="B18" s="182">
        <f t="shared" si="2"/>
        <v>0</v>
      </c>
      <c r="C18" s="15"/>
      <c r="D18" s="697"/>
      <c r="E18" s="842"/>
      <c r="F18" s="697">
        <f t="shared" si="0"/>
        <v>0</v>
      </c>
      <c r="G18" s="695"/>
      <c r="H18" s="696"/>
      <c r="I18" s="843">
        <f t="shared" si="4"/>
        <v>0</v>
      </c>
      <c r="L18" s="182">
        <f t="shared" si="3"/>
        <v>0</v>
      </c>
      <c r="M18" s="15"/>
      <c r="N18" s="697"/>
      <c r="O18" s="842"/>
      <c r="P18" s="697">
        <f t="shared" si="1"/>
        <v>0</v>
      </c>
      <c r="Q18" s="695"/>
      <c r="R18" s="696"/>
      <c r="S18" s="843">
        <f t="shared" si="5"/>
        <v>0</v>
      </c>
    </row>
    <row r="19" spans="2:19" x14ac:dyDescent="0.25">
      <c r="B19" s="182">
        <f t="shared" si="2"/>
        <v>0</v>
      </c>
      <c r="C19" s="53"/>
      <c r="D19" s="697"/>
      <c r="E19" s="842"/>
      <c r="F19" s="697">
        <f t="shared" si="0"/>
        <v>0</v>
      </c>
      <c r="G19" s="695"/>
      <c r="H19" s="696"/>
      <c r="I19" s="843">
        <f t="shared" si="4"/>
        <v>0</v>
      </c>
      <c r="L19" s="182">
        <f t="shared" si="3"/>
        <v>0</v>
      </c>
      <c r="M19" s="53"/>
      <c r="N19" s="697"/>
      <c r="O19" s="842"/>
      <c r="P19" s="697">
        <f t="shared" si="1"/>
        <v>0</v>
      </c>
      <c r="Q19" s="695"/>
      <c r="R19" s="696"/>
      <c r="S19" s="843">
        <f t="shared" si="5"/>
        <v>0</v>
      </c>
    </row>
    <row r="20" spans="2:19" x14ac:dyDescent="0.25">
      <c r="B20" s="182">
        <f t="shared" si="2"/>
        <v>0</v>
      </c>
      <c r="C20" s="15"/>
      <c r="D20" s="697"/>
      <c r="E20" s="842"/>
      <c r="F20" s="697">
        <f t="shared" si="0"/>
        <v>0</v>
      </c>
      <c r="G20" s="695"/>
      <c r="H20" s="696"/>
      <c r="I20" s="843">
        <f t="shared" si="4"/>
        <v>0</v>
      </c>
      <c r="L20" s="182">
        <f t="shared" si="3"/>
        <v>0</v>
      </c>
      <c r="M20" s="15"/>
      <c r="N20" s="697"/>
      <c r="O20" s="842"/>
      <c r="P20" s="697">
        <f t="shared" si="1"/>
        <v>0</v>
      </c>
      <c r="Q20" s="695"/>
      <c r="R20" s="696"/>
      <c r="S20" s="843">
        <f t="shared" si="5"/>
        <v>0</v>
      </c>
    </row>
    <row r="21" spans="2:19" x14ac:dyDescent="0.25">
      <c r="B21" s="182">
        <f t="shared" si="2"/>
        <v>0</v>
      </c>
      <c r="C21" s="15"/>
      <c r="D21" s="697"/>
      <c r="E21" s="842"/>
      <c r="F21" s="697">
        <f t="shared" si="0"/>
        <v>0</v>
      </c>
      <c r="G21" s="695"/>
      <c r="H21" s="696"/>
      <c r="I21" s="843">
        <f t="shared" si="4"/>
        <v>0</v>
      </c>
      <c r="L21" s="182">
        <f t="shared" si="3"/>
        <v>0</v>
      </c>
      <c r="M21" s="15"/>
      <c r="N21" s="697"/>
      <c r="O21" s="842"/>
      <c r="P21" s="697">
        <f t="shared" si="1"/>
        <v>0</v>
      </c>
      <c r="Q21" s="695"/>
      <c r="R21" s="696"/>
      <c r="S21" s="843">
        <f t="shared" si="5"/>
        <v>0</v>
      </c>
    </row>
    <row r="22" spans="2:19" x14ac:dyDescent="0.25">
      <c r="B22" s="182">
        <f t="shared" si="2"/>
        <v>0</v>
      </c>
      <c r="C22" s="15"/>
      <c r="D22" s="69"/>
      <c r="E22" s="245"/>
      <c r="F22" s="69">
        <f t="shared" si="0"/>
        <v>0</v>
      </c>
      <c r="G22" s="70"/>
      <c r="H22" s="71"/>
      <c r="I22" s="78">
        <f t="shared" si="4"/>
        <v>0</v>
      </c>
      <c r="L22" s="182">
        <f t="shared" si="3"/>
        <v>0</v>
      </c>
      <c r="M22" s="15"/>
      <c r="N22" s="69"/>
      <c r="O22" s="245"/>
      <c r="P22" s="69">
        <f t="shared" si="1"/>
        <v>0</v>
      </c>
      <c r="Q22" s="70"/>
      <c r="R22" s="71"/>
      <c r="S22" s="78">
        <f t="shared" si="5"/>
        <v>0</v>
      </c>
    </row>
    <row r="23" spans="2:19" x14ac:dyDescent="0.25">
      <c r="B23" s="182">
        <f t="shared" si="2"/>
        <v>0</v>
      </c>
      <c r="C23" s="15"/>
      <c r="D23" s="69"/>
      <c r="E23" s="245"/>
      <c r="F23" s="69">
        <f t="shared" si="0"/>
        <v>0</v>
      </c>
      <c r="G23" s="70"/>
      <c r="H23" s="71"/>
      <c r="I23" s="78">
        <f t="shared" si="4"/>
        <v>0</v>
      </c>
      <c r="L23" s="182">
        <f t="shared" si="3"/>
        <v>0</v>
      </c>
      <c r="M23" s="15"/>
      <c r="N23" s="69"/>
      <c r="O23" s="245"/>
      <c r="P23" s="69">
        <f t="shared" si="1"/>
        <v>0</v>
      </c>
      <c r="Q23" s="70"/>
      <c r="R23" s="71"/>
      <c r="S23" s="78">
        <f t="shared" si="5"/>
        <v>0</v>
      </c>
    </row>
    <row r="24" spans="2:19" x14ac:dyDescent="0.25">
      <c r="B24" s="182">
        <f t="shared" si="2"/>
        <v>0</v>
      </c>
      <c r="C24" s="15"/>
      <c r="D24" s="69"/>
      <c r="E24" s="245"/>
      <c r="F24" s="69">
        <f t="shared" si="0"/>
        <v>0</v>
      </c>
      <c r="G24" s="70"/>
      <c r="H24" s="71"/>
      <c r="I24" s="78">
        <f t="shared" si="4"/>
        <v>0</v>
      </c>
      <c r="L24" s="182">
        <f t="shared" si="3"/>
        <v>0</v>
      </c>
      <c r="M24" s="15"/>
      <c r="N24" s="69"/>
      <c r="O24" s="245"/>
      <c r="P24" s="69">
        <f t="shared" si="1"/>
        <v>0</v>
      </c>
      <c r="Q24" s="70"/>
      <c r="R24" s="71"/>
      <c r="S24" s="78">
        <f t="shared" si="5"/>
        <v>0</v>
      </c>
    </row>
    <row r="25" spans="2:19" x14ac:dyDescent="0.25">
      <c r="B25" s="182">
        <f t="shared" si="2"/>
        <v>0</v>
      </c>
      <c r="C25" s="15"/>
      <c r="D25" s="69"/>
      <c r="E25" s="245"/>
      <c r="F25" s="69">
        <f t="shared" si="0"/>
        <v>0</v>
      </c>
      <c r="G25" s="70"/>
      <c r="H25" s="71"/>
      <c r="I25" s="78">
        <f t="shared" si="4"/>
        <v>0</v>
      </c>
      <c r="L25" s="182">
        <f t="shared" si="3"/>
        <v>0</v>
      </c>
      <c r="M25" s="15"/>
      <c r="N25" s="69"/>
      <c r="O25" s="245"/>
      <c r="P25" s="69">
        <f t="shared" si="1"/>
        <v>0</v>
      </c>
      <c r="Q25" s="70"/>
      <c r="R25" s="71"/>
      <c r="S25" s="78">
        <f t="shared" si="5"/>
        <v>0</v>
      </c>
    </row>
    <row r="26" spans="2:19" x14ac:dyDescent="0.25">
      <c r="B26" s="182">
        <f t="shared" si="2"/>
        <v>0</v>
      </c>
      <c r="C26" s="15"/>
      <c r="D26" s="69"/>
      <c r="E26" s="245"/>
      <c r="F26" s="69">
        <f t="shared" si="0"/>
        <v>0</v>
      </c>
      <c r="G26" s="70"/>
      <c r="H26" s="71"/>
      <c r="I26" s="78">
        <f t="shared" si="4"/>
        <v>0</v>
      </c>
      <c r="L26" s="182">
        <f t="shared" si="3"/>
        <v>0</v>
      </c>
      <c r="M26" s="15"/>
      <c r="N26" s="69"/>
      <c r="O26" s="245"/>
      <c r="P26" s="69">
        <f t="shared" si="1"/>
        <v>0</v>
      </c>
      <c r="Q26" s="70"/>
      <c r="R26" s="71"/>
      <c r="S26" s="78">
        <f t="shared" si="5"/>
        <v>0</v>
      </c>
    </row>
    <row r="27" spans="2:19" x14ac:dyDescent="0.25">
      <c r="B27" s="182">
        <f t="shared" si="2"/>
        <v>0</v>
      </c>
      <c r="C27" s="15"/>
      <c r="D27" s="69"/>
      <c r="E27" s="245"/>
      <c r="F27" s="69">
        <f t="shared" si="0"/>
        <v>0</v>
      </c>
      <c r="G27" s="70"/>
      <c r="H27" s="71"/>
      <c r="I27" s="78">
        <f t="shared" si="4"/>
        <v>0</v>
      </c>
      <c r="L27" s="182">
        <f t="shared" si="3"/>
        <v>0</v>
      </c>
      <c r="M27" s="15"/>
      <c r="N27" s="69"/>
      <c r="O27" s="245"/>
      <c r="P27" s="69">
        <f t="shared" si="1"/>
        <v>0</v>
      </c>
      <c r="Q27" s="70"/>
      <c r="R27" s="71"/>
      <c r="S27" s="78">
        <f t="shared" si="5"/>
        <v>0</v>
      </c>
    </row>
    <row r="28" spans="2:19" x14ac:dyDescent="0.25">
      <c r="B28" s="182">
        <f t="shared" si="2"/>
        <v>0</v>
      </c>
      <c r="C28" s="15"/>
      <c r="D28" s="69"/>
      <c r="E28" s="245"/>
      <c r="F28" s="69">
        <f t="shared" si="0"/>
        <v>0</v>
      </c>
      <c r="G28" s="70"/>
      <c r="H28" s="71"/>
      <c r="I28" s="78">
        <f t="shared" si="4"/>
        <v>0</v>
      </c>
      <c r="L28" s="182">
        <f t="shared" si="3"/>
        <v>0</v>
      </c>
      <c r="M28" s="15"/>
      <c r="N28" s="69"/>
      <c r="O28" s="245"/>
      <c r="P28" s="69">
        <f t="shared" si="1"/>
        <v>0</v>
      </c>
      <c r="Q28" s="70"/>
      <c r="R28" s="71"/>
      <c r="S28" s="78">
        <f t="shared" si="5"/>
        <v>0</v>
      </c>
    </row>
    <row r="29" spans="2:19" x14ac:dyDescent="0.25">
      <c r="B29" s="182">
        <f t="shared" si="2"/>
        <v>0</v>
      </c>
      <c r="C29" s="15"/>
      <c r="D29" s="69"/>
      <c r="E29" s="245"/>
      <c r="F29" s="69">
        <f t="shared" si="0"/>
        <v>0</v>
      </c>
      <c r="G29" s="70"/>
      <c r="H29" s="71"/>
      <c r="I29" s="78">
        <f t="shared" si="4"/>
        <v>0</v>
      </c>
      <c r="L29" s="182">
        <f t="shared" si="3"/>
        <v>0</v>
      </c>
      <c r="M29" s="15"/>
      <c r="N29" s="69"/>
      <c r="O29" s="245"/>
      <c r="P29" s="69">
        <f t="shared" si="1"/>
        <v>0</v>
      </c>
      <c r="Q29" s="70"/>
      <c r="R29" s="71"/>
      <c r="S29" s="78">
        <f t="shared" si="5"/>
        <v>0</v>
      </c>
    </row>
    <row r="30" spans="2:19" x14ac:dyDescent="0.25">
      <c r="B30" s="182">
        <f t="shared" si="2"/>
        <v>0</v>
      </c>
      <c r="C30" s="15"/>
      <c r="D30" s="69"/>
      <c r="E30" s="245"/>
      <c r="F30" s="69">
        <f t="shared" si="0"/>
        <v>0</v>
      </c>
      <c r="G30" s="70"/>
      <c r="H30" s="71"/>
      <c r="I30" s="78">
        <f t="shared" si="4"/>
        <v>0</v>
      </c>
      <c r="L30" s="182">
        <f t="shared" si="3"/>
        <v>0</v>
      </c>
      <c r="M30" s="15"/>
      <c r="N30" s="69"/>
      <c r="O30" s="245"/>
      <c r="P30" s="69">
        <f t="shared" si="1"/>
        <v>0</v>
      </c>
      <c r="Q30" s="70"/>
      <c r="R30" s="71"/>
      <c r="S30" s="78">
        <f t="shared" si="5"/>
        <v>0</v>
      </c>
    </row>
    <row r="31" spans="2:19" x14ac:dyDescent="0.25">
      <c r="B31" s="182">
        <f t="shared" si="2"/>
        <v>0</v>
      </c>
      <c r="C31" s="15"/>
      <c r="D31" s="69"/>
      <c r="E31" s="245"/>
      <c r="F31" s="69">
        <f t="shared" si="0"/>
        <v>0</v>
      </c>
      <c r="G31" s="70"/>
      <c r="H31" s="71"/>
      <c r="I31" s="78">
        <f t="shared" si="4"/>
        <v>0</v>
      </c>
      <c r="L31" s="182">
        <f t="shared" si="3"/>
        <v>0</v>
      </c>
      <c r="M31" s="15"/>
      <c r="N31" s="69"/>
      <c r="O31" s="245"/>
      <c r="P31" s="69">
        <f t="shared" si="1"/>
        <v>0</v>
      </c>
      <c r="Q31" s="70"/>
      <c r="R31" s="71"/>
      <c r="S31" s="78">
        <f t="shared" si="5"/>
        <v>0</v>
      </c>
    </row>
    <row r="32" spans="2:19" x14ac:dyDescent="0.25">
      <c r="B32" s="182">
        <f t="shared" si="2"/>
        <v>0</v>
      </c>
      <c r="C32" s="15"/>
      <c r="D32" s="69"/>
      <c r="E32" s="245"/>
      <c r="F32" s="69">
        <f t="shared" si="0"/>
        <v>0</v>
      </c>
      <c r="G32" s="70"/>
      <c r="H32" s="71"/>
      <c r="I32" s="78">
        <f t="shared" si="4"/>
        <v>0</v>
      </c>
      <c r="L32" s="182">
        <f t="shared" si="3"/>
        <v>0</v>
      </c>
      <c r="M32" s="15"/>
      <c r="N32" s="69"/>
      <c r="O32" s="245"/>
      <c r="P32" s="69">
        <f t="shared" si="1"/>
        <v>0</v>
      </c>
      <c r="Q32" s="70"/>
      <c r="R32" s="71"/>
      <c r="S32" s="78">
        <f t="shared" si="5"/>
        <v>0</v>
      </c>
    </row>
    <row r="33" spans="2:19" x14ac:dyDescent="0.25">
      <c r="B33" s="182">
        <f t="shared" si="2"/>
        <v>0</v>
      </c>
      <c r="C33" s="15"/>
      <c r="D33" s="69"/>
      <c r="E33" s="245"/>
      <c r="F33" s="69">
        <f t="shared" si="0"/>
        <v>0</v>
      </c>
      <c r="G33" s="70"/>
      <c r="H33" s="71"/>
      <c r="I33" s="78">
        <f t="shared" si="4"/>
        <v>0</v>
      </c>
      <c r="L33" s="182">
        <f t="shared" si="3"/>
        <v>0</v>
      </c>
      <c r="M33" s="15"/>
      <c r="N33" s="69"/>
      <c r="O33" s="245"/>
      <c r="P33" s="69">
        <f t="shared" si="1"/>
        <v>0</v>
      </c>
      <c r="Q33" s="70"/>
      <c r="R33" s="71"/>
      <c r="S33" s="78">
        <f t="shared" si="5"/>
        <v>0</v>
      </c>
    </row>
    <row r="34" spans="2:19" x14ac:dyDescent="0.25">
      <c r="B34" s="182">
        <f t="shared" si="2"/>
        <v>0</v>
      </c>
      <c r="C34" s="15"/>
      <c r="D34" s="69"/>
      <c r="E34" s="245"/>
      <c r="F34" s="69">
        <f t="shared" si="0"/>
        <v>0</v>
      </c>
      <c r="G34" s="70"/>
      <c r="H34" s="71"/>
      <c r="I34" s="78">
        <f t="shared" si="4"/>
        <v>0</v>
      </c>
      <c r="L34" s="182">
        <f t="shared" si="3"/>
        <v>0</v>
      </c>
      <c r="M34" s="15"/>
      <c r="N34" s="69"/>
      <c r="O34" s="245"/>
      <c r="P34" s="69">
        <f t="shared" si="1"/>
        <v>0</v>
      </c>
      <c r="Q34" s="70"/>
      <c r="R34" s="71"/>
      <c r="S34" s="78">
        <f t="shared" si="5"/>
        <v>0</v>
      </c>
    </row>
    <row r="35" spans="2:19" x14ac:dyDescent="0.25">
      <c r="B35" s="182">
        <f t="shared" si="2"/>
        <v>0</v>
      </c>
      <c r="C35" s="15"/>
      <c r="D35" s="69"/>
      <c r="E35" s="245"/>
      <c r="F35" s="69">
        <f t="shared" si="0"/>
        <v>0</v>
      </c>
      <c r="G35" s="70"/>
      <c r="H35" s="71"/>
      <c r="I35" s="78">
        <f t="shared" si="4"/>
        <v>0</v>
      </c>
      <c r="L35" s="182">
        <f t="shared" si="3"/>
        <v>0</v>
      </c>
      <c r="M35" s="15"/>
      <c r="N35" s="69"/>
      <c r="O35" s="245"/>
      <c r="P35" s="69">
        <f t="shared" si="1"/>
        <v>0</v>
      </c>
      <c r="Q35" s="70"/>
      <c r="R35" s="71"/>
      <c r="S35" s="78">
        <f t="shared" si="5"/>
        <v>0</v>
      </c>
    </row>
    <row r="36" spans="2:19" x14ac:dyDescent="0.25">
      <c r="B36" s="182">
        <f t="shared" si="2"/>
        <v>0</v>
      </c>
      <c r="C36" s="15"/>
      <c r="D36" s="69"/>
      <c r="E36" s="245"/>
      <c r="F36" s="69">
        <f t="shared" si="0"/>
        <v>0</v>
      </c>
      <c r="G36" s="70"/>
      <c r="H36" s="71"/>
      <c r="I36" s="78">
        <f t="shared" si="4"/>
        <v>0</v>
      </c>
      <c r="L36" s="182">
        <f t="shared" si="3"/>
        <v>0</v>
      </c>
      <c r="M36" s="15"/>
      <c r="N36" s="69"/>
      <c r="O36" s="245"/>
      <c r="P36" s="69">
        <f t="shared" si="1"/>
        <v>0</v>
      </c>
      <c r="Q36" s="70"/>
      <c r="R36" s="71"/>
      <c r="S36" s="78">
        <f t="shared" si="5"/>
        <v>0</v>
      </c>
    </row>
    <row r="37" spans="2:19" x14ac:dyDescent="0.25">
      <c r="B37" s="182">
        <f t="shared" si="2"/>
        <v>0</v>
      </c>
      <c r="C37" s="15"/>
      <c r="D37" s="69"/>
      <c r="E37" s="245"/>
      <c r="F37" s="69">
        <f t="shared" si="0"/>
        <v>0</v>
      </c>
      <c r="G37" s="70"/>
      <c r="H37" s="71"/>
      <c r="I37" s="78">
        <f t="shared" si="4"/>
        <v>0</v>
      </c>
      <c r="L37" s="182">
        <f t="shared" si="3"/>
        <v>0</v>
      </c>
      <c r="M37" s="15"/>
      <c r="N37" s="69"/>
      <c r="O37" s="245"/>
      <c r="P37" s="69">
        <f t="shared" si="1"/>
        <v>0</v>
      </c>
      <c r="Q37" s="70"/>
      <c r="R37" s="71"/>
      <c r="S37" s="78">
        <f t="shared" si="5"/>
        <v>0</v>
      </c>
    </row>
    <row r="38" spans="2:19" x14ac:dyDescent="0.25">
      <c r="B38" s="182">
        <f t="shared" si="2"/>
        <v>0</v>
      </c>
      <c r="C38" s="15"/>
      <c r="D38" s="69"/>
      <c r="E38" s="245"/>
      <c r="F38" s="69">
        <f t="shared" si="0"/>
        <v>0</v>
      </c>
      <c r="G38" s="70"/>
      <c r="H38" s="71"/>
      <c r="I38" s="78">
        <f t="shared" si="4"/>
        <v>0</v>
      </c>
      <c r="L38" s="182">
        <f t="shared" si="3"/>
        <v>0</v>
      </c>
      <c r="M38" s="15"/>
      <c r="N38" s="69"/>
      <c r="O38" s="245"/>
      <c r="P38" s="69">
        <f t="shared" si="1"/>
        <v>0</v>
      </c>
      <c r="Q38" s="70"/>
      <c r="R38" s="71"/>
      <c r="S38" s="78">
        <f t="shared" si="5"/>
        <v>0</v>
      </c>
    </row>
    <row r="39" spans="2:19" x14ac:dyDescent="0.25">
      <c r="B39" s="182">
        <f t="shared" si="2"/>
        <v>0</v>
      </c>
      <c r="C39" s="15"/>
      <c r="D39" s="69"/>
      <c r="E39" s="245"/>
      <c r="F39" s="69">
        <f t="shared" si="0"/>
        <v>0</v>
      </c>
      <c r="G39" s="70"/>
      <c r="H39" s="71"/>
      <c r="I39" s="78">
        <f t="shared" si="4"/>
        <v>0</v>
      </c>
      <c r="L39" s="182">
        <f t="shared" si="3"/>
        <v>0</v>
      </c>
      <c r="M39" s="15"/>
      <c r="N39" s="69"/>
      <c r="O39" s="245"/>
      <c r="P39" s="69">
        <f t="shared" si="1"/>
        <v>0</v>
      </c>
      <c r="Q39" s="70"/>
      <c r="R39" s="71"/>
      <c r="S39" s="78">
        <f t="shared" si="5"/>
        <v>0</v>
      </c>
    </row>
    <row r="40" spans="2:19" x14ac:dyDescent="0.25">
      <c r="B40" s="182">
        <f t="shared" si="2"/>
        <v>0</v>
      </c>
      <c r="C40" s="15"/>
      <c r="D40" s="69"/>
      <c r="E40" s="245"/>
      <c r="F40" s="69">
        <f t="shared" si="0"/>
        <v>0</v>
      </c>
      <c r="G40" s="70"/>
      <c r="H40" s="71"/>
      <c r="I40" s="78">
        <f t="shared" si="4"/>
        <v>0</v>
      </c>
      <c r="L40" s="182">
        <f t="shared" si="3"/>
        <v>0</v>
      </c>
      <c r="M40" s="15"/>
      <c r="N40" s="69"/>
      <c r="O40" s="245"/>
      <c r="P40" s="69">
        <f t="shared" si="1"/>
        <v>0</v>
      </c>
      <c r="Q40" s="70"/>
      <c r="R40" s="71"/>
      <c r="S40" s="78">
        <f t="shared" si="5"/>
        <v>0</v>
      </c>
    </row>
    <row r="41" spans="2:19" x14ac:dyDescent="0.25">
      <c r="B41" s="182">
        <f t="shared" si="2"/>
        <v>0</v>
      </c>
      <c r="C41" s="15"/>
      <c r="D41" s="69"/>
      <c r="E41" s="245"/>
      <c r="F41" s="69">
        <f t="shared" si="0"/>
        <v>0</v>
      </c>
      <c r="G41" s="70"/>
      <c r="H41" s="71"/>
      <c r="I41" s="78">
        <f t="shared" si="4"/>
        <v>0</v>
      </c>
      <c r="L41" s="182">
        <f t="shared" si="3"/>
        <v>0</v>
      </c>
      <c r="M41" s="15"/>
      <c r="N41" s="69"/>
      <c r="O41" s="245"/>
      <c r="P41" s="69">
        <f t="shared" si="1"/>
        <v>0</v>
      </c>
      <c r="Q41" s="70"/>
      <c r="R41" s="71"/>
      <c r="S41" s="78">
        <f t="shared" si="5"/>
        <v>0</v>
      </c>
    </row>
    <row r="42" spans="2:19" x14ac:dyDescent="0.25">
      <c r="B42" s="182">
        <f t="shared" si="2"/>
        <v>0</v>
      </c>
      <c r="C42" s="15"/>
      <c r="D42" s="69"/>
      <c r="E42" s="245"/>
      <c r="F42" s="69">
        <f t="shared" si="0"/>
        <v>0</v>
      </c>
      <c r="G42" s="70"/>
      <c r="H42" s="71"/>
      <c r="I42" s="78">
        <f t="shared" si="4"/>
        <v>0</v>
      </c>
      <c r="L42" s="182">
        <f t="shared" si="3"/>
        <v>0</v>
      </c>
      <c r="M42" s="15"/>
      <c r="N42" s="69"/>
      <c r="O42" s="245"/>
      <c r="P42" s="69">
        <f t="shared" si="1"/>
        <v>0</v>
      </c>
      <c r="Q42" s="70"/>
      <c r="R42" s="71"/>
      <c r="S42" s="78">
        <f t="shared" si="5"/>
        <v>0</v>
      </c>
    </row>
    <row r="43" spans="2:19" x14ac:dyDescent="0.25">
      <c r="B43" s="182">
        <f t="shared" si="2"/>
        <v>0</v>
      </c>
      <c r="C43" s="15"/>
      <c r="D43" s="69"/>
      <c r="E43" s="245"/>
      <c r="F43" s="69">
        <f t="shared" si="0"/>
        <v>0</v>
      </c>
      <c r="G43" s="70"/>
      <c r="H43" s="71"/>
      <c r="I43" s="78">
        <f t="shared" si="4"/>
        <v>0</v>
      </c>
      <c r="L43" s="182">
        <f t="shared" si="3"/>
        <v>0</v>
      </c>
      <c r="M43" s="15"/>
      <c r="N43" s="69"/>
      <c r="O43" s="245"/>
      <c r="P43" s="69">
        <f t="shared" si="1"/>
        <v>0</v>
      </c>
      <c r="Q43" s="70"/>
      <c r="R43" s="71"/>
      <c r="S43" s="78">
        <f t="shared" si="5"/>
        <v>0</v>
      </c>
    </row>
    <row r="44" spans="2:19" x14ac:dyDescent="0.25">
      <c r="B44" s="182">
        <f t="shared" si="2"/>
        <v>0</v>
      </c>
      <c r="C44" s="15"/>
      <c r="D44" s="69"/>
      <c r="E44" s="245"/>
      <c r="F44" s="69">
        <f t="shared" si="0"/>
        <v>0</v>
      </c>
      <c r="G44" s="70"/>
      <c r="H44" s="71"/>
      <c r="I44" s="78">
        <f t="shared" si="4"/>
        <v>0</v>
      </c>
      <c r="L44" s="182">
        <f t="shared" si="3"/>
        <v>0</v>
      </c>
      <c r="M44" s="15"/>
      <c r="N44" s="69"/>
      <c r="O44" s="245"/>
      <c r="P44" s="69">
        <f t="shared" si="1"/>
        <v>0</v>
      </c>
      <c r="Q44" s="70"/>
      <c r="R44" s="71"/>
      <c r="S44" s="78">
        <f t="shared" si="5"/>
        <v>0</v>
      </c>
    </row>
    <row r="45" spans="2:19" x14ac:dyDescent="0.25">
      <c r="B45" s="182">
        <f t="shared" si="2"/>
        <v>0</v>
      </c>
      <c r="C45" s="15"/>
      <c r="D45" s="69"/>
      <c r="E45" s="245"/>
      <c r="F45" s="69">
        <f t="shared" si="0"/>
        <v>0</v>
      </c>
      <c r="G45" s="70"/>
      <c r="H45" s="71"/>
      <c r="I45" s="78">
        <f t="shared" si="4"/>
        <v>0</v>
      </c>
      <c r="L45" s="182">
        <f t="shared" si="3"/>
        <v>0</v>
      </c>
      <c r="M45" s="15"/>
      <c r="N45" s="69"/>
      <c r="O45" s="245"/>
      <c r="P45" s="69">
        <f t="shared" si="1"/>
        <v>0</v>
      </c>
      <c r="Q45" s="70"/>
      <c r="R45" s="71"/>
      <c r="S45" s="78">
        <f t="shared" si="5"/>
        <v>0</v>
      </c>
    </row>
    <row r="46" spans="2:19" x14ac:dyDescent="0.25">
      <c r="B46" s="182">
        <f t="shared" si="2"/>
        <v>0</v>
      </c>
      <c r="C46" s="15"/>
      <c r="D46" s="69"/>
      <c r="E46" s="245"/>
      <c r="F46" s="69">
        <f t="shared" si="0"/>
        <v>0</v>
      </c>
      <c r="G46" s="70"/>
      <c r="H46" s="71"/>
      <c r="I46" s="78">
        <f t="shared" si="4"/>
        <v>0</v>
      </c>
      <c r="L46" s="182">
        <f t="shared" si="3"/>
        <v>0</v>
      </c>
      <c r="M46" s="15"/>
      <c r="N46" s="69"/>
      <c r="O46" s="245"/>
      <c r="P46" s="69">
        <f t="shared" si="1"/>
        <v>0</v>
      </c>
      <c r="Q46" s="70"/>
      <c r="R46" s="71"/>
      <c r="S46" s="78">
        <f t="shared" si="5"/>
        <v>0</v>
      </c>
    </row>
    <row r="47" spans="2:19" x14ac:dyDescent="0.25">
      <c r="B47" s="182">
        <f t="shared" si="2"/>
        <v>0</v>
      </c>
      <c r="C47" s="15"/>
      <c r="D47" s="69"/>
      <c r="E47" s="245"/>
      <c r="F47" s="69">
        <f t="shared" si="0"/>
        <v>0</v>
      </c>
      <c r="G47" s="70"/>
      <c r="H47" s="71"/>
      <c r="I47" s="78">
        <f t="shared" si="4"/>
        <v>0</v>
      </c>
      <c r="L47" s="182">
        <f t="shared" si="3"/>
        <v>0</v>
      </c>
      <c r="M47" s="15"/>
      <c r="N47" s="69"/>
      <c r="O47" s="245"/>
      <c r="P47" s="69">
        <f t="shared" si="1"/>
        <v>0</v>
      </c>
      <c r="Q47" s="70"/>
      <c r="R47" s="71"/>
      <c r="S47" s="78">
        <f t="shared" si="5"/>
        <v>0</v>
      </c>
    </row>
    <row r="48" spans="2:19" x14ac:dyDescent="0.25">
      <c r="B48" s="182">
        <f t="shared" si="2"/>
        <v>0</v>
      </c>
      <c r="C48" s="15"/>
      <c r="D48" s="69"/>
      <c r="E48" s="245"/>
      <c r="F48" s="69">
        <f t="shared" si="0"/>
        <v>0</v>
      </c>
      <c r="G48" s="70"/>
      <c r="H48" s="71"/>
      <c r="I48" s="78">
        <f t="shared" si="4"/>
        <v>0</v>
      </c>
      <c r="L48" s="182">
        <f t="shared" si="3"/>
        <v>0</v>
      </c>
      <c r="M48" s="15"/>
      <c r="N48" s="69"/>
      <c r="O48" s="245"/>
      <c r="P48" s="69">
        <f t="shared" si="1"/>
        <v>0</v>
      </c>
      <c r="Q48" s="70"/>
      <c r="R48" s="71"/>
      <c r="S48" s="78">
        <f t="shared" si="5"/>
        <v>0</v>
      </c>
    </row>
    <row r="49" spans="2:19" x14ac:dyDescent="0.25">
      <c r="B49" s="182">
        <f t="shared" si="2"/>
        <v>0</v>
      </c>
      <c r="C49" s="15"/>
      <c r="D49" s="69"/>
      <c r="E49" s="245"/>
      <c r="F49" s="69">
        <f t="shared" si="0"/>
        <v>0</v>
      </c>
      <c r="G49" s="70"/>
      <c r="H49" s="71"/>
      <c r="I49" s="78">
        <f t="shared" si="4"/>
        <v>0</v>
      </c>
      <c r="L49" s="182">
        <f t="shared" si="3"/>
        <v>0</v>
      </c>
      <c r="M49" s="15"/>
      <c r="N49" s="69"/>
      <c r="O49" s="245"/>
      <c r="P49" s="69">
        <f t="shared" si="1"/>
        <v>0</v>
      </c>
      <c r="Q49" s="70"/>
      <c r="R49" s="71"/>
      <c r="S49" s="78">
        <f t="shared" si="5"/>
        <v>0</v>
      </c>
    </row>
    <row r="50" spans="2:19" x14ac:dyDescent="0.25">
      <c r="B50" s="182">
        <f t="shared" si="2"/>
        <v>0</v>
      </c>
      <c r="C50" s="15"/>
      <c r="D50" s="69"/>
      <c r="E50" s="245"/>
      <c r="F50" s="69">
        <f t="shared" si="0"/>
        <v>0</v>
      </c>
      <c r="G50" s="70"/>
      <c r="H50" s="71"/>
      <c r="I50" s="78">
        <f t="shared" si="4"/>
        <v>0</v>
      </c>
      <c r="L50" s="182">
        <f t="shared" si="3"/>
        <v>0</v>
      </c>
      <c r="M50" s="15"/>
      <c r="N50" s="69"/>
      <c r="O50" s="245"/>
      <c r="P50" s="69">
        <f t="shared" si="1"/>
        <v>0</v>
      </c>
      <c r="Q50" s="70"/>
      <c r="R50" s="71"/>
      <c r="S50" s="78">
        <f t="shared" si="5"/>
        <v>0</v>
      </c>
    </row>
    <row r="51" spans="2:19" x14ac:dyDescent="0.25">
      <c r="B51" s="182">
        <f t="shared" si="2"/>
        <v>0</v>
      </c>
      <c r="C51" s="15"/>
      <c r="D51" s="69"/>
      <c r="E51" s="245"/>
      <c r="F51" s="69">
        <f t="shared" si="0"/>
        <v>0</v>
      </c>
      <c r="G51" s="70"/>
      <c r="H51" s="71"/>
      <c r="I51" s="78">
        <f t="shared" si="4"/>
        <v>0</v>
      </c>
      <c r="L51" s="182">
        <f t="shared" si="3"/>
        <v>0</v>
      </c>
      <c r="M51" s="15"/>
      <c r="N51" s="69"/>
      <c r="O51" s="245"/>
      <c r="P51" s="69">
        <f t="shared" si="1"/>
        <v>0</v>
      </c>
      <c r="Q51" s="70"/>
      <c r="R51" s="71"/>
      <c r="S51" s="78">
        <f t="shared" si="5"/>
        <v>0</v>
      </c>
    </row>
    <row r="52" spans="2:19" x14ac:dyDescent="0.25">
      <c r="B52" s="182">
        <f t="shared" si="2"/>
        <v>0</v>
      </c>
      <c r="C52" s="15"/>
      <c r="D52" s="69"/>
      <c r="E52" s="245"/>
      <c r="F52" s="69">
        <f t="shared" si="0"/>
        <v>0</v>
      </c>
      <c r="G52" s="70"/>
      <c r="H52" s="71"/>
      <c r="I52" s="78">
        <f t="shared" si="4"/>
        <v>0</v>
      </c>
      <c r="L52" s="182">
        <f t="shared" si="3"/>
        <v>0</v>
      </c>
      <c r="M52" s="15"/>
      <c r="N52" s="69"/>
      <c r="O52" s="245"/>
      <c r="P52" s="69">
        <f t="shared" si="1"/>
        <v>0</v>
      </c>
      <c r="Q52" s="70"/>
      <c r="R52" s="71"/>
      <c r="S52" s="78">
        <f t="shared" si="5"/>
        <v>0</v>
      </c>
    </row>
    <row r="53" spans="2:19" x14ac:dyDescent="0.25">
      <c r="B53" s="182">
        <f t="shared" si="2"/>
        <v>0</v>
      </c>
      <c r="C53" s="15"/>
      <c r="D53" s="69"/>
      <c r="E53" s="245"/>
      <c r="F53" s="69">
        <f t="shared" si="0"/>
        <v>0</v>
      </c>
      <c r="G53" s="70"/>
      <c r="H53" s="71"/>
      <c r="I53" s="78">
        <f t="shared" si="4"/>
        <v>0</v>
      </c>
      <c r="L53" s="182">
        <f t="shared" si="3"/>
        <v>0</v>
      </c>
      <c r="M53" s="15"/>
      <c r="N53" s="69"/>
      <c r="O53" s="245"/>
      <c r="P53" s="69">
        <f t="shared" si="1"/>
        <v>0</v>
      </c>
      <c r="Q53" s="70"/>
      <c r="R53" s="71"/>
      <c r="S53" s="78">
        <f t="shared" si="5"/>
        <v>0</v>
      </c>
    </row>
    <row r="54" spans="2:19" x14ac:dyDescent="0.25">
      <c r="B54" s="182">
        <f t="shared" si="2"/>
        <v>0</v>
      </c>
      <c r="C54" s="15"/>
      <c r="D54" s="69"/>
      <c r="E54" s="245"/>
      <c r="F54" s="69">
        <f t="shared" si="0"/>
        <v>0</v>
      </c>
      <c r="G54" s="70"/>
      <c r="H54" s="71"/>
      <c r="I54" s="78">
        <f t="shared" si="4"/>
        <v>0</v>
      </c>
      <c r="L54" s="182">
        <f t="shared" si="3"/>
        <v>0</v>
      </c>
      <c r="M54" s="15"/>
      <c r="N54" s="69"/>
      <c r="O54" s="245"/>
      <c r="P54" s="69">
        <f t="shared" si="1"/>
        <v>0</v>
      </c>
      <c r="Q54" s="70"/>
      <c r="R54" s="71"/>
      <c r="S54" s="78">
        <f t="shared" si="5"/>
        <v>0</v>
      </c>
    </row>
    <row r="55" spans="2:19" ht="15.75" thickBot="1" x14ac:dyDescent="0.3">
      <c r="B55" s="3"/>
      <c r="C55" s="36"/>
      <c r="D55" s="150"/>
      <c r="E55" s="251"/>
      <c r="F55" s="150">
        <f t="shared" si="0"/>
        <v>0</v>
      </c>
      <c r="G55" s="206"/>
      <c r="H55" s="75"/>
      <c r="I55" s="78">
        <f t="shared" si="4"/>
        <v>0</v>
      </c>
      <c r="L55" s="3"/>
      <c r="M55" s="36"/>
      <c r="N55" s="150"/>
      <c r="O55" s="251"/>
      <c r="P55" s="150">
        <f t="shared" si="1"/>
        <v>0</v>
      </c>
      <c r="Q55" s="206"/>
      <c r="R55" s="75"/>
      <c r="S55" s="78">
        <f t="shared" si="5"/>
        <v>0</v>
      </c>
    </row>
    <row r="56" spans="2:19" x14ac:dyDescent="0.25">
      <c r="C56" s="53">
        <f>SUM(C10:C55)</f>
        <v>113</v>
      </c>
      <c r="D56" s="124">
        <f>SUM(D10:D55)</f>
        <v>2997.33</v>
      </c>
      <c r="E56" s="165"/>
      <c r="F56" s="124">
        <f>SUM(F10:F55)</f>
        <v>2997.33</v>
      </c>
      <c r="G56" s="159"/>
      <c r="H56" s="159"/>
      <c r="M56" s="53">
        <f>SUM(M10:M55)</f>
        <v>115</v>
      </c>
      <c r="N56" s="124">
        <f>SUM(N10:N55)</f>
        <v>3050.42</v>
      </c>
      <c r="O56" s="165"/>
      <c r="P56" s="124">
        <f>SUM(P10:P55)</f>
        <v>3050.42</v>
      </c>
      <c r="Q56" s="159"/>
      <c r="R56" s="159"/>
    </row>
    <row r="57" spans="2:19" x14ac:dyDescent="0.25">
      <c r="C57" s="110"/>
      <c r="M57" s="110"/>
    </row>
    <row r="58" spans="2:19" ht="15.75" thickBot="1" x14ac:dyDescent="0.3">
      <c r="B58" s="47"/>
      <c r="L58" s="47"/>
    </row>
    <row r="59" spans="2:19" ht="15.75" thickBot="1" x14ac:dyDescent="0.3">
      <c r="B59" s="91"/>
      <c r="D59" s="45" t="s">
        <v>4</v>
      </c>
      <c r="E59" s="56">
        <f>F5+F6+F7+F8-C56</f>
        <v>0</v>
      </c>
      <c r="L59" s="91"/>
      <c r="N59" s="45" t="s">
        <v>4</v>
      </c>
      <c r="O59" s="56">
        <f>P5+P6+P7+P8-M56</f>
        <v>0</v>
      </c>
    </row>
    <row r="60" spans="2:19" ht="15.75" thickBot="1" x14ac:dyDescent="0.3">
      <c r="B60" s="125"/>
      <c r="L60" s="125"/>
    </row>
    <row r="61" spans="2:19" ht="15.75" thickBot="1" x14ac:dyDescent="0.3">
      <c r="B61" s="91"/>
      <c r="C61" s="1388" t="s">
        <v>11</v>
      </c>
      <c r="D61" s="1389"/>
      <c r="E61" s="57">
        <f>E5+E6+E7+E8-F56</f>
        <v>0</v>
      </c>
      <c r="L61" s="91"/>
      <c r="M61" s="1388" t="s">
        <v>11</v>
      </c>
      <c r="N61" s="1389"/>
      <c r="O61" s="57">
        <f>O5+O6+O7+O8-P56</f>
        <v>0</v>
      </c>
    </row>
  </sheetData>
  <mergeCells count="8">
    <mergeCell ref="A1:G1"/>
    <mergeCell ref="A4:A5"/>
    <mergeCell ref="B4:B6"/>
    <mergeCell ref="C61:D61"/>
    <mergeCell ref="K1:Q1"/>
    <mergeCell ref="K4:K5"/>
    <mergeCell ref="L4:L6"/>
    <mergeCell ref="M61:N61"/>
  </mergeCell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56"/>
  <sheetViews>
    <sheetView topLeftCell="B1" workbookViewId="0">
      <selection activeCell="F17" sqref="F16:F1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1" ht="45.75" customHeight="1" x14ac:dyDescent="0.65">
      <c r="A1" s="1390"/>
      <c r="B1" s="1390"/>
      <c r="C1" s="1390"/>
      <c r="D1" s="1390"/>
      <c r="E1" s="1390"/>
      <c r="F1" s="1390"/>
      <c r="G1" s="1390"/>
      <c r="H1" s="99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1" ht="17.25" thickTop="1" thickBot="1" x14ac:dyDescent="0.3">
      <c r="A4" s="75"/>
      <c r="B4" s="144"/>
      <c r="C4" s="17"/>
      <c r="E4" s="253"/>
      <c r="F4" s="239"/>
    </row>
    <row r="5" spans="1:11" ht="15" customHeight="1" x14ac:dyDescent="0.25">
      <c r="A5" s="1420"/>
      <c r="B5" s="1422" t="s">
        <v>76</v>
      </c>
      <c r="C5" s="340"/>
      <c r="D5" s="118"/>
      <c r="E5" s="238"/>
      <c r="F5" s="239"/>
      <c r="G5" s="147">
        <f>F53</f>
        <v>0</v>
      </c>
      <c r="H5" s="58">
        <f>E4+E5+E6-G5</f>
        <v>0</v>
      </c>
    </row>
    <row r="6" spans="1:11" ht="16.5" thickBot="1" x14ac:dyDescent="0.3">
      <c r="A6" s="1421"/>
      <c r="B6" s="1423"/>
      <c r="C6" s="342"/>
      <c r="D6" s="341"/>
      <c r="E6" s="254"/>
      <c r="F6" s="240"/>
    </row>
    <row r="7" spans="1:11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17" t="s">
        <v>3</v>
      </c>
      <c r="J7" s="218" t="s">
        <v>4</v>
      </c>
    </row>
    <row r="8" spans="1:11" ht="15.75" thickTop="1" x14ac:dyDescent="0.25">
      <c r="A8" s="80" t="s">
        <v>32</v>
      </c>
      <c r="B8" s="83"/>
      <c r="C8" s="15"/>
      <c r="D8" s="174">
        <v>0</v>
      </c>
      <c r="E8" s="93"/>
      <c r="F8" s="69">
        <f t="shared" ref="F8:F51" si="0">D8</f>
        <v>0</v>
      </c>
      <c r="G8" s="70"/>
      <c r="H8" s="71"/>
      <c r="I8" s="219">
        <f>E5+E4-F8+E6</f>
        <v>0</v>
      </c>
      <c r="J8" s="220">
        <f>F4+F5+F6-C8</f>
        <v>0</v>
      </c>
      <c r="K8" s="60">
        <f>H8*F8</f>
        <v>0</v>
      </c>
    </row>
    <row r="9" spans="1:11" x14ac:dyDescent="0.25">
      <c r="A9" s="194"/>
      <c r="B9" s="83"/>
      <c r="C9" s="15"/>
      <c r="D9" s="174">
        <v>0</v>
      </c>
      <c r="E9" s="93"/>
      <c r="F9" s="69">
        <f t="shared" si="0"/>
        <v>0</v>
      </c>
      <c r="G9" s="70"/>
      <c r="H9" s="71"/>
      <c r="I9" s="219">
        <f>I8-F9</f>
        <v>0</v>
      </c>
      <c r="J9" s="220">
        <f>J8-C9</f>
        <v>0</v>
      </c>
      <c r="K9" s="60">
        <f t="shared" ref="K9:K54" si="1">H9*F9</f>
        <v>0</v>
      </c>
    </row>
    <row r="10" spans="1:11" x14ac:dyDescent="0.25">
      <c r="A10" s="182"/>
      <c r="B10" s="83"/>
      <c r="C10" s="15"/>
      <c r="D10" s="174">
        <v>0</v>
      </c>
      <c r="E10" s="79"/>
      <c r="F10" s="69">
        <f t="shared" si="0"/>
        <v>0</v>
      </c>
      <c r="G10" s="70"/>
      <c r="H10" s="71"/>
      <c r="I10" s="219">
        <f t="shared" ref="I10:I19" si="2">I9-F10</f>
        <v>0</v>
      </c>
      <c r="J10" s="220">
        <f t="shared" ref="J10:J51" si="3">J9-C10</f>
        <v>0</v>
      </c>
      <c r="K10" s="60">
        <f t="shared" si="1"/>
        <v>0</v>
      </c>
    </row>
    <row r="11" spans="1:11" x14ac:dyDescent="0.25">
      <c r="A11" s="82" t="s">
        <v>33</v>
      </c>
      <c r="B11" s="83"/>
      <c r="C11" s="15"/>
      <c r="D11" s="174">
        <f t="shared" ref="D11:D13" si="4">C11*B11</f>
        <v>0</v>
      </c>
      <c r="E11" s="79"/>
      <c r="F11" s="69">
        <f t="shared" si="0"/>
        <v>0</v>
      </c>
      <c r="G11" s="70"/>
      <c r="H11" s="71"/>
      <c r="I11" s="219">
        <f t="shared" si="2"/>
        <v>0</v>
      </c>
      <c r="J11" s="220">
        <f t="shared" si="3"/>
        <v>0</v>
      </c>
      <c r="K11" s="60">
        <f t="shared" si="1"/>
        <v>0</v>
      </c>
    </row>
    <row r="12" spans="1:11" x14ac:dyDescent="0.25">
      <c r="A12" s="73"/>
      <c r="B12" s="83"/>
      <c r="C12" s="15"/>
      <c r="D12" s="174">
        <f t="shared" si="4"/>
        <v>0</v>
      </c>
      <c r="E12" s="79"/>
      <c r="F12" s="69">
        <f t="shared" si="0"/>
        <v>0</v>
      </c>
      <c r="G12" s="70"/>
      <c r="H12" s="71"/>
      <c r="I12" s="219">
        <f t="shared" si="2"/>
        <v>0</v>
      </c>
      <c r="J12" s="220">
        <f t="shared" si="3"/>
        <v>0</v>
      </c>
      <c r="K12" s="60">
        <f t="shared" si="1"/>
        <v>0</v>
      </c>
    </row>
    <row r="13" spans="1:11" x14ac:dyDescent="0.25">
      <c r="A13" s="73"/>
      <c r="B13" s="83"/>
      <c r="C13" s="15"/>
      <c r="D13" s="174">
        <f t="shared" si="4"/>
        <v>0</v>
      </c>
      <c r="E13" s="79"/>
      <c r="F13" s="69">
        <f t="shared" si="0"/>
        <v>0</v>
      </c>
      <c r="G13" s="70"/>
      <c r="H13" s="71"/>
      <c r="I13" s="219">
        <f t="shared" si="2"/>
        <v>0</v>
      </c>
      <c r="J13" s="220">
        <f t="shared" si="3"/>
        <v>0</v>
      </c>
      <c r="K13" s="60">
        <f t="shared" si="1"/>
        <v>0</v>
      </c>
    </row>
    <row r="14" spans="1:11" x14ac:dyDescent="0.25">
      <c r="B14" s="83"/>
      <c r="C14" s="15"/>
      <c r="D14" s="174">
        <f>C14*B14</f>
        <v>0</v>
      </c>
      <c r="E14" s="79"/>
      <c r="F14" s="69">
        <f t="shared" si="0"/>
        <v>0</v>
      </c>
      <c r="G14" s="70"/>
      <c r="H14" s="71"/>
      <c r="I14" s="219">
        <f t="shared" si="2"/>
        <v>0</v>
      </c>
      <c r="J14" s="220">
        <f t="shared" si="3"/>
        <v>0</v>
      </c>
      <c r="K14" s="60">
        <f t="shared" si="1"/>
        <v>0</v>
      </c>
    </row>
    <row r="15" spans="1:11" x14ac:dyDescent="0.25">
      <c r="B15" s="83"/>
      <c r="C15" s="15"/>
      <c r="D15" s="174">
        <f t="shared" ref="D15:D51" si="5">C15*B15</f>
        <v>0</v>
      </c>
      <c r="E15" s="84"/>
      <c r="F15" s="69">
        <f t="shared" si="0"/>
        <v>0</v>
      </c>
      <c r="G15" s="70"/>
      <c r="H15" s="71"/>
      <c r="I15" s="219">
        <f t="shared" si="2"/>
        <v>0</v>
      </c>
      <c r="J15" s="220">
        <f t="shared" si="3"/>
        <v>0</v>
      </c>
      <c r="K15" s="60">
        <f t="shared" si="1"/>
        <v>0</v>
      </c>
    </row>
    <row r="16" spans="1:11" x14ac:dyDescent="0.25">
      <c r="A16" s="81"/>
      <c r="B16" s="83"/>
      <c r="C16" s="15"/>
      <c r="D16" s="174">
        <f t="shared" si="5"/>
        <v>0</v>
      </c>
      <c r="E16" s="84"/>
      <c r="F16" s="69">
        <f t="shared" si="0"/>
        <v>0</v>
      </c>
      <c r="G16" s="70"/>
      <c r="H16" s="71"/>
      <c r="I16" s="219">
        <f t="shared" si="2"/>
        <v>0</v>
      </c>
      <c r="J16" s="220">
        <f t="shared" si="3"/>
        <v>0</v>
      </c>
      <c r="K16" s="60">
        <f t="shared" si="1"/>
        <v>0</v>
      </c>
    </row>
    <row r="17" spans="1:11" x14ac:dyDescent="0.25">
      <c r="A17" s="83"/>
      <c r="B17" s="83"/>
      <c r="C17" s="15"/>
      <c r="D17" s="174">
        <f t="shared" si="5"/>
        <v>0</v>
      </c>
      <c r="E17" s="84"/>
      <c r="F17" s="69">
        <f t="shared" si="0"/>
        <v>0</v>
      </c>
      <c r="G17" s="70"/>
      <c r="H17" s="71"/>
      <c r="I17" s="219">
        <f t="shared" si="2"/>
        <v>0</v>
      </c>
      <c r="J17" s="220">
        <f t="shared" si="3"/>
        <v>0</v>
      </c>
      <c r="K17" s="60">
        <f t="shared" si="1"/>
        <v>0</v>
      </c>
    </row>
    <row r="18" spans="1:11" x14ac:dyDescent="0.25">
      <c r="A18" s="2"/>
      <c r="B18" s="83"/>
      <c r="C18" s="15"/>
      <c r="D18" s="174">
        <f t="shared" si="5"/>
        <v>0</v>
      </c>
      <c r="E18" s="84"/>
      <c r="F18" s="69">
        <f t="shared" si="0"/>
        <v>0</v>
      </c>
      <c r="G18" s="70"/>
      <c r="H18" s="71"/>
      <c r="I18" s="219">
        <f t="shared" si="2"/>
        <v>0</v>
      </c>
      <c r="J18" s="220">
        <f t="shared" si="3"/>
        <v>0</v>
      </c>
      <c r="K18" s="60">
        <f t="shared" si="1"/>
        <v>0</v>
      </c>
    </row>
    <row r="19" spans="1:11" x14ac:dyDescent="0.25">
      <c r="A19" s="2"/>
      <c r="B19" s="83"/>
      <c r="C19" s="15"/>
      <c r="D19" s="174">
        <f t="shared" si="5"/>
        <v>0</v>
      </c>
      <c r="E19" s="84"/>
      <c r="F19" s="69">
        <f t="shared" si="0"/>
        <v>0</v>
      </c>
      <c r="G19" s="70"/>
      <c r="H19" s="71"/>
      <c r="I19" s="219">
        <f t="shared" si="2"/>
        <v>0</v>
      </c>
      <c r="J19" s="220">
        <f t="shared" si="3"/>
        <v>0</v>
      </c>
      <c r="K19" s="60">
        <f t="shared" si="1"/>
        <v>0</v>
      </c>
    </row>
    <row r="20" spans="1:11" x14ac:dyDescent="0.25">
      <c r="A20" s="2"/>
      <c r="B20" s="83"/>
      <c r="C20" s="15"/>
      <c r="D20" s="174">
        <f t="shared" si="5"/>
        <v>0</v>
      </c>
      <c r="E20" s="79"/>
      <c r="F20" s="69">
        <f t="shared" si="0"/>
        <v>0</v>
      </c>
      <c r="G20" s="70"/>
      <c r="H20" s="71"/>
      <c r="I20" s="219">
        <f>I19-F20</f>
        <v>0</v>
      </c>
      <c r="J20" s="220">
        <f t="shared" si="3"/>
        <v>0</v>
      </c>
      <c r="K20" s="60">
        <f t="shared" si="1"/>
        <v>0</v>
      </c>
    </row>
    <row r="21" spans="1:11" x14ac:dyDescent="0.25">
      <c r="A21" s="2"/>
      <c r="B21" s="83"/>
      <c r="C21" s="15"/>
      <c r="D21" s="174">
        <f t="shared" si="5"/>
        <v>0</v>
      </c>
      <c r="E21" s="79"/>
      <c r="F21" s="69">
        <f t="shared" si="0"/>
        <v>0</v>
      </c>
      <c r="G21" s="70"/>
      <c r="H21" s="71"/>
      <c r="I21" s="219">
        <f t="shared" ref="I21:I51" si="6">I20-F21</f>
        <v>0</v>
      </c>
      <c r="J21" s="220">
        <f t="shared" si="3"/>
        <v>0</v>
      </c>
      <c r="K21" s="60">
        <f t="shared" si="1"/>
        <v>0</v>
      </c>
    </row>
    <row r="22" spans="1:11" x14ac:dyDescent="0.25">
      <c r="A22" s="2"/>
      <c r="B22" s="83"/>
      <c r="C22" s="15"/>
      <c r="D22" s="174">
        <f t="shared" si="5"/>
        <v>0</v>
      </c>
      <c r="E22" s="79"/>
      <c r="F22" s="69">
        <f t="shared" si="0"/>
        <v>0</v>
      </c>
      <c r="G22" s="70"/>
      <c r="H22" s="71"/>
      <c r="I22" s="219">
        <f t="shared" si="6"/>
        <v>0</v>
      </c>
      <c r="J22" s="220">
        <f t="shared" si="3"/>
        <v>0</v>
      </c>
      <c r="K22" s="60">
        <f t="shared" si="1"/>
        <v>0</v>
      </c>
    </row>
    <row r="23" spans="1:11" x14ac:dyDescent="0.25">
      <c r="A23" s="2"/>
      <c r="B23" s="83"/>
      <c r="C23" s="15"/>
      <c r="D23" s="174">
        <f t="shared" si="5"/>
        <v>0</v>
      </c>
      <c r="E23" s="79"/>
      <c r="F23" s="69">
        <f t="shared" si="0"/>
        <v>0</v>
      </c>
      <c r="G23" s="70"/>
      <c r="H23" s="71"/>
      <c r="I23" s="219">
        <f t="shared" si="6"/>
        <v>0</v>
      </c>
      <c r="J23" s="220">
        <f t="shared" si="3"/>
        <v>0</v>
      </c>
      <c r="K23" s="60">
        <f t="shared" si="1"/>
        <v>0</v>
      </c>
    </row>
    <row r="24" spans="1:11" x14ac:dyDescent="0.25">
      <c r="A24" s="2"/>
      <c r="B24" s="83"/>
      <c r="C24" s="15"/>
      <c r="D24" s="174">
        <f t="shared" si="5"/>
        <v>0</v>
      </c>
      <c r="E24" s="93"/>
      <c r="F24" s="69">
        <f t="shared" si="0"/>
        <v>0</v>
      </c>
      <c r="G24" s="70"/>
      <c r="H24" s="71"/>
      <c r="I24" s="219">
        <f t="shared" si="6"/>
        <v>0</v>
      </c>
      <c r="J24" s="220">
        <f t="shared" si="3"/>
        <v>0</v>
      </c>
      <c r="K24" s="60">
        <f t="shared" si="1"/>
        <v>0</v>
      </c>
    </row>
    <row r="25" spans="1:11" x14ac:dyDescent="0.25">
      <c r="A25" s="2"/>
      <c r="B25" s="83"/>
      <c r="C25" s="15"/>
      <c r="D25" s="174">
        <f t="shared" si="5"/>
        <v>0</v>
      </c>
      <c r="E25" s="252"/>
      <c r="F25" s="69">
        <f t="shared" si="0"/>
        <v>0</v>
      </c>
      <c r="G25" s="70"/>
      <c r="H25" s="71"/>
      <c r="I25" s="219">
        <f t="shared" si="6"/>
        <v>0</v>
      </c>
      <c r="J25" s="220">
        <f t="shared" si="3"/>
        <v>0</v>
      </c>
      <c r="K25" s="60">
        <f t="shared" si="1"/>
        <v>0</v>
      </c>
    </row>
    <row r="26" spans="1:11" x14ac:dyDescent="0.25">
      <c r="A26" s="2"/>
      <c r="B26" s="83"/>
      <c r="C26" s="15"/>
      <c r="D26" s="174">
        <f t="shared" si="5"/>
        <v>0</v>
      </c>
      <c r="E26" s="252"/>
      <c r="F26" s="69">
        <f t="shared" si="0"/>
        <v>0</v>
      </c>
      <c r="G26" s="70"/>
      <c r="H26" s="71"/>
      <c r="I26" s="219">
        <f t="shared" si="6"/>
        <v>0</v>
      </c>
      <c r="J26" s="220">
        <f t="shared" si="3"/>
        <v>0</v>
      </c>
      <c r="K26" s="60">
        <f t="shared" si="1"/>
        <v>0</v>
      </c>
    </row>
    <row r="27" spans="1:11" x14ac:dyDescent="0.25">
      <c r="A27" s="175"/>
      <c r="B27" s="83"/>
      <c r="C27" s="15"/>
      <c r="D27" s="174">
        <f t="shared" si="5"/>
        <v>0</v>
      </c>
      <c r="E27" s="252"/>
      <c r="F27" s="69">
        <f t="shared" si="0"/>
        <v>0</v>
      </c>
      <c r="G27" s="70"/>
      <c r="H27" s="71"/>
      <c r="I27" s="219">
        <f t="shared" si="6"/>
        <v>0</v>
      </c>
      <c r="J27" s="220">
        <f t="shared" si="3"/>
        <v>0</v>
      </c>
      <c r="K27" s="60">
        <f t="shared" si="1"/>
        <v>0</v>
      </c>
    </row>
    <row r="28" spans="1:11" x14ac:dyDescent="0.25">
      <c r="A28" s="175"/>
      <c r="B28" s="83"/>
      <c r="C28" s="15"/>
      <c r="D28" s="174">
        <f t="shared" si="5"/>
        <v>0</v>
      </c>
      <c r="E28" s="244"/>
      <c r="F28" s="69">
        <f t="shared" si="0"/>
        <v>0</v>
      </c>
      <c r="G28" s="70"/>
      <c r="H28" s="71"/>
      <c r="I28" s="219">
        <f t="shared" si="6"/>
        <v>0</v>
      </c>
      <c r="J28" s="220">
        <f t="shared" si="3"/>
        <v>0</v>
      </c>
      <c r="K28" s="60">
        <f t="shared" si="1"/>
        <v>0</v>
      </c>
    </row>
    <row r="29" spans="1:11" x14ac:dyDescent="0.25">
      <c r="A29" s="175"/>
      <c r="B29" s="83"/>
      <c r="C29" s="15"/>
      <c r="D29" s="174">
        <f t="shared" si="5"/>
        <v>0</v>
      </c>
      <c r="E29" s="244"/>
      <c r="F29" s="69">
        <f t="shared" si="0"/>
        <v>0</v>
      </c>
      <c r="G29" s="70"/>
      <c r="H29" s="71"/>
      <c r="I29" s="219">
        <f t="shared" si="6"/>
        <v>0</v>
      </c>
      <c r="J29" s="220">
        <f t="shared" si="3"/>
        <v>0</v>
      </c>
      <c r="K29" s="60">
        <f t="shared" si="1"/>
        <v>0</v>
      </c>
    </row>
    <row r="30" spans="1:11" x14ac:dyDescent="0.25">
      <c r="A30" s="175"/>
      <c r="B30" s="83"/>
      <c r="C30" s="15"/>
      <c r="D30" s="174">
        <f t="shared" si="5"/>
        <v>0</v>
      </c>
      <c r="E30" s="244"/>
      <c r="F30" s="69">
        <f t="shared" si="0"/>
        <v>0</v>
      </c>
      <c r="G30" s="70"/>
      <c r="H30" s="71"/>
      <c r="I30" s="219">
        <f t="shared" si="6"/>
        <v>0</v>
      </c>
      <c r="J30" s="220">
        <f t="shared" si="3"/>
        <v>0</v>
      </c>
      <c r="K30" s="60">
        <f t="shared" si="1"/>
        <v>0</v>
      </c>
    </row>
    <row r="31" spans="1:11" x14ac:dyDescent="0.25">
      <c r="A31" s="175"/>
      <c r="B31" s="83"/>
      <c r="C31" s="15"/>
      <c r="D31" s="174">
        <f t="shared" si="5"/>
        <v>0</v>
      </c>
      <c r="E31" s="244"/>
      <c r="F31" s="69">
        <f t="shared" si="0"/>
        <v>0</v>
      </c>
      <c r="G31" s="70"/>
      <c r="H31" s="71"/>
      <c r="I31" s="219">
        <f t="shared" si="6"/>
        <v>0</v>
      </c>
      <c r="J31" s="220">
        <f t="shared" si="3"/>
        <v>0</v>
      </c>
      <c r="K31" s="60">
        <f t="shared" si="1"/>
        <v>0</v>
      </c>
    </row>
    <row r="32" spans="1:11" x14ac:dyDescent="0.25">
      <c r="A32" s="2"/>
      <c r="B32" s="83"/>
      <c r="C32" s="15"/>
      <c r="D32" s="174">
        <f t="shared" si="5"/>
        <v>0</v>
      </c>
      <c r="E32" s="244"/>
      <c r="F32" s="69">
        <f t="shared" si="0"/>
        <v>0</v>
      </c>
      <c r="G32" s="70"/>
      <c r="H32" s="71"/>
      <c r="I32" s="219">
        <f t="shared" si="6"/>
        <v>0</v>
      </c>
      <c r="J32" s="220">
        <f t="shared" si="3"/>
        <v>0</v>
      </c>
      <c r="K32" s="60">
        <f t="shared" si="1"/>
        <v>0</v>
      </c>
    </row>
    <row r="33" spans="1:11" x14ac:dyDescent="0.25">
      <c r="A33" s="2"/>
      <c r="B33" s="83"/>
      <c r="C33" s="15"/>
      <c r="D33" s="174">
        <f t="shared" si="5"/>
        <v>0</v>
      </c>
      <c r="E33" s="245"/>
      <c r="F33" s="69">
        <f t="shared" si="0"/>
        <v>0</v>
      </c>
      <c r="G33" s="70"/>
      <c r="H33" s="71"/>
      <c r="I33" s="219">
        <f t="shared" si="6"/>
        <v>0</v>
      </c>
      <c r="J33" s="220">
        <f t="shared" si="3"/>
        <v>0</v>
      </c>
      <c r="K33" s="60">
        <f t="shared" si="1"/>
        <v>0</v>
      </c>
    </row>
    <row r="34" spans="1:11" x14ac:dyDescent="0.25">
      <c r="A34" s="2"/>
      <c r="B34" s="83"/>
      <c r="C34" s="15"/>
      <c r="D34" s="174">
        <f t="shared" si="5"/>
        <v>0</v>
      </c>
      <c r="E34" s="245"/>
      <c r="F34" s="69">
        <f t="shared" si="0"/>
        <v>0</v>
      </c>
      <c r="G34" s="70"/>
      <c r="H34" s="71"/>
      <c r="I34" s="219">
        <f t="shared" si="6"/>
        <v>0</v>
      </c>
      <c r="J34" s="220">
        <f t="shared" si="3"/>
        <v>0</v>
      </c>
      <c r="K34" s="60">
        <f t="shared" si="1"/>
        <v>0</v>
      </c>
    </row>
    <row r="35" spans="1:11" x14ac:dyDescent="0.25">
      <c r="A35" s="2"/>
      <c r="B35" s="83"/>
      <c r="C35" s="15"/>
      <c r="D35" s="174">
        <f t="shared" si="5"/>
        <v>0</v>
      </c>
      <c r="E35" s="245"/>
      <c r="F35" s="69">
        <f t="shared" si="0"/>
        <v>0</v>
      </c>
      <c r="G35" s="70"/>
      <c r="H35" s="71"/>
      <c r="I35" s="219">
        <f t="shared" si="6"/>
        <v>0</v>
      </c>
      <c r="J35" s="220">
        <f t="shared" si="3"/>
        <v>0</v>
      </c>
      <c r="K35" s="60">
        <f t="shared" si="1"/>
        <v>0</v>
      </c>
    </row>
    <row r="36" spans="1:11" x14ac:dyDescent="0.25">
      <c r="A36" s="2"/>
      <c r="B36" s="83"/>
      <c r="C36" s="15"/>
      <c r="D36" s="174">
        <f t="shared" si="5"/>
        <v>0</v>
      </c>
      <c r="E36" s="245"/>
      <c r="F36" s="69">
        <f t="shared" si="0"/>
        <v>0</v>
      </c>
      <c r="G36" s="70"/>
      <c r="H36" s="71"/>
      <c r="I36" s="219">
        <f t="shared" si="6"/>
        <v>0</v>
      </c>
      <c r="J36" s="220">
        <f t="shared" si="3"/>
        <v>0</v>
      </c>
      <c r="K36" s="60">
        <f t="shared" si="1"/>
        <v>0</v>
      </c>
    </row>
    <row r="37" spans="1:11" x14ac:dyDescent="0.25">
      <c r="A37" s="2"/>
      <c r="B37" s="83"/>
      <c r="C37" s="15"/>
      <c r="D37" s="174">
        <f t="shared" si="5"/>
        <v>0</v>
      </c>
      <c r="E37" s="245"/>
      <c r="F37" s="69">
        <f t="shared" si="0"/>
        <v>0</v>
      </c>
      <c r="G37" s="70"/>
      <c r="H37" s="71"/>
      <c r="I37" s="219">
        <f t="shared" si="6"/>
        <v>0</v>
      </c>
      <c r="J37" s="220">
        <f t="shared" si="3"/>
        <v>0</v>
      </c>
      <c r="K37" s="60">
        <f t="shared" si="1"/>
        <v>0</v>
      </c>
    </row>
    <row r="38" spans="1:11" x14ac:dyDescent="0.25">
      <c r="A38" s="2"/>
      <c r="B38" s="83"/>
      <c r="C38" s="15"/>
      <c r="D38" s="174">
        <f t="shared" si="5"/>
        <v>0</v>
      </c>
      <c r="E38" s="244"/>
      <c r="F38" s="69">
        <f t="shared" si="0"/>
        <v>0</v>
      </c>
      <c r="G38" s="70"/>
      <c r="H38" s="71"/>
      <c r="I38" s="219">
        <f t="shared" si="6"/>
        <v>0</v>
      </c>
      <c r="J38" s="220">
        <f t="shared" si="3"/>
        <v>0</v>
      </c>
      <c r="K38" s="60">
        <f t="shared" si="1"/>
        <v>0</v>
      </c>
    </row>
    <row r="39" spans="1:11" x14ac:dyDescent="0.25">
      <c r="A39" s="2"/>
      <c r="B39" s="83"/>
      <c r="C39" s="15"/>
      <c r="D39" s="174">
        <f t="shared" si="5"/>
        <v>0</v>
      </c>
      <c r="E39" s="245"/>
      <c r="F39" s="69">
        <f t="shared" si="0"/>
        <v>0</v>
      </c>
      <c r="G39" s="70"/>
      <c r="H39" s="71"/>
      <c r="I39" s="219">
        <f t="shared" si="6"/>
        <v>0</v>
      </c>
      <c r="J39" s="220">
        <f t="shared" si="3"/>
        <v>0</v>
      </c>
      <c r="K39" s="60">
        <f t="shared" si="1"/>
        <v>0</v>
      </c>
    </row>
    <row r="40" spans="1:11" x14ac:dyDescent="0.25">
      <c r="A40" s="2"/>
      <c r="B40" s="83"/>
      <c r="C40" s="15"/>
      <c r="D40" s="174">
        <f t="shared" si="5"/>
        <v>0</v>
      </c>
      <c r="E40" s="245"/>
      <c r="F40" s="69">
        <f t="shared" si="0"/>
        <v>0</v>
      </c>
      <c r="G40" s="70"/>
      <c r="H40" s="71"/>
      <c r="I40" s="219">
        <f t="shared" si="6"/>
        <v>0</v>
      </c>
      <c r="J40" s="220">
        <f t="shared" si="3"/>
        <v>0</v>
      </c>
      <c r="K40" s="60">
        <f t="shared" si="1"/>
        <v>0</v>
      </c>
    </row>
    <row r="41" spans="1:11" x14ac:dyDescent="0.25">
      <c r="A41" s="2"/>
      <c r="B41" s="83"/>
      <c r="C41" s="15"/>
      <c r="D41" s="174">
        <f t="shared" si="5"/>
        <v>0</v>
      </c>
      <c r="E41" s="245"/>
      <c r="F41" s="69">
        <f t="shared" si="0"/>
        <v>0</v>
      </c>
      <c r="G41" s="70"/>
      <c r="H41" s="71"/>
      <c r="I41" s="219">
        <f t="shared" si="6"/>
        <v>0</v>
      </c>
      <c r="J41" s="220">
        <f t="shared" si="3"/>
        <v>0</v>
      </c>
      <c r="K41" s="60">
        <f t="shared" si="1"/>
        <v>0</v>
      </c>
    </row>
    <row r="42" spans="1:11" x14ac:dyDescent="0.25">
      <c r="A42" s="2"/>
      <c r="B42" s="83"/>
      <c r="C42" s="15"/>
      <c r="D42" s="174">
        <f t="shared" si="5"/>
        <v>0</v>
      </c>
      <c r="E42" s="245"/>
      <c r="F42" s="69">
        <f t="shared" si="0"/>
        <v>0</v>
      </c>
      <c r="G42" s="70"/>
      <c r="H42" s="71"/>
      <c r="I42" s="219">
        <f t="shared" si="6"/>
        <v>0</v>
      </c>
      <c r="J42" s="220">
        <f t="shared" si="3"/>
        <v>0</v>
      </c>
      <c r="K42" s="60">
        <f t="shared" si="1"/>
        <v>0</v>
      </c>
    </row>
    <row r="43" spans="1:11" x14ac:dyDescent="0.25">
      <c r="A43" s="2"/>
      <c r="B43" s="83"/>
      <c r="C43" s="15"/>
      <c r="D43" s="174">
        <f t="shared" si="5"/>
        <v>0</v>
      </c>
      <c r="E43" s="245"/>
      <c r="F43" s="69">
        <f t="shared" si="0"/>
        <v>0</v>
      </c>
      <c r="G43" s="70"/>
      <c r="H43" s="71"/>
      <c r="I43" s="219">
        <f t="shared" si="6"/>
        <v>0</v>
      </c>
      <c r="J43" s="220">
        <f t="shared" si="3"/>
        <v>0</v>
      </c>
      <c r="K43" s="60">
        <f t="shared" si="1"/>
        <v>0</v>
      </c>
    </row>
    <row r="44" spans="1:11" x14ac:dyDescent="0.25">
      <c r="A44" s="2"/>
      <c r="B44" s="83"/>
      <c r="C44" s="15"/>
      <c r="D44" s="174">
        <f t="shared" si="5"/>
        <v>0</v>
      </c>
      <c r="E44" s="245"/>
      <c r="F44" s="69">
        <f t="shared" si="0"/>
        <v>0</v>
      </c>
      <c r="G44" s="70"/>
      <c r="H44" s="71"/>
      <c r="I44" s="219">
        <f t="shared" si="6"/>
        <v>0</v>
      </c>
      <c r="J44" s="220">
        <f t="shared" si="3"/>
        <v>0</v>
      </c>
      <c r="K44" s="60">
        <f t="shared" si="1"/>
        <v>0</v>
      </c>
    </row>
    <row r="45" spans="1:11" x14ac:dyDescent="0.25">
      <c r="A45" s="2"/>
      <c r="B45" s="83"/>
      <c r="C45" s="15"/>
      <c r="D45" s="174">
        <f t="shared" si="5"/>
        <v>0</v>
      </c>
      <c r="E45" s="245"/>
      <c r="F45" s="69">
        <f t="shared" si="0"/>
        <v>0</v>
      </c>
      <c r="G45" s="70"/>
      <c r="H45" s="71"/>
      <c r="I45" s="219">
        <f t="shared" si="6"/>
        <v>0</v>
      </c>
      <c r="J45" s="220">
        <f t="shared" si="3"/>
        <v>0</v>
      </c>
      <c r="K45" s="60">
        <f t="shared" si="1"/>
        <v>0</v>
      </c>
    </row>
    <row r="46" spans="1:11" x14ac:dyDescent="0.25">
      <c r="A46" s="2"/>
      <c r="B46" s="83"/>
      <c r="C46" s="15"/>
      <c r="D46" s="174">
        <f t="shared" si="5"/>
        <v>0</v>
      </c>
      <c r="E46" s="245"/>
      <c r="F46" s="69">
        <f t="shared" si="0"/>
        <v>0</v>
      </c>
      <c r="G46" s="70"/>
      <c r="H46" s="71"/>
      <c r="I46" s="219">
        <f t="shared" si="6"/>
        <v>0</v>
      </c>
      <c r="J46" s="220">
        <f t="shared" si="3"/>
        <v>0</v>
      </c>
      <c r="K46" s="60">
        <f t="shared" si="1"/>
        <v>0</v>
      </c>
    </row>
    <row r="47" spans="1:11" x14ac:dyDescent="0.25">
      <c r="A47" s="2"/>
      <c r="B47" s="83"/>
      <c r="C47" s="15"/>
      <c r="D47" s="174">
        <f t="shared" si="5"/>
        <v>0</v>
      </c>
      <c r="E47" s="245"/>
      <c r="F47" s="69">
        <f t="shared" si="0"/>
        <v>0</v>
      </c>
      <c r="G47" s="70"/>
      <c r="H47" s="71"/>
      <c r="I47" s="219">
        <f t="shared" si="6"/>
        <v>0</v>
      </c>
      <c r="J47" s="220">
        <f t="shared" si="3"/>
        <v>0</v>
      </c>
      <c r="K47" s="60">
        <f t="shared" si="1"/>
        <v>0</v>
      </c>
    </row>
    <row r="48" spans="1:11" x14ac:dyDescent="0.25">
      <c r="A48" s="2"/>
      <c r="B48" s="83"/>
      <c r="C48" s="15"/>
      <c r="D48" s="174">
        <f t="shared" si="5"/>
        <v>0</v>
      </c>
      <c r="E48" s="245"/>
      <c r="F48" s="69">
        <f t="shared" si="0"/>
        <v>0</v>
      </c>
      <c r="G48" s="70"/>
      <c r="H48" s="71"/>
      <c r="I48" s="219">
        <f t="shared" si="6"/>
        <v>0</v>
      </c>
      <c r="J48" s="220">
        <f t="shared" si="3"/>
        <v>0</v>
      </c>
      <c r="K48" s="60">
        <f t="shared" si="1"/>
        <v>0</v>
      </c>
    </row>
    <row r="49" spans="1:11" x14ac:dyDescent="0.25">
      <c r="A49" s="2"/>
      <c r="B49" s="83"/>
      <c r="C49" s="15"/>
      <c r="D49" s="174">
        <f t="shared" si="5"/>
        <v>0</v>
      </c>
      <c r="E49" s="245"/>
      <c r="F49" s="69">
        <f t="shared" si="0"/>
        <v>0</v>
      </c>
      <c r="G49" s="70"/>
      <c r="H49" s="71"/>
      <c r="I49" s="219">
        <f t="shared" si="6"/>
        <v>0</v>
      </c>
      <c r="J49" s="220">
        <f t="shared" si="3"/>
        <v>0</v>
      </c>
      <c r="K49" s="60">
        <f t="shared" si="1"/>
        <v>0</v>
      </c>
    </row>
    <row r="50" spans="1:11" x14ac:dyDescent="0.25">
      <c r="A50" s="2"/>
      <c r="B50" s="83"/>
      <c r="C50" s="15"/>
      <c r="D50" s="174">
        <f t="shared" si="5"/>
        <v>0</v>
      </c>
      <c r="E50" s="245"/>
      <c r="F50" s="69">
        <f t="shared" si="0"/>
        <v>0</v>
      </c>
      <c r="G50" s="70"/>
      <c r="H50" s="71"/>
      <c r="I50" s="219">
        <f t="shared" si="6"/>
        <v>0</v>
      </c>
      <c r="J50" s="220">
        <f t="shared" si="3"/>
        <v>0</v>
      </c>
      <c r="K50" s="60">
        <f t="shared" si="1"/>
        <v>0</v>
      </c>
    </row>
    <row r="51" spans="1:11" x14ac:dyDescent="0.25">
      <c r="A51" s="2"/>
      <c r="B51" s="83"/>
      <c r="C51" s="15"/>
      <c r="D51" s="174">
        <f t="shared" si="5"/>
        <v>0</v>
      </c>
      <c r="E51" s="245"/>
      <c r="F51" s="69">
        <f t="shared" si="0"/>
        <v>0</v>
      </c>
      <c r="G51" s="70"/>
      <c r="H51" s="71"/>
      <c r="I51" s="219">
        <f t="shared" si="6"/>
        <v>0</v>
      </c>
      <c r="J51" s="220">
        <f t="shared" si="3"/>
        <v>0</v>
      </c>
      <c r="K51" s="60">
        <f t="shared" si="1"/>
        <v>0</v>
      </c>
    </row>
    <row r="52" spans="1:11" ht="15.75" thickBot="1" x14ac:dyDescent="0.3">
      <c r="A52" s="4"/>
      <c r="B52" s="83">
        <v>15</v>
      </c>
      <c r="C52" s="37"/>
      <c r="D52" s="185">
        <f>C52*B33</f>
        <v>0</v>
      </c>
      <c r="E52" s="251"/>
      <c r="F52" s="150">
        <f t="shared" ref="F52" si="7">D52</f>
        <v>0</v>
      </c>
      <c r="G52" s="139"/>
      <c r="H52" s="71"/>
      <c r="K52" s="60">
        <f t="shared" si="1"/>
        <v>0</v>
      </c>
    </row>
    <row r="53" spans="1:11" ht="16.5" thickTop="1" thickBot="1" x14ac:dyDescent="0.3">
      <c r="C53" s="90">
        <f>SUM(C8:C52)</f>
        <v>0</v>
      </c>
      <c r="D53" s="48">
        <f>SUM(D10:D52)</f>
        <v>0</v>
      </c>
      <c r="E53" s="38"/>
      <c r="F53" s="5">
        <f>SUM(F8:F52)</f>
        <v>0</v>
      </c>
      <c r="K53" s="60">
        <f t="shared" si="1"/>
        <v>0</v>
      </c>
    </row>
    <row r="54" spans="1:11" ht="15.75" thickBot="1" x14ac:dyDescent="0.3">
      <c r="A54" s="51"/>
      <c r="D54" s="113" t="s">
        <v>4</v>
      </c>
      <c r="E54" s="68">
        <f>F4+F5+F6-+C53</f>
        <v>0</v>
      </c>
      <c r="K54" s="60">
        <f t="shared" si="1"/>
        <v>0</v>
      </c>
    </row>
    <row r="55" spans="1:11" ht="15.75" thickBot="1" x14ac:dyDescent="0.3">
      <c r="A55" s="119"/>
    </row>
    <row r="56" spans="1:11" ht="16.5" thickTop="1" thickBot="1" x14ac:dyDescent="0.3">
      <c r="A56" s="47"/>
      <c r="C56" s="1424" t="s">
        <v>11</v>
      </c>
      <c r="D56" s="1425"/>
      <c r="E56" s="145">
        <f>E5+E4+E6+-F53</f>
        <v>0</v>
      </c>
    </row>
  </sheetData>
  <mergeCells count="4">
    <mergeCell ref="A1:G1"/>
    <mergeCell ref="A5:A6"/>
    <mergeCell ref="B5:B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M83"/>
  <sheetViews>
    <sheetView workbookViewId="0">
      <selection activeCell="K14" sqref="K14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</cols>
  <sheetData>
    <row r="1" spans="1:13" ht="40.5" x14ac:dyDescent="0.55000000000000004">
      <c r="A1" s="1386" t="s">
        <v>107</v>
      </c>
      <c r="B1" s="1386"/>
      <c r="C1" s="1386"/>
      <c r="D1" s="1386"/>
      <c r="E1" s="1386"/>
      <c r="F1" s="1386"/>
      <c r="G1" s="1386"/>
      <c r="H1" s="11">
        <v>1</v>
      </c>
    </row>
    <row r="2" spans="1:13" ht="15.75" thickBot="1" x14ac:dyDescent="0.3">
      <c r="C2" s="12"/>
      <c r="D2" s="12"/>
      <c r="F2" s="12"/>
    </row>
    <row r="3" spans="1:1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3" ht="15.75" thickTop="1" x14ac:dyDescent="0.25">
      <c r="A4" s="12"/>
      <c r="B4" s="12"/>
      <c r="C4" s="391">
        <v>57</v>
      </c>
      <c r="D4" s="134">
        <v>44710</v>
      </c>
      <c r="E4" s="208">
        <v>1499.1</v>
      </c>
      <c r="F4" s="62">
        <v>2</v>
      </c>
      <c r="G4" s="155"/>
      <c r="H4" s="155"/>
    </row>
    <row r="5" spans="1:13" ht="15" customHeight="1" x14ac:dyDescent="0.25">
      <c r="A5" s="225" t="s">
        <v>92</v>
      </c>
      <c r="B5" s="1387" t="s">
        <v>94</v>
      </c>
      <c r="C5" s="391">
        <v>57</v>
      </c>
      <c r="D5" s="134">
        <v>44712</v>
      </c>
      <c r="E5" s="666">
        <v>2060</v>
      </c>
      <c r="F5" s="669">
        <v>2</v>
      </c>
      <c r="G5" s="670"/>
      <c r="H5" s="671"/>
      <c r="I5" s="672" t="s">
        <v>141</v>
      </c>
      <c r="J5" s="671"/>
      <c r="K5" s="671"/>
      <c r="L5" s="671"/>
      <c r="M5" s="671"/>
    </row>
    <row r="6" spans="1:13" x14ac:dyDescent="0.25">
      <c r="A6" s="404" t="s">
        <v>93</v>
      </c>
      <c r="B6" s="1387"/>
      <c r="C6" s="243">
        <v>57</v>
      </c>
      <c r="D6" s="134">
        <v>44714</v>
      </c>
      <c r="E6" s="78">
        <v>2060.5</v>
      </c>
      <c r="F6" s="62">
        <v>2</v>
      </c>
      <c r="G6" s="47">
        <f>F78</f>
        <v>5565.1</v>
      </c>
      <c r="H6" s="7">
        <f>E6-G6+E7+E5-G5</f>
        <v>560.89999999999964</v>
      </c>
    </row>
    <row r="7" spans="1:13" ht="15.75" thickBot="1" x14ac:dyDescent="0.3">
      <c r="B7" s="19"/>
      <c r="C7" s="401">
        <v>57</v>
      </c>
      <c r="D7" s="134">
        <v>44714</v>
      </c>
      <c r="E7" s="59">
        <v>2005.5</v>
      </c>
      <c r="F7" s="62">
        <v>2</v>
      </c>
    </row>
    <row r="8" spans="1:13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3" ht="15.75" thickTop="1" x14ac:dyDescent="0.25">
      <c r="A9" s="80" t="s">
        <v>32</v>
      </c>
      <c r="B9" s="83">
        <f>F6-C9+F5+F7+F4</f>
        <v>6</v>
      </c>
      <c r="C9" s="15">
        <v>2</v>
      </c>
      <c r="D9" s="69">
        <v>1499.1</v>
      </c>
      <c r="E9" s="202">
        <v>44711</v>
      </c>
      <c r="F9" s="69">
        <f t="shared" ref="F9:F10" si="0">D9</f>
        <v>1499.1</v>
      </c>
      <c r="G9" s="70" t="s">
        <v>103</v>
      </c>
      <c r="H9" s="71">
        <v>58</v>
      </c>
      <c r="I9" s="105">
        <f>E6-F9+E5+E7+E4</f>
        <v>6126</v>
      </c>
    </row>
    <row r="10" spans="1:13" x14ac:dyDescent="0.25">
      <c r="A10" s="194"/>
      <c r="B10" s="83">
        <f>B9-C10</f>
        <v>4</v>
      </c>
      <c r="C10" s="15">
        <v>2</v>
      </c>
      <c r="D10" s="69">
        <v>2005.5</v>
      </c>
      <c r="E10" s="202">
        <v>44715</v>
      </c>
      <c r="F10" s="69">
        <f t="shared" si="0"/>
        <v>2005.5</v>
      </c>
      <c r="G10" s="70" t="s">
        <v>104</v>
      </c>
      <c r="H10" s="71">
        <v>58</v>
      </c>
      <c r="I10" s="105">
        <f>I9-F10</f>
        <v>4120.5</v>
      </c>
    </row>
    <row r="11" spans="1:13" x14ac:dyDescent="0.25">
      <c r="A11" s="182"/>
      <c r="B11" s="83">
        <f t="shared" ref="B11:B54" si="1">B10-C11</f>
        <v>2</v>
      </c>
      <c r="C11" s="15">
        <v>2</v>
      </c>
      <c r="D11" s="69">
        <v>2060.5</v>
      </c>
      <c r="E11" s="202">
        <v>44715</v>
      </c>
      <c r="F11" s="69">
        <f>D11</f>
        <v>2060.5</v>
      </c>
      <c r="G11" s="70" t="s">
        <v>105</v>
      </c>
      <c r="H11" s="71">
        <v>58</v>
      </c>
      <c r="I11" s="105">
        <f t="shared" ref="I11:I74" si="2">I10-F11</f>
        <v>2060</v>
      </c>
    </row>
    <row r="12" spans="1:13" x14ac:dyDescent="0.25">
      <c r="A12" s="182"/>
      <c r="B12" s="83">
        <f t="shared" si="1"/>
        <v>2</v>
      </c>
      <c r="C12" s="15"/>
      <c r="D12" s="69"/>
      <c r="E12" s="202"/>
      <c r="F12" s="69">
        <f>D12</f>
        <v>0</v>
      </c>
      <c r="G12" s="70"/>
      <c r="H12" s="71"/>
      <c r="I12" s="105">
        <f t="shared" si="2"/>
        <v>2060</v>
      </c>
    </row>
    <row r="13" spans="1:13" x14ac:dyDescent="0.25">
      <c r="A13" s="82" t="s">
        <v>33</v>
      </c>
      <c r="B13" s="83">
        <f t="shared" si="1"/>
        <v>2</v>
      </c>
      <c r="C13" s="15"/>
      <c r="D13" s="619"/>
      <c r="E13" s="620"/>
      <c r="F13" s="619">
        <f t="shared" ref="F13:F73" si="3">D13</f>
        <v>0</v>
      </c>
      <c r="G13" s="621"/>
      <c r="H13" s="615"/>
      <c r="I13" s="138">
        <f t="shared" si="2"/>
        <v>2060</v>
      </c>
    </row>
    <row r="14" spans="1:13" x14ac:dyDescent="0.25">
      <c r="A14" s="73"/>
      <c r="B14" s="83">
        <f t="shared" si="1"/>
        <v>2</v>
      </c>
      <c r="C14" s="15"/>
      <c r="D14" s="619"/>
      <c r="E14" s="620"/>
      <c r="F14" s="619">
        <f t="shared" si="3"/>
        <v>0</v>
      </c>
      <c r="G14" s="621"/>
      <c r="H14" s="615"/>
      <c r="I14" s="138">
        <f t="shared" si="2"/>
        <v>2060</v>
      </c>
    </row>
    <row r="15" spans="1:13" x14ac:dyDescent="0.25">
      <c r="A15" s="73"/>
      <c r="B15" s="83">
        <f t="shared" si="1"/>
        <v>2</v>
      </c>
      <c r="C15" s="15"/>
      <c r="D15" s="619"/>
      <c r="E15" s="620"/>
      <c r="F15" s="619">
        <f t="shared" si="3"/>
        <v>0</v>
      </c>
      <c r="G15" s="621"/>
      <c r="H15" s="615"/>
      <c r="I15" s="138">
        <f t="shared" si="2"/>
        <v>2060</v>
      </c>
    </row>
    <row r="16" spans="1:13" x14ac:dyDescent="0.25">
      <c r="B16" s="83">
        <f t="shared" si="1"/>
        <v>2</v>
      </c>
      <c r="C16" s="15"/>
      <c r="D16" s="619"/>
      <c r="E16" s="620"/>
      <c r="F16" s="619">
        <f t="shared" si="3"/>
        <v>0</v>
      </c>
      <c r="G16" s="621"/>
      <c r="H16" s="615"/>
      <c r="I16" s="138">
        <f t="shared" si="2"/>
        <v>2060</v>
      </c>
    </row>
    <row r="17" spans="1:9" x14ac:dyDescent="0.25">
      <c r="B17" s="83">
        <f t="shared" si="1"/>
        <v>2</v>
      </c>
      <c r="C17" s="15"/>
      <c r="D17" s="619"/>
      <c r="E17" s="620"/>
      <c r="F17" s="619">
        <f t="shared" si="3"/>
        <v>0</v>
      </c>
      <c r="G17" s="621"/>
      <c r="H17" s="615"/>
      <c r="I17" s="138">
        <f t="shared" si="2"/>
        <v>2060</v>
      </c>
    </row>
    <row r="18" spans="1:9" x14ac:dyDescent="0.25">
      <c r="A18" s="122"/>
      <c r="B18" s="83">
        <f t="shared" si="1"/>
        <v>2</v>
      </c>
      <c r="C18" s="15"/>
      <c r="D18" s="69"/>
      <c r="E18" s="202"/>
      <c r="F18" s="69">
        <f t="shared" si="3"/>
        <v>0</v>
      </c>
      <c r="G18" s="70"/>
      <c r="H18" s="71"/>
      <c r="I18" s="105">
        <f t="shared" si="2"/>
        <v>2060</v>
      </c>
    </row>
    <row r="19" spans="1:9" x14ac:dyDescent="0.25">
      <c r="A19" s="122"/>
      <c r="B19" s="83">
        <f t="shared" si="1"/>
        <v>2</v>
      </c>
      <c r="C19" s="15"/>
      <c r="D19" s="69"/>
      <c r="E19" s="202"/>
      <c r="F19" s="69">
        <f t="shared" si="3"/>
        <v>0</v>
      </c>
      <c r="G19" s="70"/>
      <c r="H19" s="71"/>
      <c r="I19" s="105">
        <f t="shared" si="2"/>
        <v>2060</v>
      </c>
    </row>
    <row r="20" spans="1:9" x14ac:dyDescent="0.25">
      <c r="A20" s="122"/>
      <c r="B20" s="83">
        <f t="shared" si="1"/>
        <v>2</v>
      </c>
      <c r="C20" s="15"/>
      <c r="D20" s="69"/>
      <c r="E20" s="202"/>
      <c r="F20" s="69">
        <f t="shared" si="3"/>
        <v>0</v>
      </c>
      <c r="G20" s="70"/>
      <c r="H20" s="71"/>
      <c r="I20" s="105">
        <f t="shared" si="2"/>
        <v>2060</v>
      </c>
    </row>
    <row r="21" spans="1:9" x14ac:dyDescent="0.25">
      <c r="A21" s="122"/>
      <c r="B21" s="83">
        <f t="shared" si="1"/>
        <v>2</v>
      </c>
      <c r="C21" s="15"/>
      <c r="D21" s="69"/>
      <c r="E21" s="202"/>
      <c r="F21" s="69">
        <f t="shared" si="3"/>
        <v>0</v>
      </c>
      <c r="G21" s="70"/>
      <c r="H21" s="71"/>
      <c r="I21" s="105">
        <f t="shared" si="2"/>
        <v>2060</v>
      </c>
    </row>
    <row r="22" spans="1:9" x14ac:dyDescent="0.25">
      <c r="A22" s="122"/>
      <c r="B22" s="232">
        <f t="shared" si="1"/>
        <v>2</v>
      </c>
      <c r="C22" s="15"/>
      <c r="D22" s="69"/>
      <c r="E22" s="202"/>
      <c r="F22" s="69">
        <f t="shared" si="3"/>
        <v>0</v>
      </c>
      <c r="G22" s="70"/>
      <c r="H22" s="71"/>
      <c r="I22" s="105">
        <f t="shared" si="2"/>
        <v>2060</v>
      </c>
    </row>
    <row r="23" spans="1:9" x14ac:dyDescent="0.25">
      <c r="A23" s="123"/>
      <c r="B23" s="232">
        <f t="shared" si="1"/>
        <v>2</v>
      </c>
      <c r="C23" s="15"/>
      <c r="D23" s="69"/>
      <c r="E23" s="202"/>
      <c r="F23" s="69">
        <f t="shared" si="3"/>
        <v>0</v>
      </c>
      <c r="G23" s="70"/>
      <c r="H23" s="71"/>
      <c r="I23" s="105">
        <f t="shared" si="2"/>
        <v>2060</v>
      </c>
    </row>
    <row r="24" spans="1:9" x14ac:dyDescent="0.25">
      <c r="A24" s="122"/>
      <c r="B24" s="232">
        <f t="shared" si="1"/>
        <v>2</v>
      </c>
      <c r="C24" s="15"/>
      <c r="D24" s="69"/>
      <c r="E24" s="202"/>
      <c r="F24" s="69">
        <f t="shared" si="3"/>
        <v>0</v>
      </c>
      <c r="G24" s="70"/>
      <c r="H24" s="71"/>
      <c r="I24" s="105">
        <f t="shared" si="2"/>
        <v>2060</v>
      </c>
    </row>
    <row r="25" spans="1:9" x14ac:dyDescent="0.25">
      <c r="A25" s="122"/>
      <c r="B25" s="232">
        <f t="shared" si="1"/>
        <v>2</v>
      </c>
      <c r="C25" s="15"/>
      <c r="D25" s="69"/>
      <c r="E25" s="202"/>
      <c r="F25" s="69">
        <f t="shared" si="3"/>
        <v>0</v>
      </c>
      <c r="G25" s="70"/>
      <c r="H25" s="71"/>
      <c r="I25" s="105">
        <f t="shared" si="2"/>
        <v>2060</v>
      </c>
    </row>
    <row r="26" spans="1:9" x14ac:dyDescent="0.25">
      <c r="A26" s="122"/>
      <c r="B26" s="182">
        <f t="shared" si="1"/>
        <v>2</v>
      </c>
      <c r="C26" s="15"/>
      <c r="D26" s="69"/>
      <c r="E26" s="202"/>
      <c r="F26" s="69">
        <f t="shared" si="3"/>
        <v>0</v>
      </c>
      <c r="G26" s="70"/>
      <c r="H26" s="71"/>
      <c r="I26" s="105">
        <f t="shared" si="2"/>
        <v>2060</v>
      </c>
    </row>
    <row r="27" spans="1:9" x14ac:dyDescent="0.25">
      <c r="A27" s="122"/>
      <c r="B27" s="232">
        <f t="shared" si="1"/>
        <v>2</v>
      </c>
      <c r="C27" s="15"/>
      <c r="D27" s="69"/>
      <c r="E27" s="202"/>
      <c r="F27" s="69">
        <f t="shared" si="3"/>
        <v>0</v>
      </c>
      <c r="G27" s="70"/>
      <c r="H27" s="71"/>
      <c r="I27" s="105">
        <f t="shared" si="2"/>
        <v>2060</v>
      </c>
    </row>
    <row r="28" spans="1:9" x14ac:dyDescent="0.25">
      <c r="A28" s="122"/>
      <c r="B28" s="182">
        <f t="shared" si="1"/>
        <v>2</v>
      </c>
      <c r="C28" s="15"/>
      <c r="D28" s="69"/>
      <c r="E28" s="202"/>
      <c r="F28" s="69">
        <f t="shared" si="3"/>
        <v>0</v>
      </c>
      <c r="G28" s="70"/>
      <c r="H28" s="71"/>
      <c r="I28" s="105">
        <f t="shared" si="2"/>
        <v>2060</v>
      </c>
    </row>
    <row r="29" spans="1:9" x14ac:dyDescent="0.25">
      <c r="A29" s="122"/>
      <c r="B29" s="232">
        <f t="shared" si="1"/>
        <v>2</v>
      </c>
      <c r="C29" s="15"/>
      <c r="D29" s="69"/>
      <c r="E29" s="202"/>
      <c r="F29" s="69">
        <f t="shared" si="3"/>
        <v>0</v>
      </c>
      <c r="G29" s="70"/>
      <c r="H29" s="71"/>
      <c r="I29" s="105">
        <f t="shared" si="2"/>
        <v>2060</v>
      </c>
    </row>
    <row r="30" spans="1:9" x14ac:dyDescent="0.25">
      <c r="A30" s="122"/>
      <c r="B30" s="232">
        <f t="shared" si="1"/>
        <v>2</v>
      </c>
      <c r="C30" s="15"/>
      <c r="D30" s="69"/>
      <c r="E30" s="202"/>
      <c r="F30" s="69">
        <f t="shared" si="3"/>
        <v>0</v>
      </c>
      <c r="G30" s="70"/>
      <c r="H30" s="71"/>
      <c r="I30" s="105">
        <f t="shared" si="2"/>
        <v>2060</v>
      </c>
    </row>
    <row r="31" spans="1:9" x14ac:dyDescent="0.25">
      <c r="A31" s="122"/>
      <c r="B31" s="232">
        <f t="shared" si="1"/>
        <v>2</v>
      </c>
      <c r="C31" s="15"/>
      <c r="D31" s="69"/>
      <c r="E31" s="202"/>
      <c r="F31" s="69">
        <f t="shared" si="3"/>
        <v>0</v>
      </c>
      <c r="G31" s="70"/>
      <c r="H31" s="71"/>
      <c r="I31" s="105">
        <f t="shared" si="2"/>
        <v>2060</v>
      </c>
    </row>
    <row r="32" spans="1:9" x14ac:dyDescent="0.25">
      <c r="A32" s="122"/>
      <c r="B32" s="232">
        <f t="shared" si="1"/>
        <v>2</v>
      </c>
      <c r="C32" s="15"/>
      <c r="D32" s="69"/>
      <c r="E32" s="202"/>
      <c r="F32" s="69">
        <f t="shared" si="3"/>
        <v>0</v>
      </c>
      <c r="G32" s="70"/>
      <c r="H32" s="71"/>
      <c r="I32" s="105">
        <f t="shared" si="2"/>
        <v>2060</v>
      </c>
    </row>
    <row r="33" spans="1:9" x14ac:dyDescent="0.25">
      <c r="A33" s="122"/>
      <c r="B33" s="232">
        <f t="shared" si="1"/>
        <v>2</v>
      </c>
      <c r="C33" s="15"/>
      <c r="D33" s="69"/>
      <c r="E33" s="202"/>
      <c r="F33" s="69">
        <f t="shared" si="3"/>
        <v>0</v>
      </c>
      <c r="G33" s="70"/>
      <c r="H33" s="71"/>
      <c r="I33" s="105">
        <f t="shared" si="2"/>
        <v>2060</v>
      </c>
    </row>
    <row r="34" spans="1:9" x14ac:dyDescent="0.25">
      <c r="A34" s="122"/>
      <c r="B34" s="232">
        <f t="shared" si="1"/>
        <v>2</v>
      </c>
      <c r="C34" s="15"/>
      <c r="D34" s="69"/>
      <c r="E34" s="202"/>
      <c r="F34" s="69">
        <f t="shared" si="3"/>
        <v>0</v>
      </c>
      <c r="G34" s="70"/>
      <c r="H34" s="71"/>
      <c r="I34" s="105">
        <f t="shared" si="2"/>
        <v>2060</v>
      </c>
    </row>
    <row r="35" spans="1:9" x14ac:dyDescent="0.25">
      <c r="A35" s="122"/>
      <c r="B35" s="232">
        <f t="shared" si="1"/>
        <v>2</v>
      </c>
      <c r="C35" s="15"/>
      <c r="D35" s="69"/>
      <c r="E35" s="202"/>
      <c r="F35" s="69">
        <f t="shared" si="3"/>
        <v>0</v>
      </c>
      <c r="G35" s="70"/>
      <c r="H35" s="71"/>
      <c r="I35" s="105">
        <f t="shared" si="2"/>
        <v>2060</v>
      </c>
    </row>
    <row r="36" spans="1:9" x14ac:dyDescent="0.25">
      <c r="A36" s="122" t="s">
        <v>22</v>
      </c>
      <c r="B36" s="232">
        <f t="shared" si="1"/>
        <v>2</v>
      </c>
      <c r="C36" s="15"/>
      <c r="D36" s="69"/>
      <c r="E36" s="202"/>
      <c r="F36" s="69">
        <f t="shared" si="3"/>
        <v>0</v>
      </c>
      <c r="G36" s="70"/>
      <c r="H36" s="71"/>
      <c r="I36" s="105">
        <f t="shared" si="2"/>
        <v>2060</v>
      </c>
    </row>
    <row r="37" spans="1:9" x14ac:dyDescent="0.25">
      <c r="A37" s="123"/>
      <c r="B37" s="232">
        <f t="shared" si="1"/>
        <v>2</v>
      </c>
      <c r="C37" s="15"/>
      <c r="D37" s="69"/>
      <c r="E37" s="202"/>
      <c r="F37" s="69">
        <f t="shared" si="3"/>
        <v>0</v>
      </c>
      <c r="G37" s="70"/>
      <c r="H37" s="71"/>
      <c r="I37" s="105">
        <f t="shared" si="2"/>
        <v>2060</v>
      </c>
    </row>
    <row r="38" spans="1:9" x14ac:dyDescent="0.25">
      <c r="A38" s="122"/>
      <c r="B38" s="232">
        <f t="shared" si="1"/>
        <v>2</v>
      </c>
      <c r="C38" s="15"/>
      <c r="D38" s="69"/>
      <c r="E38" s="202"/>
      <c r="F38" s="69">
        <f t="shared" si="3"/>
        <v>0</v>
      </c>
      <c r="G38" s="70"/>
      <c r="H38" s="71"/>
      <c r="I38" s="105">
        <f t="shared" si="2"/>
        <v>2060</v>
      </c>
    </row>
    <row r="39" spans="1:9" x14ac:dyDescent="0.25">
      <c r="A39" s="122"/>
      <c r="B39" s="83">
        <f t="shared" si="1"/>
        <v>2</v>
      </c>
      <c r="C39" s="15"/>
      <c r="D39" s="69"/>
      <c r="E39" s="202"/>
      <c r="F39" s="69">
        <f t="shared" si="3"/>
        <v>0</v>
      </c>
      <c r="G39" s="70"/>
      <c r="H39" s="71"/>
      <c r="I39" s="105">
        <f t="shared" si="2"/>
        <v>2060</v>
      </c>
    </row>
    <row r="40" spans="1:9" x14ac:dyDescent="0.25">
      <c r="A40" s="122"/>
      <c r="B40" s="83">
        <f t="shared" si="1"/>
        <v>2</v>
      </c>
      <c r="C40" s="15"/>
      <c r="D40" s="69"/>
      <c r="E40" s="202"/>
      <c r="F40" s="69">
        <f t="shared" si="3"/>
        <v>0</v>
      </c>
      <c r="G40" s="70"/>
      <c r="H40" s="71"/>
      <c r="I40" s="105">
        <f t="shared" si="2"/>
        <v>2060</v>
      </c>
    </row>
    <row r="41" spans="1:9" x14ac:dyDescent="0.25">
      <c r="A41" s="122"/>
      <c r="B41" s="83">
        <f t="shared" si="1"/>
        <v>2</v>
      </c>
      <c r="C41" s="15"/>
      <c r="D41" s="69"/>
      <c r="E41" s="202"/>
      <c r="F41" s="69">
        <f t="shared" si="3"/>
        <v>0</v>
      </c>
      <c r="G41" s="70"/>
      <c r="H41" s="71"/>
      <c r="I41" s="105">
        <f t="shared" si="2"/>
        <v>2060</v>
      </c>
    </row>
    <row r="42" spans="1:9" x14ac:dyDescent="0.25">
      <c r="A42" s="122"/>
      <c r="B42" s="83">
        <f t="shared" si="1"/>
        <v>2</v>
      </c>
      <c r="C42" s="15"/>
      <c r="D42" s="69"/>
      <c r="E42" s="202"/>
      <c r="F42" s="69">
        <f t="shared" si="3"/>
        <v>0</v>
      </c>
      <c r="G42" s="70"/>
      <c r="H42" s="71"/>
      <c r="I42" s="105">
        <f t="shared" si="2"/>
        <v>2060</v>
      </c>
    </row>
    <row r="43" spans="1:9" x14ac:dyDescent="0.25">
      <c r="A43" s="122"/>
      <c r="B43" s="83">
        <f t="shared" si="1"/>
        <v>2</v>
      </c>
      <c r="C43" s="15"/>
      <c r="D43" s="69"/>
      <c r="E43" s="202"/>
      <c r="F43" s="69">
        <f t="shared" si="3"/>
        <v>0</v>
      </c>
      <c r="G43" s="70"/>
      <c r="H43" s="71"/>
      <c r="I43" s="105">
        <f t="shared" si="2"/>
        <v>2060</v>
      </c>
    </row>
    <row r="44" spans="1:9" x14ac:dyDescent="0.25">
      <c r="A44" s="122"/>
      <c r="B44" s="83">
        <f t="shared" si="1"/>
        <v>2</v>
      </c>
      <c r="C44" s="15"/>
      <c r="D44" s="69"/>
      <c r="E44" s="202"/>
      <c r="F44" s="69">
        <f t="shared" si="3"/>
        <v>0</v>
      </c>
      <c r="G44" s="70"/>
      <c r="H44" s="71"/>
      <c r="I44" s="105">
        <f t="shared" si="2"/>
        <v>2060</v>
      </c>
    </row>
    <row r="45" spans="1:9" x14ac:dyDescent="0.25">
      <c r="A45" s="122"/>
      <c r="B45" s="83">
        <f t="shared" si="1"/>
        <v>2</v>
      </c>
      <c r="C45" s="15"/>
      <c r="D45" s="69"/>
      <c r="E45" s="202"/>
      <c r="F45" s="69">
        <f t="shared" si="3"/>
        <v>0</v>
      </c>
      <c r="G45" s="70"/>
      <c r="H45" s="71"/>
      <c r="I45" s="105">
        <f t="shared" si="2"/>
        <v>2060</v>
      </c>
    </row>
    <row r="46" spans="1:9" x14ac:dyDescent="0.25">
      <c r="A46" s="122"/>
      <c r="B46" s="83">
        <f t="shared" si="1"/>
        <v>2</v>
      </c>
      <c r="C46" s="15"/>
      <c r="D46" s="69"/>
      <c r="E46" s="202"/>
      <c r="F46" s="69">
        <f t="shared" si="3"/>
        <v>0</v>
      </c>
      <c r="G46" s="70"/>
      <c r="H46" s="71"/>
      <c r="I46" s="105">
        <f t="shared" si="2"/>
        <v>2060</v>
      </c>
    </row>
    <row r="47" spans="1:9" x14ac:dyDescent="0.25">
      <c r="A47" s="122"/>
      <c r="B47" s="83">
        <f t="shared" si="1"/>
        <v>2</v>
      </c>
      <c r="C47" s="15"/>
      <c r="D47" s="69"/>
      <c r="E47" s="202"/>
      <c r="F47" s="69">
        <f t="shared" si="3"/>
        <v>0</v>
      </c>
      <c r="G47" s="70"/>
      <c r="H47" s="71"/>
      <c r="I47" s="105">
        <f t="shared" si="2"/>
        <v>2060</v>
      </c>
    </row>
    <row r="48" spans="1:9" x14ac:dyDescent="0.25">
      <c r="A48" s="122"/>
      <c r="B48" s="83">
        <f t="shared" si="1"/>
        <v>2</v>
      </c>
      <c r="C48" s="15"/>
      <c r="D48" s="69"/>
      <c r="E48" s="202"/>
      <c r="F48" s="69">
        <f t="shared" si="3"/>
        <v>0</v>
      </c>
      <c r="G48" s="70"/>
      <c r="H48" s="71"/>
      <c r="I48" s="105">
        <f t="shared" si="2"/>
        <v>2060</v>
      </c>
    </row>
    <row r="49" spans="1:9" x14ac:dyDescent="0.25">
      <c r="A49" s="122"/>
      <c r="B49" s="83">
        <f t="shared" si="1"/>
        <v>2</v>
      </c>
      <c r="C49" s="15"/>
      <c r="D49" s="69"/>
      <c r="E49" s="202"/>
      <c r="F49" s="69">
        <f t="shared" si="3"/>
        <v>0</v>
      </c>
      <c r="G49" s="70"/>
      <c r="H49" s="71"/>
      <c r="I49" s="105">
        <f t="shared" si="2"/>
        <v>2060</v>
      </c>
    </row>
    <row r="50" spans="1:9" x14ac:dyDescent="0.25">
      <c r="A50" s="122"/>
      <c r="B50" s="83">
        <f t="shared" si="1"/>
        <v>2</v>
      </c>
      <c r="C50" s="15"/>
      <c r="D50" s="69"/>
      <c r="E50" s="202"/>
      <c r="F50" s="69">
        <f t="shared" si="3"/>
        <v>0</v>
      </c>
      <c r="G50" s="70"/>
      <c r="H50" s="71"/>
      <c r="I50" s="105">
        <f t="shared" si="2"/>
        <v>2060</v>
      </c>
    </row>
    <row r="51" spans="1:9" x14ac:dyDescent="0.25">
      <c r="A51" s="122"/>
      <c r="B51" s="83">
        <f t="shared" si="1"/>
        <v>2</v>
      </c>
      <c r="C51" s="15"/>
      <c r="D51" s="69"/>
      <c r="E51" s="202"/>
      <c r="F51" s="69">
        <f t="shared" si="3"/>
        <v>0</v>
      </c>
      <c r="G51" s="70"/>
      <c r="H51" s="71"/>
      <c r="I51" s="105">
        <f t="shared" si="2"/>
        <v>2060</v>
      </c>
    </row>
    <row r="52" spans="1:9" x14ac:dyDescent="0.25">
      <c r="A52" s="122"/>
      <c r="B52" s="83">
        <f t="shared" si="1"/>
        <v>2</v>
      </c>
      <c r="C52" s="15"/>
      <c r="D52" s="69"/>
      <c r="E52" s="202"/>
      <c r="F52" s="69">
        <f t="shared" si="3"/>
        <v>0</v>
      </c>
      <c r="G52" s="70"/>
      <c r="H52" s="71"/>
      <c r="I52" s="105">
        <f t="shared" si="2"/>
        <v>2060</v>
      </c>
    </row>
    <row r="53" spans="1:9" x14ac:dyDescent="0.25">
      <c r="A53" s="122"/>
      <c r="B53" s="83">
        <f t="shared" si="1"/>
        <v>2</v>
      </c>
      <c r="C53" s="15"/>
      <c r="D53" s="69"/>
      <c r="E53" s="202"/>
      <c r="F53" s="69">
        <f t="shared" si="3"/>
        <v>0</v>
      </c>
      <c r="G53" s="70"/>
      <c r="H53" s="71"/>
      <c r="I53" s="105">
        <f t="shared" si="2"/>
        <v>2060</v>
      </c>
    </row>
    <row r="54" spans="1:9" x14ac:dyDescent="0.25">
      <c r="A54" s="122"/>
      <c r="B54" s="83">
        <f t="shared" si="1"/>
        <v>2</v>
      </c>
      <c r="C54" s="15"/>
      <c r="D54" s="69"/>
      <c r="E54" s="202"/>
      <c r="F54" s="69">
        <f t="shared" si="3"/>
        <v>0</v>
      </c>
      <c r="G54" s="70"/>
      <c r="H54" s="71"/>
      <c r="I54" s="105">
        <f t="shared" si="2"/>
        <v>2060</v>
      </c>
    </row>
    <row r="55" spans="1:9" x14ac:dyDescent="0.25">
      <c r="A55" s="122"/>
      <c r="B55" s="12">
        <f>B54-C55</f>
        <v>2</v>
      </c>
      <c r="C55" s="15"/>
      <c r="D55" s="69"/>
      <c r="E55" s="202"/>
      <c r="F55" s="69">
        <f t="shared" si="3"/>
        <v>0</v>
      </c>
      <c r="G55" s="70"/>
      <c r="H55" s="71"/>
      <c r="I55" s="105">
        <f t="shared" si="2"/>
        <v>2060</v>
      </c>
    </row>
    <row r="56" spans="1:9" x14ac:dyDescent="0.25">
      <c r="A56" s="122"/>
      <c r="B56" s="12">
        <f t="shared" ref="B56:B75" si="4">B55-C56</f>
        <v>2</v>
      </c>
      <c r="C56" s="15"/>
      <c r="D56" s="69"/>
      <c r="E56" s="202"/>
      <c r="F56" s="69">
        <f t="shared" si="3"/>
        <v>0</v>
      </c>
      <c r="G56" s="70"/>
      <c r="H56" s="71"/>
      <c r="I56" s="105">
        <f t="shared" si="2"/>
        <v>2060</v>
      </c>
    </row>
    <row r="57" spans="1:9" x14ac:dyDescent="0.25">
      <c r="A57" s="122"/>
      <c r="B57" s="12">
        <f t="shared" si="4"/>
        <v>2</v>
      </c>
      <c r="C57" s="15"/>
      <c r="D57" s="69"/>
      <c r="E57" s="202"/>
      <c r="F57" s="69">
        <f t="shared" si="3"/>
        <v>0</v>
      </c>
      <c r="G57" s="70"/>
      <c r="H57" s="71"/>
      <c r="I57" s="105">
        <f t="shared" si="2"/>
        <v>2060</v>
      </c>
    </row>
    <row r="58" spans="1:9" x14ac:dyDescent="0.25">
      <c r="A58" s="122"/>
      <c r="B58" s="12">
        <f t="shared" si="4"/>
        <v>2</v>
      </c>
      <c r="C58" s="15"/>
      <c r="D58" s="69"/>
      <c r="E58" s="202"/>
      <c r="F58" s="69">
        <f t="shared" si="3"/>
        <v>0</v>
      </c>
      <c r="G58" s="70"/>
      <c r="H58" s="71"/>
      <c r="I58" s="105">
        <f t="shared" si="2"/>
        <v>2060</v>
      </c>
    </row>
    <row r="59" spans="1:9" x14ac:dyDescent="0.25">
      <c r="A59" s="122"/>
      <c r="B59" s="12">
        <f t="shared" si="4"/>
        <v>2</v>
      </c>
      <c r="C59" s="15"/>
      <c r="D59" s="69"/>
      <c r="E59" s="202"/>
      <c r="F59" s="69">
        <f t="shared" si="3"/>
        <v>0</v>
      </c>
      <c r="G59" s="70"/>
      <c r="H59" s="71"/>
      <c r="I59" s="105">
        <f t="shared" si="2"/>
        <v>2060</v>
      </c>
    </row>
    <row r="60" spans="1:9" x14ac:dyDescent="0.25">
      <c r="A60" s="122"/>
      <c r="B60" s="12">
        <f t="shared" si="4"/>
        <v>2</v>
      </c>
      <c r="C60" s="15"/>
      <c r="D60" s="69"/>
      <c r="E60" s="202"/>
      <c r="F60" s="69">
        <f t="shared" si="3"/>
        <v>0</v>
      </c>
      <c r="G60" s="70"/>
      <c r="H60" s="71"/>
      <c r="I60" s="105">
        <f t="shared" si="2"/>
        <v>2060</v>
      </c>
    </row>
    <row r="61" spans="1:9" x14ac:dyDescent="0.25">
      <c r="A61" s="122"/>
      <c r="B61" s="12">
        <f t="shared" si="4"/>
        <v>2</v>
      </c>
      <c r="C61" s="15"/>
      <c r="D61" s="69"/>
      <c r="E61" s="202"/>
      <c r="F61" s="69">
        <f t="shared" si="3"/>
        <v>0</v>
      </c>
      <c r="G61" s="70"/>
      <c r="H61" s="71"/>
      <c r="I61" s="105">
        <f t="shared" si="2"/>
        <v>2060</v>
      </c>
    </row>
    <row r="62" spans="1:9" x14ac:dyDescent="0.25">
      <c r="A62" s="122"/>
      <c r="B62" s="12">
        <f t="shared" si="4"/>
        <v>2</v>
      </c>
      <c r="C62" s="15"/>
      <c r="D62" s="69"/>
      <c r="E62" s="202"/>
      <c r="F62" s="69">
        <f t="shared" si="3"/>
        <v>0</v>
      </c>
      <c r="G62" s="70"/>
      <c r="H62" s="71"/>
      <c r="I62" s="105">
        <f t="shared" si="2"/>
        <v>2060</v>
      </c>
    </row>
    <row r="63" spans="1:9" x14ac:dyDescent="0.25">
      <c r="A63" s="122"/>
      <c r="B63" s="12">
        <f t="shared" si="4"/>
        <v>2</v>
      </c>
      <c r="C63" s="15"/>
      <c r="D63" s="69"/>
      <c r="E63" s="202"/>
      <c r="F63" s="69">
        <f t="shared" si="3"/>
        <v>0</v>
      </c>
      <c r="G63" s="70"/>
      <c r="H63" s="71"/>
      <c r="I63" s="105">
        <f t="shared" si="2"/>
        <v>2060</v>
      </c>
    </row>
    <row r="64" spans="1:9" x14ac:dyDescent="0.25">
      <c r="A64" s="122"/>
      <c r="B64" s="12">
        <f t="shared" si="4"/>
        <v>2</v>
      </c>
      <c r="C64" s="15"/>
      <c r="D64" s="69"/>
      <c r="E64" s="202"/>
      <c r="F64" s="69">
        <f t="shared" si="3"/>
        <v>0</v>
      </c>
      <c r="G64" s="70"/>
      <c r="H64" s="71"/>
      <c r="I64" s="105">
        <f t="shared" si="2"/>
        <v>2060</v>
      </c>
    </row>
    <row r="65" spans="1:9" x14ac:dyDescent="0.25">
      <c r="A65" s="122"/>
      <c r="B65" s="12">
        <f t="shared" si="4"/>
        <v>2</v>
      </c>
      <c r="C65" s="15"/>
      <c r="D65" s="69"/>
      <c r="E65" s="202"/>
      <c r="F65" s="69">
        <f t="shared" si="3"/>
        <v>0</v>
      </c>
      <c r="G65" s="70"/>
      <c r="H65" s="71"/>
      <c r="I65" s="105">
        <f t="shared" si="2"/>
        <v>2060</v>
      </c>
    </row>
    <row r="66" spans="1:9" x14ac:dyDescent="0.25">
      <c r="A66" s="122"/>
      <c r="B66" s="12">
        <f t="shared" si="4"/>
        <v>2</v>
      </c>
      <c r="C66" s="15"/>
      <c r="D66" s="69"/>
      <c r="E66" s="202"/>
      <c r="F66" s="69">
        <f t="shared" si="3"/>
        <v>0</v>
      </c>
      <c r="G66" s="70"/>
      <c r="H66" s="71"/>
      <c r="I66" s="105">
        <f t="shared" si="2"/>
        <v>2060</v>
      </c>
    </row>
    <row r="67" spans="1:9" x14ac:dyDescent="0.25">
      <c r="A67" s="122"/>
      <c r="B67" s="12">
        <f t="shared" si="4"/>
        <v>2</v>
      </c>
      <c r="C67" s="15"/>
      <c r="D67" s="69"/>
      <c r="E67" s="202"/>
      <c r="F67" s="69">
        <f t="shared" si="3"/>
        <v>0</v>
      </c>
      <c r="G67" s="70"/>
      <c r="H67" s="71"/>
      <c r="I67" s="105">
        <f t="shared" si="2"/>
        <v>2060</v>
      </c>
    </row>
    <row r="68" spans="1:9" x14ac:dyDescent="0.25">
      <c r="A68" s="122"/>
      <c r="B68" s="12">
        <f t="shared" si="4"/>
        <v>2</v>
      </c>
      <c r="C68" s="15"/>
      <c r="D68" s="59"/>
      <c r="E68" s="209"/>
      <c r="F68" s="69">
        <f t="shared" si="3"/>
        <v>0</v>
      </c>
      <c r="G68" s="70"/>
      <c r="H68" s="71"/>
      <c r="I68" s="105">
        <f t="shared" si="2"/>
        <v>2060</v>
      </c>
    </row>
    <row r="69" spans="1:9" x14ac:dyDescent="0.25">
      <c r="A69" s="122"/>
      <c r="B69" s="12">
        <f t="shared" si="4"/>
        <v>2</v>
      </c>
      <c r="C69" s="15"/>
      <c r="D69" s="59"/>
      <c r="E69" s="209"/>
      <c r="F69" s="69">
        <f t="shared" si="3"/>
        <v>0</v>
      </c>
      <c r="G69" s="70"/>
      <c r="H69" s="71"/>
      <c r="I69" s="105">
        <f t="shared" si="2"/>
        <v>2060</v>
      </c>
    </row>
    <row r="70" spans="1:9" x14ac:dyDescent="0.25">
      <c r="A70" s="122"/>
      <c r="B70" s="12">
        <f t="shared" si="4"/>
        <v>2</v>
      </c>
      <c r="C70" s="15"/>
      <c r="D70" s="59"/>
      <c r="E70" s="209"/>
      <c r="F70" s="69">
        <f t="shared" si="3"/>
        <v>0</v>
      </c>
      <c r="G70" s="70"/>
      <c r="H70" s="71"/>
      <c r="I70" s="105">
        <f t="shared" si="2"/>
        <v>2060</v>
      </c>
    </row>
    <row r="71" spans="1:9" x14ac:dyDescent="0.25">
      <c r="A71" s="122"/>
      <c r="B71" s="12">
        <f t="shared" si="4"/>
        <v>2</v>
      </c>
      <c r="C71" s="15"/>
      <c r="D71" s="59"/>
      <c r="E71" s="209"/>
      <c r="F71" s="69">
        <f t="shared" si="3"/>
        <v>0</v>
      </c>
      <c r="G71" s="70"/>
      <c r="H71" s="71"/>
      <c r="I71" s="105">
        <f t="shared" si="2"/>
        <v>2060</v>
      </c>
    </row>
    <row r="72" spans="1:9" x14ac:dyDescent="0.25">
      <c r="A72" s="122"/>
      <c r="B72" s="12">
        <f t="shared" si="4"/>
        <v>2</v>
      </c>
      <c r="C72" s="15"/>
      <c r="D72" s="59"/>
      <c r="E72" s="209"/>
      <c r="F72" s="69">
        <f t="shared" si="3"/>
        <v>0</v>
      </c>
      <c r="G72" s="70"/>
      <c r="H72" s="71"/>
      <c r="I72" s="105">
        <f t="shared" si="2"/>
        <v>2060</v>
      </c>
    </row>
    <row r="73" spans="1:9" x14ac:dyDescent="0.25">
      <c r="A73" s="122"/>
      <c r="B73" s="12">
        <f t="shared" si="4"/>
        <v>2</v>
      </c>
      <c r="C73" s="15"/>
      <c r="D73" s="59"/>
      <c r="E73" s="209"/>
      <c r="F73" s="69">
        <f t="shared" si="3"/>
        <v>0</v>
      </c>
      <c r="G73" s="70"/>
      <c r="H73" s="71"/>
      <c r="I73" s="105">
        <f t="shared" si="2"/>
        <v>2060</v>
      </c>
    </row>
    <row r="74" spans="1:9" x14ac:dyDescent="0.25">
      <c r="A74" s="122"/>
      <c r="B74" s="12">
        <f t="shared" si="4"/>
        <v>2</v>
      </c>
      <c r="C74" s="15"/>
      <c r="D74" s="59"/>
      <c r="E74" s="209"/>
      <c r="F74" s="69">
        <f>D74</f>
        <v>0</v>
      </c>
      <c r="G74" s="70"/>
      <c r="H74" s="71"/>
      <c r="I74" s="105">
        <f t="shared" si="2"/>
        <v>2060</v>
      </c>
    </row>
    <row r="75" spans="1:9" x14ac:dyDescent="0.25">
      <c r="A75" s="122"/>
      <c r="B75" s="12">
        <f t="shared" si="4"/>
        <v>2</v>
      </c>
      <c r="C75" s="15"/>
      <c r="D75" s="59"/>
      <c r="E75" s="209"/>
      <c r="F75" s="69">
        <f>D75</f>
        <v>0</v>
      </c>
      <c r="G75" s="70"/>
      <c r="H75" s="71"/>
      <c r="I75" s="105">
        <f t="shared" ref="I75:I76" si="5">I74-F75</f>
        <v>2060</v>
      </c>
    </row>
    <row r="76" spans="1:9" x14ac:dyDescent="0.25">
      <c r="A76" s="122"/>
      <c r="C76" s="15"/>
      <c r="D76" s="59"/>
      <c r="E76" s="209"/>
      <c r="F76" s="69">
        <f>D76</f>
        <v>0</v>
      </c>
      <c r="G76" s="70"/>
      <c r="H76" s="71"/>
      <c r="I76" s="105">
        <f t="shared" si="5"/>
        <v>2060</v>
      </c>
    </row>
    <row r="77" spans="1:9" ht="15.75" thickBot="1" x14ac:dyDescent="0.3">
      <c r="A77" s="122"/>
      <c r="B77" s="16"/>
      <c r="C77" s="52"/>
      <c r="D77" s="107"/>
      <c r="E77" s="196"/>
      <c r="F77" s="103"/>
      <c r="G77" s="104"/>
      <c r="H77" s="60"/>
    </row>
    <row r="78" spans="1:9" x14ac:dyDescent="0.25">
      <c r="C78" s="53">
        <f>SUM(C9:C77)</f>
        <v>6</v>
      </c>
      <c r="D78" s="6">
        <f>SUM(D9:D77)</f>
        <v>5565.1</v>
      </c>
      <c r="F78" s="6">
        <f>SUM(F9:F77)</f>
        <v>5565.1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1388" t="s">
        <v>11</v>
      </c>
      <c r="D83" s="1389"/>
      <c r="E83" s="57">
        <f>E5+E6-F78+E7</f>
        <v>560.89999999999964</v>
      </c>
      <c r="F83" s="73"/>
    </row>
  </sheetData>
  <sortState ref="C4:F7">
    <sortCondition ref="D4:D7"/>
  </sortState>
  <mergeCells count="3">
    <mergeCell ref="A1:G1"/>
    <mergeCell ref="B5:B6"/>
    <mergeCell ref="C83:D83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55"/>
  <sheetViews>
    <sheetView workbookViewId="0">
      <selection activeCell="A2" sqref="A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379"/>
      <c r="B1" s="1379"/>
      <c r="C1" s="1379"/>
      <c r="D1" s="1379"/>
      <c r="E1" s="1379"/>
      <c r="F1" s="1379"/>
      <c r="G1" s="1379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364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5.75" customHeight="1" thickTop="1" x14ac:dyDescent="0.25">
      <c r="A4" s="75"/>
      <c r="B4" s="1426"/>
      <c r="C4" s="17"/>
      <c r="E4" s="253"/>
      <c r="F4" s="239"/>
    </row>
    <row r="5" spans="1:10" ht="15" customHeight="1" x14ac:dyDescent="0.25">
      <c r="A5" s="1420"/>
      <c r="B5" s="1427"/>
      <c r="C5" s="373"/>
      <c r="D5" s="118"/>
      <c r="E5" s="238"/>
      <c r="F5" s="239"/>
      <c r="G5" s="147">
        <f>F52</f>
        <v>0</v>
      </c>
      <c r="H5" s="58">
        <f>E4+E5+E6-G5</f>
        <v>0</v>
      </c>
    </row>
    <row r="6" spans="1:10" ht="16.5" thickBot="1" x14ac:dyDescent="0.3">
      <c r="A6" s="1421"/>
      <c r="B6" s="1428"/>
      <c r="C6" s="374"/>
      <c r="D6" s="341"/>
      <c r="E6" s="254"/>
      <c r="F6" s="240"/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17" t="s">
        <v>3</v>
      </c>
      <c r="J7" s="218" t="s">
        <v>4</v>
      </c>
    </row>
    <row r="8" spans="1:10" ht="15.75" thickTop="1" x14ac:dyDescent="0.25">
      <c r="A8" s="80" t="s">
        <v>32</v>
      </c>
      <c r="B8" s="83"/>
      <c r="C8" s="15"/>
      <c r="D8" s="174">
        <v>0</v>
      </c>
      <c r="E8" s="405"/>
      <c r="F8" s="69">
        <f t="shared" ref="F8:F51" si="0">D8</f>
        <v>0</v>
      </c>
      <c r="G8" s="70"/>
      <c r="H8" s="71"/>
      <c r="I8" s="219">
        <f>E5+E4-F8+E6</f>
        <v>0</v>
      </c>
      <c r="J8" s="220">
        <f>F4+F5+F6-C8</f>
        <v>0</v>
      </c>
    </row>
    <row r="9" spans="1:10" x14ac:dyDescent="0.25">
      <c r="A9" s="194"/>
      <c r="B9" s="83"/>
      <c r="C9" s="15"/>
      <c r="D9" s="174">
        <v>0</v>
      </c>
      <c r="E9" s="405"/>
      <c r="F9" s="69">
        <f t="shared" si="0"/>
        <v>0</v>
      </c>
      <c r="G9" s="70"/>
      <c r="H9" s="71"/>
      <c r="I9" s="219">
        <f>I8-F9</f>
        <v>0</v>
      </c>
      <c r="J9" s="220">
        <f>J8-C9</f>
        <v>0</v>
      </c>
    </row>
    <row r="10" spans="1:10" x14ac:dyDescent="0.25">
      <c r="A10" s="182"/>
      <c r="B10" s="83"/>
      <c r="C10" s="15"/>
      <c r="D10" s="174">
        <v>0</v>
      </c>
      <c r="E10" s="135"/>
      <c r="F10" s="69">
        <f t="shared" si="0"/>
        <v>0</v>
      </c>
      <c r="G10" s="70"/>
      <c r="H10" s="71"/>
      <c r="I10" s="219">
        <f t="shared" ref="I10:I19" si="1">I9-F10</f>
        <v>0</v>
      </c>
      <c r="J10" s="220">
        <f t="shared" ref="J10:J50" si="2">J9-C10</f>
        <v>0</v>
      </c>
    </row>
    <row r="11" spans="1:10" x14ac:dyDescent="0.25">
      <c r="A11" s="82" t="s">
        <v>33</v>
      </c>
      <c r="B11" s="83"/>
      <c r="C11" s="15"/>
      <c r="D11" s="174">
        <v>0</v>
      </c>
      <c r="E11" s="135"/>
      <c r="F11" s="69">
        <f t="shared" si="0"/>
        <v>0</v>
      </c>
      <c r="G11" s="70"/>
      <c r="H11" s="71"/>
      <c r="I11" s="219">
        <f t="shared" si="1"/>
        <v>0</v>
      </c>
      <c r="J11" s="220">
        <f t="shared" si="2"/>
        <v>0</v>
      </c>
    </row>
    <row r="12" spans="1:10" x14ac:dyDescent="0.25">
      <c r="A12" s="73"/>
      <c r="B12" s="83"/>
      <c r="C12" s="15"/>
      <c r="D12" s="174">
        <v>0</v>
      </c>
      <c r="E12" s="135"/>
      <c r="F12" s="69">
        <f t="shared" si="0"/>
        <v>0</v>
      </c>
      <c r="G12" s="70"/>
      <c r="H12" s="71"/>
      <c r="I12" s="219">
        <f t="shared" si="1"/>
        <v>0</v>
      </c>
      <c r="J12" s="220">
        <f t="shared" si="2"/>
        <v>0</v>
      </c>
    </row>
    <row r="13" spans="1:10" x14ac:dyDescent="0.25">
      <c r="A13" s="73"/>
      <c r="B13" s="83"/>
      <c r="C13" s="15"/>
      <c r="D13" s="174">
        <v>0</v>
      </c>
      <c r="E13" s="135"/>
      <c r="F13" s="69">
        <f t="shared" si="0"/>
        <v>0</v>
      </c>
      <c r="G13" s="70"/>
      <c r="H13" s="71"/>
      <c r="I13" s="219">
        <f t="shared" si="1"/>
        <v>0</v>
      </c>
      <c r="J13" s="220">
        <f t="shared" si="2"/>
        <v>0</v>
      </c>
    </row>
    <row r="14" spans="1:10" x14ac:dyDescent="0.25">
      <c r="B14" s="83"/>
      <c r="C14" s="15"/>
      <c r="D14" s="174">
        <v>0</v>
      </c>
      <c r="E14" s="135"/>
      <c r="F14" s="69">
        <f t="shared" si="0"/>
        <v>0</v>
      </c>
      <c r="G14" s="70"/>
      <c r="H14" s="71"/>
      <c r="I14" s="219">
        <f t="shared" si="1"/>
        <v>0</v>
      </c>
      <c r="J14" s="220">
        <f t="shared" si="2"/>
        <v>0</v>
      </c>
    </row>
    <row r="15" spans="1:10" x14ac:dyDescent="0.25">
      <c r="B15" s="83"/>
      <c r="C15" s="15"/>
      <c r="D15" s="174">
        <v>0</v>
      </c>
      <c r="E15" s="370"/>
      <c r="F15" s="69">
        <f t="shared" si="0"/>
        <v>0</v>
      </c>
      <c r="G15" s="70"/>
      <c r="H15" s="71"/>
      <c r="I15" s="219">
        <f t="shared" si="1"/>
        <v>0</v>
      </c>
      <c r="J15" s="220">
        <f t="shared" si="2"/>
        <v>0</v>
      </c>
    </row>
    <row r="16" spans="1:10" x14ac:dyDescent="0.25">
      <c r="A16" s="81"/>
      <c r="B16" s="83"/>
      <c r="C16" s="15"/>
      <c r="D16" s="174">
        <f t="shared" ref="D16:D53" si="3">C16*B16</f>
        <v>0</v>
      </c>
      <c r="E16" s="370"/>
      <c r="F16" s="69">
        <f t="shared" si="0"/>
        <v>0</v>
      </c>
      <c r="G16" s="70"/>
      <c r="H16" s="71"/>
      <c r="I16" s="219">
        <f t="shared" si="1"/>
        <v>0</v>
      </c>
      <c r="J16" s="220">
        <f t="shared" si="2"/>
        <v>0</v>
      </c>
    </row>
    <row r="17" spans="1:10" x14ac:dyDescent="0.25">
      <c r="A17" s="83"/>
      <c r="B17" s="83"/>
      <c r="C17" s="15"/>
      <c r="D17" s="174">
        <f t="shared" si="3"/>
        <v>0</v>
      </c>
      <c r="E17" s="370"/>
      <c r="F17" s="69">
        <f t="shared" si="0"/>
        <v>0</v>
      </c>
      <c r="G17" s="70"/>
      <c r="H17" s="71"/>
      <c r="I17" s="219">
        <f t="shared" si="1"/>
        <v>0</v>
      </c>
      <c r="J17" s="220">
        <f t="shared" si="2"/>
        <v>0</v>
      </c>
    </row>
    <row r="18" spans="1:10" x14ac:dyDescent="0.25">
      <c r="A18" s="2"/>
      <c r="B18" s="83"/>
      <c r="C18" s="15"/>
      <c r="D18" s="174">
        <f t="shared" si="3"/>
        <v>0</v>
      </c>
      <c r="E18" s="370"/>
      <c r="F18" s="69">
        <f t="shared" si="0"/>
        <v>0</v>
      </c>
      <c r="G18" s="70"/>
      <c r="H18" s="71"/>
      <c r="I18" s="219">
        <f t="shared" si="1"/>
        <v>0</v>
      </c>
      <c r="J18" s="220">
        <f t="shared" si="2"/>
        <v>0</v>
      </c>
    </row>
    <row r="19" spans="1:10" x14ac:dyDescent="0.25">
      <c r="A19" s="2"/>
      <c r="B19" s="83"/>
      <c r="C19" s="15"/>
      <c r="D19" s="174">
        <f t="shared" si="3"/>
        <v>0</v>
      </c>
      <c r="E19" s="370"/>
      <c r="F19" s="69">
        <f t="shared" si="0"/>
        <v>0</v>
      </c>
      <c r="G19" s="70"/>
      <c r="H19" s="71"/>
      <c r="I19" s="219">
        <f t="shared" si="1"/>
        <v>0</v>
      </c>
      <c r="J19" s="220">
        <f t="shared" si="2"/>
        <v>0</v>
      </c>
    </row>
    <row r="20" spans="1:10" x14ac:dyDescent="0.25">
      <c r="A20" s="2"/>
      <c r="B20" s="83"/>
      <c r="C20" s="15"/>
      <c r="D20" s="174">
        <f t="shared" si="3"/>
        <v>0</v>
      </c>
      <c r="E20" s="135"/>
      <c r="F20" s="69">
        <f t="shared" si="0"/>
        <v>0</v>
      </c>
      <c r="G20" s="70"/>
      <c r="H20" s="71"/>
      <c r="I20" s="219">
        <f>I19-F20</f>
        <v>0</v>
      </c>
      <c r="J20" s="220">
        <f t="shared" si="2"/>
        <v>0</v>
      </c>
    </row>
    <row r="21" spans="1:10" x14ac:dyDescent="0.25">
      <c r="A21" s="2"/>
      <c r="B21" s="83"/>
      <c r="C21" s="15"/>
      <c r="D21" s="174">
        <f t="shared" si="3"/>
        <v>0</v>
      </c>
      <c r="E21" s="135"/>
      <c r="F21" s="69">
        <f t="shared" si="0"/>
        <v>0</v>
      </c>
      <c r="G21" s="70"/>
      <c r="H21" s="71"/>
      <c r="I21" s="219">
        <f t="shared" ref="I21:I50" si="4">I20-F21</f>
        <v>0</v>
      </c>
      <c r="J21" s="220">
        <f t="shared" si="2"/>
        <v>0</v>
      </c>
    </row>
    <row r="22" spans="1:10" x14ac:dyDescent="0.25">
      <c r="A22" s="2"/>
      <c r="B22" s="83"/>
      <c r="C22" s="15"/>
      <c r="D22" s="174">
        <f t="shared" si="3"/>
        <v>0</v>
      </c>
      <c r="E22" s="135"/>
      <c r="F22" s="69">
        <f t="shared" si="0"/>
        <v>0</v>
      </c>
      <c r="G22" s="70"/>
      <c r="H22" s="71"/>
      <c r="I22" s="219">
        <f t="shared" si="4"/>
        <v>0</v>
      </c>
      <c r="J22" s="220">
        <f t="shared" si="2"/>
        <v>0</v>
      </c>
    </row>
    <row r="23" spans="1:10" x14ac:dyDescent="0.25">
      <c r="A23" s="2"/>
      <c r="B23" s="83"/>
      <c r="C23" s="15"/>
      <c r="D23" s="174">
        <f t="shared" si="3"/>
        <v>0</v>
      </c>
      <c r="E23" s="135"/>
      <c r="F23" s="69">
        <f t="shared" si="0"/>
        <v>0</v>
      </c>
      <c r="G23" s="70"/>
      <c r="H23" s="71"/>
      <c r="I23" s="219">
        <f t="shared" si="4"/>
        <v>0</v>
      </c>
      <c r="J23" s="220">
        <f t="shared" si="2"/>
        <v>0</v>
      </c>
    </row>
    <row r="24" spans="1:10" x14ac:dyDescent="0.25">
      <c r="A24" s="2"/>
      <c r="B24" s="83"/>
      <c r="C24" s="15"/>
      <c r="D24" s="174">
        <f t="shared" si="3"/>
        <v>0</v>
      </c>
      <c r="E24" s="405"/>
      <c r="F24" s="69">
        <f t="shared" si="0"/>
        <v>0</v>
      </c>
      <c r="G24" s="70"/>
      <c r="H24" s="71"/>
      <c r="I24" s="219">
        <f t="shared" si="4"/>
        <v>0</v>
      </c>
      <c r="J24" s="220">
        <f t="shared" si="2"/>
        <v>0</v>
      </c>
    </row>
    <row r="25" spans="1:10" x14ac:dyDescent="0.25">
      <c r="A25" s="2"/>
      <c r="B25" s="83"/>
      <c r="C25" s="15"/>
      <c r="D25" s="174">
        <f t="shared" si="3"/>
        <v>0</v>
      </c>
      <c r="E25" s="405"/>
      <c r="F25" s="69">
        <f t="shared" si="0"/>
        <v>0</v>
      </c>
      <c r="G25" s="70"/>
      <c r="H25" s="71"/>
      <c r="I25" s="219">
        <f t="shared" si="4"/>
        <v>0</v>
      </c>
      <c r="J25" s="220">
        <f t="shared" si="2"/>
        <v>0</v>
      </c>
    </row>
    <row r="26" spans="1:10" x14ac:dyDescent="0.25">
      <c r="A26" s="2"/>
      <c r="B26" s="83"/>
      <c r="C26" s="15"/>
      <c r="D26" s="174">
        <f t="shared" si="3"/>
        <v>0</v>
      </c>
      <c r="E26" s="405"/>
      <c r="F26" s="69">
        <f t="shared" si="0"/>
        <v>0</v>
      </c>
      <c r="G26" s="70"/>
      <c r="H26" s="71"/>
      <c r="I26" s="219">
        <f t="shared" si="4"/>
        <v>0</v>
      </c>
      <c r="J26" s="220">
        <f t="shared" si="2"/>
        <v>0</v>
      </c>
    </row>
    <row r="27" spans="1:10" x14ac:dyDescent="0.25">
      <c r="A27" s="175"/>
      <c r="B27" s="83"/>
      <c r="C27" s="15"/>
      <c r="D27" s="174">
        <f t="shared" si="3"/>
        <v>0</v>
      </c>
      <c r="E27" s="405"/>
      <c r="F27" s="69">
        <f t="shared" si="0"/>
        <v>0</v>
      </c>
      <c r="G27" s="70"/>
      <c r="H27" s="71"/>
      <c r="I27" s="219">
        <f t="shared" si="4"/>
        <v>0</v>
      </c>
      <c r="J27" s="220">
        <f t="shared" si="2"/>
        <v>0</v>
      </c>
    </row>
    <row r="28" spans="1:10" x14ac:dyDescent="0.25">
      <c r="A28" s="175"/>
      <c r="B28" s="83"/>
      <c r="C28" s="15"/>
      <c r="D28" s="174">
        <f t="shared" si="3"/>
        <v>0</v>
      </c>
      <c r="E28" s="135"/>
      <c r="F28" s="69">
        <f t="shared" si="0"/>
        <v>0</v>
      </c>
      <c r="G28" s="70"/>
      <c r="H28" s="71"/>
      <c r="I28" s="219">
        <f t="shared" si="4"/>
        <v>0</v>
      </c>
      <c r="J28" s="220">
        <f t="shared" si="2"/>
        <v>0</v>
      </c>
    </row>
    <row r="29" spans="1:10" x14ac:dyDescent="0.25">
      <c r="A29" s="175"/>
      <c r="B29" s="83"/>
      <c r="C29" s="15"/>
      <c r="D29" s="174">
        <f t="shared" si="3"/>
        <v>0</v>
      </c>
      <c r="E29" s="135"/>
      <c r="F29" s="69">
        <f t="shared" si="0"/>
        <v>0</v>
      </c>
      <c r="G29" s="70"/>
      <c r="H29" s="71"/>
      <c r="I29" s="219">
        <f t="shared" si="4"/>
        <v>0</v>
      </c>
      <c r="J29" s="220">
        <f t="shared" si="2"/>
        <v>0</v>
      </c>
    </row>
    <row r="30" spans="1:10" x14ac:dyDescent="0.25">
      <c r="A30" s="175"/>
      <c r="B30" s="83"/>
      <c r="C30" s="15"/>
      <c r="D30" s="174">
        <f t="shared" si="3"/>
        <v>0</v>
      </c>
      <c r="E30" s="135"/>
      <c r="F30" s="69">
        <f t="shared" si="0"/>
        <v>0</v>
      </c>
      <c r="G30" s="70"/>
      <c r="H30" s="71"/>
      <c r="I30" s="219">
        <f t="shared" si="4"/>
        <v>0</v>
      </c>
      <c r="J30" s="220">
        <f t="shared" si="2"/>
        <v>0</v>
      </c>
    </row>
    <row r="31" spans="1:10" x14ac:dyDescent="0.25">
      <c r="A31" s="175"/>
      <c r="B31" s="83"/>
      <c r="C31" s="15"/>
      <c r="D31" s="174">
        <f t="shared" si="3"/>
        <v>0</v>
      </c>
      <c r="E31" s="135"/>
      <c r="F31" s="69">
        <f t="shared" si="0"/>
        <v>0</v>
      </c>
      <c r="G31" s="70"/>
      <c r="H31" s="71"/>
      <c r="I31" s="219">
        <f t="shared" si="4"/>
        <v>0</v>
      </c>
      <c r="J31" s="220">
        <f t="shared" si="2"/>
        <v>0</v>
      </c>
    </row>
    <row r="32" spans="1:10" x14ac:dyDescent="0.25">
      <c r="A32" s="2"/>
      <c r="B32" s="83"/>
      <c r="C32" s="15"/>
      <c r="D32" s="174">
        <f t="shared" si="3"/>
        <v>0</v>
      </c>
      <c r="E32" s="135"/>
      <c r="F32" s="69">
        <f t="shared" si="0"/>
        <v>0</v>
      </c>
      <c r="G32" s="70"/>
      <c r="H32" s="71"/>
      <c r="I32" s="219">
        <f t="shared" si="4"/>
        <v>0</v>
      </c>
      <c r="J32" s="220">
        <f t="shared" si="2"/>
        <v>0</v>
      </c>
    </row>
    <row r="33" spans="1:10" x14ac:dyDescent="0.25">
      <c r="A33" s="2"/>
      <c r="B33" s="83"/>
      <c r="C33" s="15"/>
      <c r="D33" s="174">
        <f t="shared" si="3"/>
        <v>0</v>
      </c>
      <c r="E33" s="370"/>
      <c r="F33" s="69">
        <f t="shared" si="0"/>
        <v>0</v>
      </c>
      <c r="G33" s="70"/>
      <c r="H33" s="71"/>
      <c r="I33" s="219">
        <f t="shared" si="4"/>
        <v>0</v>
      </c>
      <c r="J33" s="220">
        <f t="shared" si="2"/>
        <v>0</v>
      </c>
    </row>
    <row r="34" spans="1:10" x14ac:dyDescent="0.25">
      <c r="A34" s="2"/>
      <c r="B34" s="83"/>
      <c r="C34" s="15"/>
      <c r="D34" s="174">
        <f t="shared" si="3"/>
        <v>0</v>
      </c>
      <c r="E34" s="370"/>
      <c r="F34" s="69">
        <f t="shared" si="0"/>
        <v>0</v>
      </c>
      <c r="G34" s="70"/>
      <c r="H34" s="71"/>
      <c r="I34" s="219">
        <f t="shared" si="4"/>
        <v>0</v>
      </c>
      <c r="J34" s="220">
        <f t="shared" si="2"/>
        <v>0</v>
      </c>
    </row>
    <row r="35" spans="1:10" x14ac:dyDescent="0.25">
      <c r="A35" s="2"/>
      <c r="B35" s="83"/>
      <c r="C35" s="15"/>
      <c r="D35" s="174">
        <f t="shared" si="3"/>
        <v>0</v>
      </c>
      <c r="E35" s="370"/>
      <c r="F35" s="69">
        <f t="shared" si="0"/>
        <v>0</v>
      </c>
      <c r="G35" s="70"/>
      <c r="H35" s="71"/>
      <c r="I35" s="219">
        <f t="shared" si="4"/>
        <v>0</v>
      </c>
      <c r="J35" s="220">
        <f t="shared" si="2"/>
        <v>0</v>
      </c>
    </row>
    <row r="36" spans="1:10" x14ac:dyDescent="0.25">
      <c r="A36" s="2"/>
      <c r="B36" s="83"/>
      <c r="C36" s="15"/>
      <c r="D36" s="174">
        <f t="shared" si="3"/>
        <v>0</v>
      </c>
      <c r="E36" s="370"/>
      <c r="F36" s="69">
        <f t="shared" si="0"/>
        <v>0</v>
      </c>
      <c r="G36" s="70"/>
      <c r="H36" s="71"/>
      <c r="I36" s="219">
        <f t="shared" si="4"/>
        <v>0</v>
      </c>
      <c r="J36" s="220">
        <f t="shared" si="2"/>
        <v>0</v>
      </c>
    </row>
    <row r="37" spans="1:10" x14ac:dyDescent="0.25">
      <c r="A37" s="2"/>
      <c r="B37" s="83"/>
      <c r="C37" s="15"/>
      <c r="D37" s="174">
        <f t="shared" si="3"/>
        <v>0</v>
      </c>
      <c r="E37" s="370" t="s">
        <v>41</v>
      </c>
      <c r="F37" s="69">
        <f t="shared" si="0"/>
        <v>0</v>
      </c>
      <c r="G37" s="70"/>
      <c r="H37" s="71"/>
      <c r="I37" s="219">
        <f t="shared" si="4"/>
        <v>0</v>
      </c>
      <c r="J37" s="220">
        <f t="shared" si="2"/>
        <v>0</v>
      </c>
    </row>
    <row r="38" spans="1:10" x14ac:dyDescent="0.25">
      <c r="A38" s="2"/>
      <c r="B38" s="83"/>
      <c r="C38" s="15"/>
      <c r="D38" s="174">
        <f t="shared" si="3"/>
        <v>0</v>
      </c>
      <c r="E38" s="135"/>
      <c r="F38" s="69">
        <f t="shared" si="0"/>
        <v>0</v>
      </c>
      <c r="G38" s="70"/>
      <c r="H38" s="71"/>
      <c r="I38" s="219">
        <f t="shared" si="4"/>
        <v>0</v>
      </c>
      <c r="J38" s="220">
        <f t="shared" si="2"/>
        <v>0</v>
      </c>
    </row>
    <row r="39" spans="1:10" x14ac:dyDescent="0.25">
      <c r="A39" s="2"/>
      <c r="B39" s="83"/>
      <c r="C39" s="15"/>
      <c r="D39" s="174">
        <f t="shared" si="3"/>
        <v>0</v>
      </c>
      <c r="E39" s="370"/>
      <c r="F39" s="69">
        <f t="shared" si="0"/>
        <v>0</v>
      </c>
      <c r="G39" s="70"/>
      <c r="H39" s="71"/>
      <c r="I39" s="219">
        <f t="shared" si="4"/>
        <v>0</v>
      </c>
      <c r="J39" s="220">
        <f t="shared" si="2"/>
        <v>0</v>
      </c>
    </row>
    <row r="40" spans="1:10" x14ac:dyDescent="0.25">
      <c r="A40" s="2"/>
      <c r="B40" s="83"/>
      <c r="C40" s="15"/>
      <c r="D40" s="174">
        <f t="shared" si="3"/>
        <v>0</v>
      </c>
      <c r="E40" s="370"/>
      <c r="F40" s="69">
        <f t="shared" si="0"/>
        <v>0</v>
      </c>
      <c r="G40" s="70"/>
      <c r="H40" s="71"/>
      <c r="I40" s="219">
        <f t="shared" si="4"/>
        <v>0</v>
      </c>
      <c r="J40" s="220">
        <f t="shared" si="2"/>
        <v>0</v>
      </c>
    </row>
    <row r="41" spans="1:10" x14ac:dyDescent="0.25">
      <c r="A41" s="2"/>
      <c r="B41" s="83"/>
      <c r="C41" s="15"/>
      <c r="D41" s="174">
        <f t="shared" si="3"/>
        <v>0</v>
      </c>
      <c r="E41" s="370"/>
      <c r="F41" s="69">
        <f t="shared" si="0"/>
        <v>0</v>
      </c>
      <c r="G41" s="70"/>
      <c r="H41" s="71"/>
      <c r="I41" s="219">
        <f t="shared" si="4"/>
        <v>0</v>
      </c>
      <c r="J41" s="220">
        <f t="shared" si="2"/>
        <v>0</v>
      </c>
    </row>
    <row r="42" spans="1:10" x14ac:dyDescent="0.25">
      <c r="A42" s="2"/>
      <c r="B42" s="83"/>
      <c r="C42" s="15"/>
      <c r="D42" s="174">
        <f t="shared" si="3"/>
        <v>0</v>
      </c>
      <c r="E42" s="370"/>
      <c r="F42" s="69">
        <f t="shared" si="0"/>
        <v>0</v>
      </c>
      <c r="G42" s="70"/>
      <c r="H42" s="71"/>
      <c r="I42" s="219">
        <f t="shared" si="4"/>
        <v>0</v>
      </c>
      <c r="J42" s="220">
        <f t="shared" si="2"/>
        <v>0</v>
      </c>
    </row>
    <row r="43" spans="1:10" x14ac:dyDescent="0.25">
      <c r="A43" s="2"/>
      <c r="B43" s="83"/>
      <c r="C43" s="15"/>
      <c r="D43" s="174">
        <f t="shared" si="3"/>
        <v>0</v>
      </c>
      <c r="E43" s="370"/>
      <c r="F43" s="69">
        <f t="shared" si="0"/>
        <v>0</v>
      </c>
      <c r="G43" s="70"/>
      <c r="H43" s="71"/>
      <c r="I43" s="219">
        <f t="shared" si="4"/>
        <v>0</v>
      </c>
      <c r="J43" s="220">
        <f t="shared" si="2"/>
        <v>0</v>
      </c>
    </row>
    <row r="44" spans="1:10" x14ac:dyDescent="0.25">
      <c r="A44" s="2"/>
      <c r="B44" s="83"/>
      <c r="C44" s="15"/>
      <c r="D44" s="174">
        <f t="shared" si="3"/>
        <v>0</v>
      </c>
      <c r="E44" s="370"/>
      <c r="F44" s="69">
        <f t="shared" si="0"/>
        <v>0</v>
      </c>
      <c r="G44" s="70"/>
      <c r="H44" s="71"/>
      <c r="I44" s="219">
        <f t="shared" si="4"/>
        <v>0</v>
      </c>
      <c r="J44" s="220">
        <f t="shared" si="2"/>
        <v>0</v>
      </c>
    </row>
    <row r="45" spans="1:10" x14ac:dyDescent="0.25">
      <c r="A45" s="2"/>
      <c r="B45" s="83"/>
      <c r="C45" s="15"/>
      <c r="D45" s="174">
        <f t="shared" si="3"/>
        <v>0</v>
      </c>
      <c r="E45" s="370"/>
      <c r="F45" s="69">
        <f t="shared" si="0"/>
        <v>0</v>
      </c>
      <c r="G45" s="70"/>
      <c r="H45" s="71"/>
      <c r="I45" s="219">
        <f t="shared" si="4"/>
        <v>0</v>
      </c>
      <c r="J45" s="220">
        <f t="shared" si="2"/>
        <v>0</v>
      </c>
    </row>
    <row r="46" spans="1:10" x14ac:dyDescent="0.25">
      <c r="A46" s="2"/>
      <c r="B46" s="83"/>
      <c r="C46" s="15"/>
      <c r="D46" s="174">
        <f t="shared" si="3"/>
        <v>0</v>
      </c>
      <c r="E46" s="370"/>
      <c r="F46" s="69">
        <f t="shared" si="0"/>
        <v>0</v>
      </c>
      <c r="G46" s="70"/>
      <c r="H46" s="71"/>
      <c r="I46" s="219">
        <f t="shared" si="4"/>
        <v>0</v>
      </c>
      <c r="J46" s="220">
        <f t="shared" si="2"/>
        <v>0</v>
      </c>
    </row>
    <row r="47" spans="1:10" x14ac:dyDescent="0.25">
      <c r="A47" s="2"/>
      <c r="B47" s="83"/>
      <c r="C47" s="15"/>
      <c r="D47" s="174">
        <f t="shared" si="3"/>
        <v>0</v>
      </c>
      <c r="E47" s="370"/>
      <c r="F47" s="69">
        <f t="shared" si="0"/>
        <v>0</v>
      </c>
      <c r="G47" s="70"/>
      <c r="H47" s="71"/>
      <c r="I47" s="219">
        <f t="shared" si="4"/>
        <v>0</v>
      </c>
      <c r="J47" s="220">
        <f t="shared" si="2"/>
        <v>0</v>
      </c>
    </row>
    <row r="48" spans="1:10" x14ac:dyDescent="0.25">
      <c r="A48" s="2"/>
      <c r="B48" s="83"/>
      <c r="C48" s="15"/>
      <c r="D48" s="174">
        <f t="shared" si="3"/>
        <v>0</v>
      </c>
      <c r="E48" s="370"/>
      <c r="F48" s="69">
        <f t="shared" si="0"/>
        <v>0</v>
      </c>
      <c r="G48" s="70"/>
      <c r="H48" s="71"/>
      <c r="I48" s="219">
        <f t="shared" si="4"/>
        <v>0</v>
      </c>
      <c r="J48" s="220">
        <f t="shared" si="2"/>
        <v>0</v>
      </c>
    </row>
    <row r="49" spans="1:10" x14ac:dyDescent="0.25">
      <c r="A49" s="2"/>
      <c r="B49" s="83"/>
      <c r="C49" s="15"/>
      <c r="D49" s="174">
        <f t="shared" si="3"/>
        <v>0</v>
      </c>
      <c r="E49" s="370"/>
      <c r="F49" s="69">
        <f t="shared" si="0"/>
        <v>0</v>
      </c>
      <c r="G49" s="70"/>
      <c r="H49" s="71"/>
      <c r="I49" s="219">
        <f t="shared" si="4"/>
        <v>0</v>
      </c>
      <c r="J49" s="220">
        <f t="shared" si="2"/>
        <v>0</v>
      </c>
    </row>
    <row r="50" spans="1:10" x14ac:dyDescent="0.25">
      <c r="A50" s="2"/>
      <c r="B50" s="83"/>
      <c r="C50" s="15"/>
      <c r="D50" s="174">
        <f t="shared" si="3"/>
        <v>0</v>
      </c>
      <c r="E50" s="370"/>
      <c r="F50" s="69">
        <f t="shared" si="0"/>
        <v>0</v>
      </c>
      <c r="G50" s="70"/>
      <c r="H50" s="71"/>
      <c r="I50" s="219">
        <f t="shared" si="4"/>
        <v>0</v>
      </c>
      <c r="J50" s="220">
        <f t="shared" si="2"/>
        <v>0</v>
      </c>
    </row>
    <row r="51" spans="1:10" ht="15.75" thickBot="1" x14ac:dyDescent="0.3">
      <c r="A51" s="4"/>
      <c r="B51" s="74"/>
      <c r="C51" s="37"/>
      <c r="D51" s="185">
        <f t="shared" si="3"/>
        <v>0</v>
      </c>
      <c r="E51" s="250"/>
      <c r="F51" s="200">
        <f t="shared" si="0"/>
        <v>0</v>
      </c>
      <c r="G51" s="201"/>
      <c r="H51" s="193"/>
    </row>
    <row r="52" spans="1:10" ht="16.5" thickTop="1" thickBot="1" x14ac:dyDescent="0.3">
      <c r="C52" s="90">
        <f>SUM(C8:C51)</f>
        <v>0</v>
      </c>
      <c r="D52" s="174">
        <f t="shared" si="3"/>
        <v>0</v>
      </c>
      <c r="E52" s="38"/>
      <c r="F52" s="5">
        <f>SUM(F8:F51)</f>
        <v>0</v>
      </c>
    </row>
    <row r="53" spans="1:10" ht="15.75" thickBot="1" x14ac:dyDescent="0.3">
      <c r="A53" s="51"/>
      <c r="D53" s="174">
        <f t="shared" si="3"/>
        <v>0</v>
      </c>
      <c r="E53" s="68">
        <f>F4+F5+F6-+C52</f>
        <v>0</v>
      </c>
    </row>
    <row r="54" spans="1:10" ht="15.75" thickBot="1" x14ac:dyDescent="0.3">
      <c r="A54" s="119"/>
    </row>
    <row r="55" spans="1:10" ht="16.5" thickTop="1" thickBot="1" x14ac:dyDescent="0.3">
      <c r="A55" s="47"/>
      <c r="C55" s="1424" t="s">
        <v>11</v>
      </c>
      <c r="D55" s="1425"/>
      <c r="E55" s="145">
        <f>E5+E4+E6+-F52</f>
        <v>0</v>
      </c>
    </row>
  </sheetData>
  <mergeCells count="4">
    <mergeCell ref="A1:G1"/>
    <mergeCell ref="B4:B6"/>
    <mergeCell ref="A5:A6"/>
    <mergeCell ref="C55:D55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15"/>
  <sheetViews>
    <sheetView topLeftCell="H1" zoomScaleNormal="100" workbookViewId="0">
      <pane ySplit="8" topLeftCell="A9" activePane="bottomLeft" state="frozen"/>
      <selection activeCell="M1" sqref="M1"/>
      <selection pane="bottomLeft" activeCell="V5" sqref="V5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1386" t="s">
        <v>327</v>
      </c>
      <c r="B1" s="1386"/>
      <c r="C1" s="1386"/>
      <c r="D1" s="1386"/>
      <c r="E1" s="1386"/>
      <c r="F1" s="1386"/>
      <c r="G1" s="1386"/>
      <c r="H1" s="1386"/>
      <c r="I1" s="1386"/>
      <c r="J1" s="11">
        <v>1</v>
      </c>
      <c r="M1" s="1390" t="s">
        <v>339</v>
      </c>
      <c r="N1" s="1390"/>
      <c r="O1" s="1390"/>
      <c r="P1" s="1390"/>
      <c r="Q1" s="1390"/>
      <c r="R1" s="1390"/>
      <c r="S1" s="1390"/>
      <c r="T1" s="1390"/>
      <c r="U1" s="1390"/>
      <c r="V1" s="11">
        <v>2</v>
      </c>
    </row>
    <row r="2" spans="1:23" ht="15.75" thickBot="1" x14ac:dyDescent="0.3">
      <c r="I2" s="132"/>
      <c r="J2" s="73"/>
      <c r="U2" s="132"/>
      <c r="V2" s="73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189"/>
      <c r="J3" s="73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189"/>
      <c r="V3" s="73"/>
    </row>
    <row r="4" spans="1:23" ht="15.75" thickTop="1" x14ac:dyDescent="0.25">
      <c r="B4" s="12"/>
      <c r="C4" s="199"/>
      <c r="D4" s="149"/>
      <c r="E4" s="105">
        <v>13.62</v>
      </c>
      <c r="F4" s="73">
        <v>3</v>
      </c>
      <c r="G4" s="73"/>
      <c r="I4" s="190"/>
      <c r="J4" s="73"/>
      <c r="N4" s="12"/>
      <c r="O4" s="1042"/>
      <c r="P4" s="1043"/>
      <c r="Q4" s="731">
        <v>22.6</v>
      </c>
      <c r="R4" s="709">
        <v>5</v>
      </c>
      <c r="S4" s="73"/>
      <c r="U4" s="190"/>
      <c r="V4" s="73" t="s">
        <v>36</v>
      </c>
    </row>
    <row r="5" spans="1:23" ht="15" customHeight="1" x14ac:dyDescent="0.25">
      <c r="A5" s="1398" t="s">
        <v>174</v>
      </c>
      <c r="B5" s="1429" t="s">
        <v>43</v>
      </c>
      <c r="C5" s="199">
        <v>45</v>
      </c>
      <c r="D5" s="149">
        <v>44872</v>
      </c>
      <c r="E5" s="105">
        <v>2002.14</v>
      </c>
      <c r="F5" s="73">
        <v>441</v>
      </c>
      <c r="G5" s="5">
        <f>F109</f>
        <v>4026.9799999999991</v>
      </c>
      <c r="H5" s="7">
        <f>E4+E5-G5+E6+E7</f>
        <v>9.8232533218833851E-13</v>
      </c>
      <c r="I5" s="190"/>
      <c r="J5" s="73"/>
      <c r="M5" s="1398" t="s">
        <v>174</v>
      </c>
      <c r="N5" s="1429" t="s">
        <v>43</v>
      </c>
      <c r="O5" s="1042">
        <v>44</v>
      </c>
      <c r="P5" s="1043">
        <v>44900</v>
      </c>
      <c r="Q5" s="731">
        <v>1502.74</v>
      </c>
      <c r="R5" s="709">
        <v>331</v>
      </c>
      <c r="S5" s="5">
        <f>R109</f>
        <v>3227.9399999999982</v>
      </c>
      <c r="T5" s="7">
        <f>Q4+Q5-S5+Q6+Q7</f>
        <v>803.48000000000172</v>
      </c>
      <c r="U5" s="190"/>
      <c r="V5" s="73"/>
    </row>
    <row r="6" spans="1:23" x14ac:dyDescent="0.25">
      <c r="A6" s="1398"/>
      <c r="B6" s="1429"/>
      <c r="C6" s="199">
        <v>45</v>
      </c>
      <c r="D6" s="231">
        <v>44884</v>
      </c>
      <c r="E6" s="78">
        <v>2002.14</v>
      </c>
      <c r="F6" s="62">
        <v>441</v>
      </c>
      <c r="I6" s="191"/>
      <c r="J6" s="73"/>
      <c r="M6" s="1398"/>
      <c r="N6" s="1429"/>
      <c r="O6" s="1042">
        <v>44</v>
      </c>
      <c r="P6" s="1018">
        <v>44914</v>
      </c>
      <c r="Q6" s="843">
        <v>1003.34</v>
      </c>
      <c r="R6" s="872">
        <v>221</v>
      </c>
      <c r="U6" s="191"/>
      <c r="V6" s="73"/>
    </row>
    <row r="7" spans="1:23" ht="15.75" thickBot="1" x14ac:dyDescent="0.3">
      <c r="B7" s="12"/>
      <c r="C7" s="951"/>
      <c r="D7" s="952" t="s">
        <v>316</v>
      </c>
      <c r="E7" s="105">
        <v>9.08</v>
      </c>
      <c r="F7" s="73">
        <v>2</v>
      </c>
      <c r="I7" s="191"/>
      <c r="J7" s="73"/>
      <c r="N7" s="12"/>
      <c r="O7" s="710">
        <v>44</v>
      </c>
      <c r="P7" s="1018">
        <v>44925</v>
      </c>
      <c r="Q7" s="731">
        <v>1502.74</v>
      </c>
      <c r="R7" s="709">
        <v>331</v>
      </c>
      <c r="U7" s="191"/>
      <c r="V7" s="73"/>
    </row>
    <row r="8" spans="1:23" ht="16.5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92" t="s">
        <v>11</v>
      </c>
      <c r="J8" s="73"/>
      <c r="N8" s="64" t="s">
        <v>7</v>
      </c>
      <c r="O8" s="27" t="s">
        <v>8</v>
      </c>
      <c r="P8" s="30" t="s">
        <v>3</v>
      </c>
      <c r="Q8" s="23" t="s">
        <v>2</v>
      </c>
      <c r="R8" s="9" t="s">
        <v>9</v>
      </c>
      <c r="S8" s="10" t="s">
        <v>16</v>
      </c>
      <c r="T8" s="24"/>
      <c r="U8" s="192" t="s">
        <v>11</v>
      </c>
      <c r="V8" s="73"/>
    </row>
    <row r="9" spans="1:23" ht="15.75" thickTop="1" x14ac:dyDescent="0.25">
      <c r="A9" s="73"/>
      <c r="B9" s="133">
        <v>4.54</v>
      </c>
      <c r="C9" s="15">
        <v>6</v>
      </c>
      <c r="D9" s="69">
        <f t="shared" ref="D9:D72" si="0">C9*B9</f>
        <v>27.240000000000002</v>
      </c>
      <c r="E9" s="195">
        <v>44874</v>
      </c>
      <c r="F9" s="69">
        <f t="shared" ref="F9:F31" si="1">D9</f>
        <v>27.240000000000002</v>
      </c>
      <c r="G9" s="70" t="s">
        <v>252</v>
      </c>
      <c r="H9" s="71">
        <v>50</v>
      </c>
      <c r="I9" s="190">
        <f>E5+E4+E6+E7-F9</f>
        <v>3999.7400000000002</v>
      </c>
      <c r="J9" s="73">
        <f>F5-C9+F6+F4+F7</f>
        <v>881</v>
      </c>
      <c r="K9" s="60">
        <f>H9*F9</f>
        <v>1362</v>
      </c>
      <c r="M9" s="73"/>
      <c r="N9" s="133">
        <v>4.54</v>
      </c>
      <c r="O9" s="15">
        <v>10</v>
      </c>
      <c r="P9" s="69">
        <f t="shared" ref="P9:P72" si="2">O9*N9</f>
        <v>45.4</v>
      </c>
      <c r="Q9" s="195">
        <v>44904</v>
      </c>
      <c r="R9" s="69">
        <f t="shared" ref="R9:R31" si="3">P9</f>
        <v>45.4</v>
      </c>
      <c r="S9" s="70" t="s">
        <v>655</v>
      </c>
      <c r="T9" s="71">
        <v>50</v>
      </c>
      <c r="U9" s="190">
        <f>Q5+Q4+Q6+Q7-R9</f>
        <v>3986.02</v>
      </c>
      <c r="V9" s="73">
        <f>R5-O9+R6+R4+R7</f>
        <v>878</v>
      </c>
      <c r="W9" s="60">
        <f>T9*R9</f>
        <v>2270</v>
      </c>
    </row>
    <row r="10" spans="1:23" x14ac:dyDescent="0.25">
      <c r="B10" s="133">
        <v>4.54</v>
      </c>
      <c r="C10" s="15">
        <v>30</v>
      </c>
      <c r="D10" s="69">
        <f t="shared" si="0"/>
        <v>136.19999999999999</v>
      </c>
      <c r="E10" s="195">
        <v>44874</v>
      </c>
      <c r="F10" s="69">
        <f t="shared" si="1"/>
        <v>136.19999999999999</v>
      </c>
      <c r="G10" s="70" t="s">
        <v>254</v>
      </c>
      <c r="H10" s="71">
        <v>50</v>
      </c>
      <c r="I10" s="190">
        <f>I9-F10</f>
        <v>3863.5400000000004</v>
      </c>
      <c r="J10" s="73">
        <f>J9-C10</f>
        <v>851</v>
      </c>
      <c r="K10" s="60">
        <f t="shared" ref="K10:K83" si="4">H10*F10</f>
        <v>6809.9999999999991</v>
      </c>
      <c r="N10" s="133">
        <v>4.54</v>
      </c>
      <c r="O10" s="15">
        <v>10</v>
      </c>
      <c r="P10" s="69">
        <f t="shared" si="2"/>
        <v>45.4</v>
      </c>
      <c r="Q10" s="195">
        <v>44905</v>
      </c>
      <c r="R10" s="69">
        <f t="shared" si="3"/>
        <v>45.4</v>
      </c>
      <c r="S10" s="70" t="s">
        <v>667</v>
      </c>
      <c r="T10" s="71">
        <v>50</v>
      </c>
      <c r="U10" s="190">
        <f>U9-R10</f>
        <v>3940.62</v>
      </c>
      <c r="V10" s="73">
        <f>V9-O10</f>
        <v>868</v>
      </c>
      <c r="W10" s="60">
        <f t="shared" ref="W10:W83" si="5">T10*R10</f>
        <v>2270</v>
      </c>
    </row>
    <row r="11" spans="1:23" x14ac:dyDescent="0.25">
      <c r="A11" s="55" t="s">
        <v>32</v>
      </c>
      <c r="B11" s="133">
        <v>4.54</v>
      </c>
      <c r="C11" s="15">
        <v>20</v>
      </c>
      <c r="D11" s="69">
        <f t="shared" si="0"/>
        <v>90.8</v>
      </c>
      <c r="E11" s="195">
        <v>44875</v>
      </c>
      <c r="F11" s="69">
        <f t="shared" si="1"/>
        <v>90.8</v>
      </c>
      <c r="G11" s="70" t="s">
        <v>255</v>
      </c>
      <c r="H11" s="71">
        <v>50</v>
      </c>
      <c r="I11" s="190">
        <f t="shared" ref="I11:I74" si="6">I10-F11</f>
        <v>3772.7400000000002</v>
      </c>
      <c r="J11" s="73">
        <f t="shared" ref="J11:J74" si="7">J10-C11</f>
        <v>831</v>
      </c>
      <c r="K11" s="60">
        <f t="shared" si="4"/>
        <v>4540</v>
      </c>
      <c r="M11" s="55" t="s">
        <v>32</v>
      </c>
      <c r="N11" s="133">
        <v>4.54</v>
      </c>
      <c r="O11" s="811">
        <f>6+74</f>
        <v>80</v>
      </c>
      <c r="P11" s="697">
        <f t="shared" si="2"/>
        <v>363.2</v>
      </c>
      <c r="Q11" s="195">
        <v>44905</v>
      </c>
      <c r="R11" s="69">
        <f t="shared" si="3"/>
        <v>363.2</v>
      </c>
      <c r="S11" s="70" t="s">
        <v>668</v>
      </c>
      <c r="T11" s="71">
        <v>50</v>
      </c>
      <c r="U11" s="190">
        <f t="shared" ref="U11:U74" si="8">U10-R11</f>
        <v>3577.42</v>
      </c>
      <c r="V11" s="73">
        <f t="shared" ref="V11:V74" si="9">V10-O11</f>
        <v>788</v>
      </c>
      <c r="W11" s="60">
        <f t="shared" si="5"/>
        <v>18160</v>
      </c>
    </row>
    <row r="12" spans="1:23" x14ac:dyDescent="0.25">
      <c r="A12" s="85"/>
      <c r="B12" s="133">
        <v>4.54</v>
      </c>
      <c r="C12" s="15">
        <v>5</v>
      </c>
      <c r="D12" s="69">
        <f t="shared" si="0"/>
        <v>22.7</v>
      </c>
      <c r="E12" s="195">
        <v>44875</v>
      </c>
      <c r="F12" s="69">
        <f t="shared" si="1"/>
        <v>22.7</v>
      </c>
      <c r="G12" s="70" t="s">
        <v>256</v>
      </c>
      <c r="H12" s="71">
        <v>50</v>
      </c>
      <c r="I12" s="190">
        <f t="shared" si="6"/>
        <v>3750.0400000000004</v>
      </c>
      <c r="J12" s="73">
        <f t="shared" si="7"/>
        <v>826</v>
      </c>
      <c r="K12" s="60">
        <f t="shared" si="4"/>
        <v>1135</v>
      </c>
      <c r="M12" s="85"/>
      <c r="N12" s="133">
        <v>4.54</v>
      </c>
      <c r="O12" s="15">
        <v>6</v>
      </c>
      <c r="P12" s="69">
        <f t="shared" si="2"/>
        <v>27.240000000000002</v>
      </c>
      <c r="Q12" s="195">
        <v>44905</v>
      </c>
      <c r="R12" s="69">
        <f t="shared" si="3"/>
        <v>27.240000000000002</v>
      </c>
      <c r="S12" s="70" t="s">
        <v>669</v>
      </c>
      <c r="T12" s="71">
        <v>50</v>
      </c>
      <c r="U12" s="190">
        <f t="shared" si="8"/>
        <v>3550.1800000000003</v>
      </c>
      <c r="V12" s="73">
        <f t="shared" si="9"/>
        <v>782</v>
      </c>
      <c r="W12" s="60">
        <f t="shared" si="5"/>
        <v>1362</v>
      </c>
    </row>
    <row r="13" spans="1:23" x14ac:dyDescent="0.25">
      <c r="B13" s="133">
        <v>4.54</v>
      </c>
      <c r="C13" s="15">
        <v>1</v>
      </c>
      <c r="D13" s="69">
        <f t="shared" si="0"/>
        <v>4.54</v>
      </c>
      <c r="E13" s="195">
        <v>44875</v>
      </c>
      <c r="F13" s="69">
        <f t="shared" si="1"/>
        <v>4.54</v>
      </c>
      <c r="G13" s="70" t="s">
        <v>257</v>
      </c>
      <c r="H13" s="71">
        <v>50</v>
      </c>
      <c r="I13" s="190">
        <f t="shared" si="6"/>
        <v>3745.5000000000005</v>
      </c>
      <c r="J13" s="73">
        <f t="shared" si="7"/>
        <v>825</v>
      </c>
      <c r="K13" s="60">
        <f t="shared" si="4"/>
        <v>227</v>
      </c>
      <c r="N13" s="133">
        <v>4.54</v>
      </c>
      <c r="O13" s="15">
        <v>1</v>
      </c>
      <c r="P13" s="69">
        <f t="shared" si="2"/>
        <v>4.54</v>
      </c>
      <c r="Q13" s="195">
        <v>44905</v>
      </c>
      <c r="R13" s="69">
        <f t="shared" si="3"/>
        <v>4.54</v>
      </c>
      <c r="S13" s="70" t="s">
        <v>670</v>
      </c>
      <c r="T13" s="71">
        <v>50</v>
      </c>
      <c r="U13" s="190">
        <f t="shared" si="8"/>
        <v>3545.6400000000003</v>
      </c>
      <c r="V13" s="73">
        <f t="shared" si="9"/>
        <v>781</v>
      </c>
      <c r="W13" s="60">
        <f t="shared" si="5"/>
        <v>227</v>
      </c>
    </row>
    <row r="14" spans="1:23" x14ac:dyDescent="0.25">
      <c r="A14" s="55" t="s">
        <v>33</v>
      </c>
      <c r="B14" s="133">
        <v>4.54</v>
      </c>
      <c r="C14" s="15">
        <v>30</v>
      </c>
      <c r="D14" s="69">
        <f t="shared" si="0"/>
        <v>136.19999999999999</v>
      </c>
      <c r="E14" s="195">
        <v>44875</v>
      </c>
      <c r="F14" s="69">
        <f t="shared" si="1"/>
        <v>136.19999999999999</v>
      </c>
      <c r="G14" s="70" t="s">
        <v>260</v>
      </c>
      <c r="H14" s="71">
        <v>50</v>
      </c>
      <c r="I14" s="190">
        <f t="shared" si="6"/>
        <v>3609.3000000000006</v>
      </c>
      <c r="J14" s="73">
        <f t="shared" si="7"/>
        <v>795</v>
      </c>
      <c r="K14" s="60">
        <f t="shared" si="4"/>
        <v>6809.9999999999991</v>
      </c>
      <c r="M14" s="55" t="s">
        <v>33</v>
      </c>
      <c r="N14" s="133">
        <v>4.54</v>
      </c>
      <c r="O14" s="15">
        <v>2</v>
      </c>
      <c r="P14" s="69">
        <f t="shared" si="2"/>
        <v>9.08</v>
      </c>
      <c r="Q14" s="195">
        <v>44905</v>
      </c>
      <c r="R14" s="69">
        <f t="shared" si="3"/>
        <v>9.08</v>
      </c>
      <c r="S14" s="70" t="s">
        <v>677</v>
      </c>
      <c r="T14" s="71">
        <v>50</v>
      </c>
      <c r="U14" s="190">
        <f t="shared" si="8"/>
        <v>3536.5600000000004</v>
      </c>
      <c r="V14" s="73">
        <f t="shared" si="9"/>
        <v>779</v>
      </c>
      <c r="W14" s="60">
        <f t="shared" si="5"/>
        <v>454</v>
      </c>
    </row>
    <row r="15" spans="1:23" x14ac:dyDescent="0.25">
      <c r="B15" s="133">
        <v>4.54</v>
      </c>
      <c r="C15" s="15">
        <v>40</v>
      </c>
      <c r="D15" s="69">
        <f t="shared" si="0"/>
        <v>181.6</v>
      </c>
      <c r="E15" s="134">
        <v>44876</v>
      </c>
      <c r="F15" s="69">
        <f t="shared" si="1"/>
        <v>181.6</v>
      </c>
      <c r="G15" s="70" t="s">
        <v>263</v>
      </c>
      <c r="H15" s="71">
        <v>50</v>
      </c>
      <c r="I15" s="190">
        <f t="shared" si="6"/>
        <v>3427.7000000000007</v>
      </c>
      <c r="J15" s="73">
        <f t="shared" si="7"/>
        <v>755</v>
      </c>
      <c r="K15" s="60">
        <f t="shared" si="4"/>
        <v>9080</v>
      </c>
      <c r="N15" s="133">
        <v>4.54</v>
      </c>
      <c r="O15" s="15">
        <v>10</v>
      </c>
      <c r="P15" s="69">
        <f t="shared" si="2"/>
        <v>45.4</v>
      </c>
      <c r="Q15" s="134">
        <v>44908</v>
      </c>
      <c r="R15" s="69">
        <f t="shared" si="3"/>
        <v>45.4</v>
      </c>
      <c r="S15" s="70" t="s">
        <v>691</v>
      </c>
      <c r="T15" s="71">
        <v>50</v>
      </c>
      <c r="U15" s="190">
        <f t="shared" si="8"/>
        <v>3491.1600000000003</v>
      </c>
      <c r="V15" s="73">
        <f t="shared" si="9"/>
        <v>769</v>
      </c>
      <c r="W15" s="60">
        <f t="shared" si="5"/>
        <v>2270</v>
      </c>
    </row>
    <row r="16" spans="1:23" x14ac:dyDescent="0.25">
      <c r="B16" s="133">
        <v>4.54</v>
      </c>
      <c r="C16" s="15">
        <v>6</v>
      </c>
      <c r="D16" s="69">
        <f t="shared" si="0"/>
        <v>27.240000000000002</v>
      </c>
      <c r="E16" s="195">
        <v>44877</v>
      </c>
      <c r="F16" s="69">
        <f t="shared" si="1"/>
        <v>27.240000000000002</v>
      </c>
      <c r="G16" s="70" t="s">
        <v>264</v>
      </c>
      <c r="H16" s="71">
        <v>50</v>
      </c>
      <c r="I16" s="190">
        <f t="shared" si="6"/>
        <v>3400.4600000000009</v>
      </c>
      <c r="J16" s="73">
        <f t="shared" si="7"/>
        <v>749</v>
      </c>
      <c r="K16" s="60">
        <f t="shared" si="4"/>
        <v>1362</v>
      </c>
      <c r="N16" s="133">
        <v>4.54</v>
      </c>
      <c r="O16" s="15">
        <v>30</v>
      </c>
      <c r="P16" s="69">
        <f t="shared" si="2"/>
        <v>136.19999999999999</v>
      </c>
      <c r="Q16" s="195">
        <v>44908</v>
      </c>
      <c r="R16" s="69">
        <f t="shared" si="3"/>
        <v>136.19999999999999</v>
      </c>
      <c r="S16" s="70" t="s">
        <v>692</v>
      </c>
      <c r="T16" s="71">
        <v>50</v>
      </c>
      <c r="U16" s="190">
        <f t="shared" si="8"/>
        <v>3354.9600000000005</v>
      </c>
      <c r="V16" s="73">
        <f t="shared" si="9"/>
        <v>739</v>
      </c>
      <c r="W16" s="60">
        <f t="shared" si="5"/>
        <v>6809.9999999999991</v>
      </c>
    </row>
    <row r="17" spans="2:23" x14ac:dyDescent="0.25">
      <c r="B17" s="133">
        <v>4.54</v>
      </c>
      <c r="C17" s="15">
        <v>5</v>
      </c>
      <c r="D17" s="69">
        <f t="shared" si="0"/>
        <v>22.7</v>
      </c>
      <c r="E17" s="195">
        <v>44877</v>
      </c>
      <c r="F17" s="69">
        <f t="shared" si="1"/>
        <v>22.7</v>
      </c>
      <c r="G17" s="70" t="s">
        <v>265</v>
      </c>
      <c r="H17" s="71">
        <v>50</v>
      </c>
      <c r="I17" s="190">
        <f t="shared" si="6"/>
        <v>3377.7600000000011</v>
      </c>
      <c r="J17" s="73">
        <f t="shared" si="7"/>
        <v>744</v>
      </c>
      <c r="K17" s="60">
        <f t="shared" si="4"/>
        <v>1135</v>
      </c>
      <c r="N17" s="133">
        <v>4.54</v>
      </c>
      <c r="O17" s="15">
        <v>30</v>
      </c>
      <c r="P17" s="69">
        <f t="shared" si="2"/>
        <v>136.19999999999999</v>
      </c>
      <c r="Q17" s="195">
        <v>44909</v>
      </c>
      <c r="R17" s="69">
        <f t="shared" si="3"/>
        <v>136.19999999999999</v>
      </c>
      <c r="S17" s="70" t="s">
        <v>704</v>
      </c>
      <c r="T17" s="71">
        <v>50</v>
      </c>
      <c r="U17" s="190">
        <f t="shared" si="8"/>
        <v>3218.7600000000007</v>
      </c>
      <c r="V17" s="73">
        <f t="shared" si="9"/>
        <v>709</v>
      </c>
      <c r="W17" s="60">
        <f t="shared" si="5"/>
        <v>6809.9999999999991</v>
      </c>
    </row>
    <row r="18" spans="2:23" x14ac:dyDescent="0.25">
      <c r="B18" s="133">
        <v>4.54</v>
      </c>
      <c r="C18" s="15">
        <v>10</v>
      </c>
      <c r="D18" s="69">
        <f t="shared" si="0"/>
        <v>45.4</v>
      </c>
      <c r="E18" s="195">
        <v>44877</v>
      </c>
      <c r="F18" s="69">
        <f t="shared" si="1"/>
        <v>45.4</v>
      </c>
      <c r="G18" s="70" t="s">
        <v>267</v>
      </c>
      <c r="H18" s="71">
        <v>50</v>
      </c>
      <c r="I18" s="190">
        <f t="shared" si="6"/>
        <v>3332.360000000001</v>
      </c>
      <c r="J18" s="73">
        <f t="shared" si="7"/>
        <v>734</v>
      </c>
      <c r="K18" s="60">
        <f t="shared" si="4"/>
        <v>2270</v>
      </c>
      <c r="N18" s="133">
        <v>4.54</v>
      </c>
      <c r="O18" s="15">
        <v>10</v>
      </c>
      <c r="P18" s="69">
        <f t="shared" si="2"/>
        <v>45.4</v>
      </c>
      <c r="Q18" s="195">
        <v>44911</v>
      </c>
      <c r="R18" s="69">
        <f t="shared" si="3"/>
        <v>45.4</v>
      </c>
      <c r="S18" s="70" t="s">
        <v>733</v>
      </c>
      <c r="T18" s="71">
        <v>50</v>
      </c>
      <c r="U18" s="190">
        <f t="shared" si="8"/>
        <v>3173.3600000000006</v>
      </c>
      <c r="V18" s="73">
        <f t="shared" si="9"/>
        <v>699</v>
      </c>
      <c r="W18" s="60">
        <f t="shared" si="5"/>
        <v>2270</v>
      </c>
    </row>
    <row r="19" spans="2:23" x14ac:dyDescent="0.25">
      <c r="B19" s="133">
        <v>4.54</v>
      </c>
      <c r="C19" s="15">
        <v>30</v>
      </c>
      <c r="D19" s="69">
        <f t="shared" si="0"/>
        <v>136.19999999999999</v>
      </c>
      <c r="E19" s="195">
        <v>44877</v>
      </c>
      <c r="F19" s="69">
        <f t="shared" si="1"/>
        <v>136.19999999999999</v>
      </c>
      <c r="G19" s="70" t="s">
        <v>270</v>
      </c>
      <c r="H19" s="71">
        <v>50</v>
      </c>
      <c r="I19" s="190">
        <f t="shared" si="6"/>
        <v>3196.1600000000012</v>
      </c>
      <c r="J19" s="73">
        <f t="shared" si="7"/>
        <v>704</v>
      </c>
      <c r="K19" s="60">
        <f t="shared" si="4"/>
        <v>6809.9999999999991</v>
      </c>
      <c r="N19" s="133">
        <v>4.54</v>
      </c>
      <c r="O19" s="15">
        <v>10</v>
      </c>
      <c r="P19" s="69">
        <f t="shared" si="2"/>
        <v>45.4</v>
      </c>
      <c r="Q19" s="195">
        <v>44912</v>
      </c>
      <c r="R19" s="69">
        <f t="shared" si="3"/>
        <v>45.4</v>
      </c>
      <c r="S19" s="70" t="s">
        <v>741</v>
      </c>
      <c r="T19" s="71">
        <v>50</v>
      </c>
      <c r="U19" s="190">
        <f t="shared" si="8"/>
        <v>3127.9600000000005</v>
      </c>
      <c r="V19" s="73">
        <f t="shared" si="9"/>
        <v>689</v>
      </c>
      <c r="W19" s="60">
        <f t="shared" si="5"/>
        <v>2270</v>
      </c>
    </row>
    <row r="20" spans="2:23" x14ac:dyDescent="0.25">
      <c r="B20" s="133">
        <v>4.54</v>
      </c>
      <c r="C20" s="15">
        <v>30</v>
      </c>
      <c r="D20" s="69">
        <f t="shared" si="0"/>
        <v>136.19999999999999</v>
      </c>
      <c r="E20" s="195">
        <v>44879</v>
      </c>
      <c r="F20" s="69">
        <f t="shared" si="1"/>
        <v>136.19999999999999</v>
      </c>
      <c r="G20" s="70" t="s">
        <v>272</v>
      </c>
      <c r="H20" s="71">
        <v>50</v>
      </c>
      <c r="I20" s="190">
        <f t="shared" si="6"/>
        <v>3059.9600000000014</v>
      </c>
      <c r="J20" s="73">
        <f t="shared" si="7"/>
        <v>674</v>
      </c>
      <c r="K20" s="60">
        <f t="shared" si="4"/>
        <v>6809.9999999999991</v>
      </c>
      <c r="N20" s="133">
        <v>4.54</v>
      </c>
      <c r="O20" s="15">
        <v>3</v>
      </c>
      <c r="P20" s="69">
        <f t="shared" si="2"/>
        <v>13.620000000000001</v>
      </c>
      <c r="Q20" s="195">
        <v>44912</v>
      </c>
      <c r="R20" s="69">
        <f t="shared" si="3"/>
        <v>13.620000000000001</v>
      </c>
      <c r="S20" s="70" t="s">
        <v>743</v>
      </c>
      <c r="T20" s="71">
        <v>50</v>
      </c>
      <c r="U20" s="190">
        <f t="shared" si="8"/>
        <v>3114.3400000000006</v>
      </c>
      <c r="V20" s="73">
        <f t="shared" si="9"/>
        <v>686</v>
      </c>
      <c r="W20" s="60">
        <f t="shared" si="5"/>
        <v>681</v>
      </c>
    </row>
    <row r="21" spans="2:23" x14ac:dyDescent="0.25">
      <c r="B21" s="133">
        <v>4.54</v>
      </c>
      <c r="C21" s="15">
        <v>10</v>
      </c>
      <c r="D21" s="69">
        <f t="shared" si="0"/>
        <v>45.4</v>
      </c>
      <c r="E21" s="195">
        <v>44880</v>
      </c>
      <c r="F21" s="69">
        <f t="shared" si="1"/>
        <v>45.4</v>
      </c>
      <c r="G21" s="70" t="s">
        <v>275</v>
      </c>
      <c r="H21" s="71">
        <v>50</v>
      </c>
      <c r="I21" s="190">
        <f t="shared" si="6"/>
        <v>3014.5600000000013</v>
      </c>
      <c r="J21" s="73">
        <f t="shared" si="7"/>
        <v>664</v>
      </c>
      <c r="K21" s="60">
        <f t="shared" si="4"/>
        <v>2270</v>
      </c>
      <c r="N21" s="133">
        <v>4.54</v>
      </c>
      <c r="O21" s="15">
        <v>40</v>
      </c>
      <c r="P21" s="69">
        <f t="shared" si="2"/>
        <v>181.6</v>
      </c>
      <c r="Q21" s="195">
        <v>44912</v>
      </c>
      <c r="R21" s="69">
        <f t="shared" si="3"/>
        <v>181.6</v>
      </c>
      <c r="S21" s="70" t="s">
        <v>744</v>
      </c>
      <c r="T21" s="71">
        <v>50</v>
      </c>
      <c r="U21" s="190">
        <f t="shared" si="8"/>
        <v>2932.7400000000007</v>
      </c>
      <c r="V21" s="73">
        <f t="shared" si="9"/>
        <v>646</v>
      </c>
      <c r="W21" s="60">
        <f t="shared" si="5"/>
        <v>9080</v>
      </c>
    </row>
    <row r="22" spans="2:23" x14ac:dyDescent="0.25">
      <c r="B22" s="133">
        <v>4.54</v>
      </c>
      <c r="C22" s="15">
        <v>5</v>
      </c>
      <c r="D22" s="69">
        <f t="shared" si="0"/>
        <v>22.7</v>
      </c>
      <c r="E22" s="195">
        <v>44880</v>
      </c>
      <c r="F22" s="69">
        <f t="shared" si="1"/>
        <v>22.7</v>
      </c>
      <c r="G22" s="70" t="s">
        <v>276</v>
      </c>
      <c r="H22" s="71">
        <v>50</v>
      </c>
      <c r="I22" s="190">
        <f t="shared" si="6"/>
        <v>2991.8600000000015</v>
      </c>
      <c r="J22" s="73">
        <f t="shared" si="7"/>
        <v>659</v>
      </c>
      <c r="K22" s="60">
        <f t="shared" si="4"/>
        <v>1135</v>
      </c>
      <c r="N22" s="133">
        <v>4.54</v>
      </c>
      <c r="O22" s="15">
        <v>30</v>
      </c>
      <c r="P22" s="69">
        <f t="shared" si="2"/>
        <v>136.19999999999999</v>
      </c>
      <c r="Q22" s="195">
        <v>44913</v>
      </c>
      <c r="R22" s="69">
        <f t="shared" si="3"/>
        <v>136.19999999999999</v>
      </c>
      <c r="S22" s="70" t="s">
        <v>747</v>
      </c>
      <c r="T22" s="71">
        <v>50</v>
      </c>
      <c r="U22" s="190">
        <f t="shared" si="8"/>
        <v>2796.5400000000009</v>
      </c>
      <c r="V22" s="73">
        <f t="shared" si="9"/>
        <v>616</v>
      </c>
      <c r="W22" s="60">
        <f t="shared" si="5"/>
        <v>6809.9999999999991</v>
      </c>
    </row>
    <row r="23" spans="2:23" x14ac:dyDescent="0.25">
      <c r="B23" s="133">
        <v>4.54</v>
      </c>
      <c r="C23" s="15">
        <v>30</v>
      </c>
      <c r="D23" s="69">
        <f t="shared" si="0"/>
        <v>136.19999999999999</v>
      </c>
      <c r="E23" s="195">
        <v>44880</v>
      </c>
      <c r="F23" s="69">
        <f t="shared" si="1"/>
        <v>136.19999999999999</v>
      </c>
      <c r="G23" s="70" t="s">
        <v>277</v>
      </c>
      <c r="H23" s="71">
        <v>50</v>
      </c>
      <c r="I23" s="190">
        <f t="shared" si="6"/>
        <v>2855.6600000000017</v>
      </c>
      <c r="J23" s="73">
        <f t="shared" si="7"/>
        <v>629</v>
      </c>
      <c r="K23" s="60">
        <f t="shared" si="4"/>
        <v>6809.9999999999991</v>
      </c>
      <c r="N23" s="133">
        <v>4.54</v>
      </c>
      <c r="O23" s="15">
        <v>10</v>
      </c>
      <c r="P23" s="69">
        <f t="shared" si="2"/>
        <v>45.4</v>
      </c>
      <c r="Q23" s="195">
        <v>44913</v>
      </c>
      <c r="R23" s="69">
        <f t="shared" si="3"/>
        <v>45.4</v>
      </c>
      <c r="S23" s="70" t="s">
        <v>748</v>
      </c>
      <c r="T23" s="71">
        <v>50</v>
      </c>
      <c r="U23" s="190">
        <f t="shared" si="8"/>
        <v>2751.1400000000008</v>
      </c>
      <c r="V23" s="73">
        <f t="shared" si="9"/>
        <v>606</v>
      </c>
      <c r="W23" s="60">
        <f t="shared" si="5"/>
        <v>2270</v>
      </c>
    </row>
    <row r="24" spans="2:23" x14ac:dyDescent="0.25">
      <c r="B24" s="133">
        <v>4.54</v>
      </c>
      <c r="C24" s="15">
        <v>40</v>
      </c>
      <c r="D24" s="69">
        <f t="shared" si="0"/>
        <v>181.6</v>
      </c>
      <c r="E24" s="195">
        <v>44882</v>
      </c>
      <c r="F24" s="69">
        <f t="shared" si="1"/>
        <v>181.6</v>
      </c>
      <c r="G24" s="70" t="s">
        <v>281</v>
      </c>
      <c r="H24" s="71">
        <v>50</v>
      </c>
      <c r="I24" s="190">
        <f t="shared" si="6"/>
        <v>2674.0600000000018</v>
      </c>
      <c r="J24" s="73">
        <f t="shared" si="7"/>
        <v>589</v>
      </c>
      <c r="K24" s="60">
        <f t="shared" si="4"/>
        <v>9080</v>
      </c>
      <c r="N24" s="133">
        <v>4.54</v>
      </c>
      <c r="O24" s="15">
        <v>5</v>
      </c>
      <c r="P24" s="69">
        <f t="shared" si="2"/>
        <v>22.7</v>
      </c>
      <c r="Q24" s="195">
        <v>44914</v>
      </c>
      <c r="R24" s="69">
        <f t="shared" si="3"/>
        <v>22.7</v>
      </c>
      <c r="S24" s="70" t="s">
        <v>752</v>
      </c>
      <c r="T24" s="71">
        <v>50</v>
      </c>
      <c r="U24" s="190">
        <f t="shared" si="8"/>
        <v>2728.440000000001</v>
      </c>
      <c r="V24" s="73">
        <f t="shared" si="9"/>
        <v>601</v>
      </c>
      <c r="W24" s="60">
        <f t="shared" si="5"/>
        <v>1135</v>
      </c>
    </row>
    <row r="25" spans="2:23" x14ac:dyDescent="0.25">
      <c r="B25" s="133">
        <v>4.54</v>
      </c>
      <c r="C25" s="15">
        <v>10</v>
      </c>
      <c r="D25" s="69">
        <f t="shared" si="0"/>
        <v>45.4</v>
      </c>
      <c r="E25" s="195">
        <v>44882</v>
      </c>
      <c r="F25" s="69">
        <f t="shared" si="1"/>
        <v>45.4</v>
      </c>
      <c r="G25" s="70" t="s">
        <v>274</v>
      </c>
      <c r="H25" s="71">
        <v>50</v>
      </c>
      <c r="I25" s="190">
        <f t="shared" si="6"/>
        <v>2628.6600000000017</v>
      </c>
      <c r="J25" s="73">
        <f t="shared" si="7"/>
        <v>579</v>
      </c>
      <c r="K25" s="60">
        <f t="shared" si="4"/>
        <v>2270</v>
      </c>
      <c r="N25" s="133">
        <v>4.54</v>
      </c>
      <c r="O25" s="15">
        <v>30</v>
      </c>
      <c r="P25" s="69">
        <f t="shared" si="2"/>
        <v>136.19999999999999</v>
      </c>
      <c r="Q25" s="195">
        <v>44914</v>
      </c>
      <c r="R25" s="69">
        <f t="shared" si="3"/>
        <v>136.19999999999999</v>
      </c>
      <c r="S25" s="70" t="s">
        <v>753</v>
      </c>
      <c r="T25" s="71">
        <v>50</v>
      </c>
      <c r="U25" s="190">
        <f t="shared" si="8"/>
        <v>2592.2400000000011</v>
      </c>
      <c r="V25" s="73">
        <f t="shared" si="9"/>
        <v>571</v>
      </c>
      <c r="W25" s="60">
        <f t="shared" si="5"/>
        <v>6809.9999999999991</v>
      </c>
    </row>
    <row r="26" spans="2:23" x14ac:dyDescent="0.25">
      <c r="B26" s="133">
        <v>4.54</v>
      </c>
      <c r="C26" s="15">
        <v>5</v>
      </c>
      <c r="D26" s="69">
        <f t="shared" si="0"/>
        <v>22.7</v>
      </c>
      <c r="E26" s="195">
        <v>44883</v>
      </c>
      <c r="F26" s="69">
        <f t="shared" si="1"/>
        <v>22.7</v>
      </c>
      <c r="G26" s="70" t="s">
        <v>284</v>
      </c>
      <c r="H26" s="71">
        <v>50</v>
      </c>
      <c r="I26" s="190">
        <f t="shared" si="6"/>
        <v>2605.9600000000019</v>
      </c>
      <c r="J26" s="73">
        <f t="shared" si="7"/>
        <v>574</v>
      </c>
      <c r="K26" s="60">
        <f t="shared" si="4"/>
        <v>1135</v>
      </c>
      <c r="N26" s="133">
        <v>4.54</v>
      </c>
      <c r="O26" s="15">
        <v>1</v>
      </c>
      <c r="P26" s="69">
        <f t="shared" si="2"/>
        <v>4.54</v>
      </c>
      <c r="Q26" s="195">
        <v>44914</v>
      </c>
      <c r="R26" s="69">
        <f t="shared" si="3"/>
        <v>4.54</v>
      </c>
      <c r="S26" s="70" t="s">
        <v>754</v>
      </c>
      <c r="T26" s="71">
        <v>50</v>
      </c>
      <c r="U26" s="190">
        <f t="shared" si="8"/>
        <v>2587.7000000000012</v>
      </c>
      <c r="V26" s="73">
        <f t="shared" si="9"/>
        <v>570</v>
      </c>
      <c r="W26" s="60">
        <f t="shared" si="5"/>
        <v>227</v>
      </c>
    </row>
    <row r="27" spans="2:23" x14ac:dyDescent="0.25">
      <c r="B27" s="133">
        <v>4.54</v>
      </c>
      <c r="C27" s="15">
        <v>10</v>
      </c>
      <c r="D27" s="69">
        <f t="shared" si="0"/>
        <v>45.4</v>
      </c>
      <c r="E27" s="195">
        <v>44883</v>
      </c>
      <c r="F27" s="69">
        <f t="shared" si="1"/>
        <v>45.4</v>
      </c>
      <c r="G27" s="70" t="s">
        <v>285</v>
      </c>
      <c r="H27" s="71">
        <v>50</v>
      </c>
      <c r="I27" s="190">
        <f t="shared" si="6"/>
        <v>2560.5600000000018</v>
      </c>
      <c r="J27" s="73">
        <f t="shared" si="7"/>
        <v>564</v>
      </c>
      <c r="K27" s="60">
        <f t="shared" si="4"/>
        <v>2270</v>
      </c>
      <c r="N27" s="133">
        <v>4.54</v>
      </c>
      <c r="O27" s="15">
        <v>10</v>
      </c>
      <c r="P27" s="69">
        <f t="shared" si="2"/>
        <v>45.4</v>
      </c>
      <c r="Q27" s="195">
        <v>44915</v>
      </c>
      <c r="R27" s="69">
        <f t="shared" si="3"/>
        <v>45.4</v>
      </c>
      <c r="S27" s="70" t="s">
        <v>760</v>
      </c>
      <c r="T27" s="71">
        <v>50</v>
      </c>
      <c r="U27" s="190">
        <f t="shared" si="8"/>
        <v>2542.3000000000011</v>
      </c>
      <c r="V27" s="73">
        <f t="shared" si="9"/>
        <v>560</v>
      </c>
      <c r="W27" s="60">
        <f t="shared" si="5"/>
        <v>2270</v>
      </c>
    </row>
    <row r="28" spans="2:23" x14ac:dyDescent="0.25">
      <c r="B28" s="133">
        <v>4.54</v>
      </c>
      <c r="C28" s="15">
        <v>30</v>
      </c>
      <c r="D28" s="69">
        <f t="shared" si="0"/>
        <v>136.19999999999999</v>
      </c>
      <c r="E28" s="195">
        <v>44883</v>
      </c>
      <c r="F28" s="69">
        <f t="shared" si="1"/>
        <v>136.19999999999999</v>
      </c>
      <c r="G28" s="70" t="s">
        <v>286</v>
      </c>
      <c r="H28" s="71">
        <v>50</v>
      </c>
      <c r="I28" s="190">
        <f t="shared" si="6"/>
        <v>2424.3600000000019</v>
      </c>
      <c r="J28" s="73">
        <f t="shared" si="7"/>
        <v>534</v>
      </c>
      <c r="K28" s="60">
        <f t="shared" si="4"/>
        <v>6809.9999999999991</v>
      </c>
      <c r="N28" s="133">
        <v>4.54</v>
      </c>
      <c r="O28" s="15">
        <v>6</v>
      </c>
      <c r="P28" s="69">
        <f t="shared" si="2"/>
        <v>27.240000000000002</v>
      </c>
      <c r="Q28" s="195">
        <v>44915</v>
      </c>
      <c r="R28" s="69">
        <f t="shared" si="3"/>
        <v>27.240000000000002</v>
      </c>
      <c r="S28" s="70" t="s">
        <v>762</v>
      </c>
      <c r="T28" s="71">
        <v>50</v>
      </c>
      <c r="U28" s="190">
        <f t="shared" si="8"/>
        <v>2515.0600000000013</v>
      </c>
      <c r="V28" s="73">
        <f t="shared" si="9"/>
        <v>554</v>
      </c>
      <c r="W28" s="60">
        <f t="shared" si="5"/>
        <v>1362</v>
      </c>
    </row>
    <row r="29" spans="2:23" x14ac:dyDescent="0.25">
      <c r="B29" s="133">
        <v>4.54</v>
      </c>
      <c r="C29" s="15">
        <v>5</v>
      </c>
      <c r="D29" s="69">
        <f t="shared" si="0"/>
        <v>22.7</v>
      </c>
      <c r="E29" s="195">
        <v>44883</v>
      </c>
      <c r="F29" s="69">
        <f t="shared" si="1"/>
        <v>22.7</v>
      </c>
      <c r="G29" s="70" t="s">
        <v>287</v>
      </c>
      <c r="H29" s="71">
        <v>50</v>
      </c>
      <c r="I29" s="190">
        <f t="shared" si="6"/>
        <v>2401.6600000000021</v>
      </c>
      <c r="J29" s="73">
        <f t="shared" si="7"/>
        <v>529</v>
      </c>
      <c r="K29" s="60">
        <f t="shared" si="4"/>
        <v>1135</v>
      </c>
      <c r="N29" s="133">
        <v>4.54</v>
      </c>
      <c r="O29" s="15">
        <v>40</v>
      </c>
      <c r="P29" s="69">
        <f t="shared" si="2"/>
        <v>181.6</v>
      </c>
      <c r="Q29" s="195">
        <v>44916</v>
      </c>
      <c r="R29" s="69">
        <f t="shared" si="3"/>
        <v>181.6</v>
      </c>
      <c r="S29" s="70" t="s">
        <v>768</v>
      </c>
      <c r="T29" s="71">
        <v>50</v>
      </c>
      <c r="U29" s="190">
        <f t="shared" si="8"/>
        <v>2333.4600000000014</v>
      </c>
      <c r="V29" s="73">
        <f t="shared" si="9"/>
        <v>514</v>
      </c>
      <c r="W29" s="60">
        <f t="shared" si="5"/>
        <v>9080</v>
      </c>
    </row>
    <row r="30" spans="2:23" x14ac:dyDescent="0.25">
      <c r="B30" s="133">
        <v>4.54</v>
      </c>
      <c r="C30" s="15">
        <v>1</v>
      </c>
      <c r="D30" s="69">
        <f t="shared" si="0"/>
        <v>4.54</v>
      </c>
      <c r="E30" s="195">
        <v>44883</v>
      </c>
      <c r="F30" s="69">
        <f t="shared" si="1"/>
        <v>4.54</v>
      </c>
      <c r="G30" s="70" t="s">
        <v>287</v>
      </c>
      <c r="H30" s="71">
        <v>50</v>
      </c>
      <c r="I30" s="190">
        <f t="shared" si="6"/>
        <v>2397.1200000000022</v>
      </c>
      <c r="J30" s="73">
        <f t="shared" si="7"/>
        <v>528</v>
      </c>
      <c r="K30" s="60">
        <f t="shared" si="4"/>
        <v>227</v>
      </c>
      <c r="N30" s="133">
        <v>4.54</v>
      </c>
      <c r="O30" s="15">
        <v>2</v>
      </c>
      <c r="P30" s="69">
        <f t="shared" si="2"/>
        <v>9.08</v>
      </c>
      <c r="Q30" s="195">
        <v>44916</v>
      </c>
      <c r="R30" s="69">
        <f t="shared" si="3"/>
        <v>9.08</v>
      </c>
      <c r="S30" s="70" t="s">
        <v>779</v>
      </c>
      <c r="T30" s="71">
        <v>50</v>
      </c>
      <c r="U30" s="190">
        <f t="shared" si="8"/>
        <v>2324.3800000000015</v>
      </c>
      <c r="V30" s="73">
        <f t="shared" si="9"/>
        <v>512</v>
      </c>
      <c r="W30" s="60">
        <f t="shared" si="5"/>
        <v>454</v>
      </c>
    </row>
    <row r="31" spans="2:23" x14ac:dyDescent="0.25">
      <c r="B31" s="133">
        <v>4.54</v>
      </c>
      <c r="C31" s="15">
        <v>1</v>
      </c>
      <c r="D31" s="69">
        <f t="shared" si="0"/>
        <v>4.54</v>
      </c>
      <c r="E31" s="195">
        <v>44883</v>
      </c>
      <c r="F31" s="69">
        <f t="shared" si="1"/>
        <v>4.54</v>
      </c>
      <c r="G31" s="70" t="s">
        <v>288</v>
      </c>
      <c r="H31" s="71">
        <v>50</v>
      </c>
      <c r="I31" s="190">
        <f t="shared" si="6"/>
        <v>2392.5800000000022</v>
      </c>
      <c r="J31" s="73">
        <f t="shared" si="7"/>
        <v>527</v>
      </c>
      <c r="K31" s="60">
        <f t="shared" si="4"/>
        <v>227</v>
      </c>
      <c r="N31" s="133">
        <v>4.54</v>
      </c>
      <c r="O31" s="15">
        <v>10</v>
      </c>
      <c r="P31" s="69">
        <f t="shared" si="2"/>
        <v>45.4</v>
      </c>
      <c r="Q31" s="195">
        <v>44917</v>
      </c>
      <c r="R31" s="69">
        <f t="shared" si="3"/>
        <v>45.4</v>
      </c>
      <c r="S31" s="70" t="s">
        <v>785</v>
      </c>
      <c r="T31" s="71">
        <v>50</v>
      </c>
      <c r="U31" s="190">
        <f t="shared" si="8"/>
        <v>2278.9800000000014</v>
      </c>
      <c r="V31" s="73">
        <f t="shared" si="9"/>
        <v>502</v>
      </c>
      <c r="W31" s="60">
        <f t="shared" si="5"/>
        <v>2270</v>
      </c>
    </row>
    <row r="32" spans="2:23" x14ac:dyDescent="0.25">
      <c r="B32" s="133">
        <v>4.54</v>
      </c>
      <c r="C32" s="15">
        <v>50</v>
      </c>
      <c r="D32" s="69">
        <f t="shared" si="0"/>
        <v>227</v>
      </c>
      <c r="E32" s="195">
        <v>44884</v>
      </c>
      <c r="F32" s="69">
        <f>D32</f>
        <v>227</v>
      </c>
      <c r="G32" s="70" t="s">
        <v>290</v>
      </c>
      <c r="H32" s="71">
        <v>50</v>
      </c>
      <c r="I32" s="190">
        <f t="shared" si="6"/>
        <v>2165.5800000000022</v>
      </c>
      <c r="J32" s="73">
        <f t="shared" si="7"/>
        <v>477</v>
      </c>
      <c r="K32" s="60">
        <f t="shared" si="4"/>
        <v>11350</v>
      </c>
      <c r="N32" s="133">
        <v>4.54</v>
      </c>
      <c r="O32" s="15">
        <v>1</v>
      </c>
      <c r="P32" s="69">
        <f t="shared" si="2"/>
        <v>4.54</v>
      </c>
      <c r="Q32" s="195">
        <v>44918</v>
      </c>
      <c r="R32" s="69">
        <f>P32</f>
        <v>4.54</v>
      </c>
      <c r="S32" s="70" t="s">
        <v>798</v>
      </c>
      <c r="T32" s="71">
        <v>50</v>
      </c>
      <c r="U32" s="190">
        <f t="shared" si="8"/>
        <v>2274.4400000000014</v>
      </c>
      <c r="V32" s="73">
        <f t="shared" si="9"/>
        <v>501</v>
      </c>
      <c r="W32" s="60">
        <f t="shared" si="5"/>
        <v>227</v>
      </c>
    </row>
    <row r="33" spans="1:23" x14ac:dyDescent="0.25">
      <c r="B33" s="133">
        <v>4.54</v>
      </c>
      <c r="C33" s="15">
        <v>20</v>
      </c>
      <c r="D33" s="69">
        <f t="shared" si="0"/>
        <v>90.8</v>
      </c>
      <c r="E33" s="134">
        <v>44887</v>
      </c>
      <c r="F33" s="69">
        <f>D33</f>
        <v>90.8</v>
      </c>
      <c r="G33" s="70" t="s">
        <v>293</v>
      </c>
      <c r="H33" s="71">
        <v>50</v>
      </c>
      <c r="I33" s="190">
        <f t="shared" si="6"/>
        <v>2074.780000000002</v>
      </c>
      <c r="J33" s="73">
        <f t="shared" si="7"/>
        <v>457</v>
      </c>
      <c r="K33" s="60">
        <f t="shared" si="4"/>
        <v>4540</v>
      </c>
      <c r="N33" s="133">
        <v>4.54</v>
      </c>
      <c r="O33" s="15">
        <v>20</v>
      </c>
      <c r="P33" s="69">
        <f t="shared" si="2"/>
        <v>90.8</v>
      </c>
      <c r="Q33" s="134">
        <v>44918</v>
      </c>
      <c r="R33" s="69">
        <f>P33</f>
        <v>90.8</v>
      </c>
      <c r="S33" s="70" t="s">
        <v>802</v>
      </c>
      <c r="T33" s="71">
        <v>50</v>
      </c>
      <c r="U33" s="190">
        <f t="shared" si="8"/>
        <v>2183.6400000000012</v>
      </c>
      <c r="V33" s="73">
        <f t="shared" si="9"/>
        <v>481</v>
      </c>
      <c r="W33" s="60">
        <f t="shared" si="5"/>
        <v>4540</v>
      </c>
    </row>
    <row r="34" spans="1:23" x14ac:dyDescent="0.25">
      <c r="B34" s="133">
        <v>4.54</v>
      </c>
      <c r="C34" s="15">
        <v>30</v>
      </c>
      <c r="D34" s="69">
        <f t="shared" si="0"/>
        <v>136.19999999999999</v>
      </c>
      <c r="E34" s="134">
        <v>44888</v>
      </c>
      <c r="F34" s="69">
        <f t="shared" ref="F34:F108" si="10">D34</f>
        <v>136.19999999999999</v>
      </c>
      <c r="G34" s="70" t="s">
        <v>295</v>
      </c>
      <c r="H34" s="71">
        <v>50</v>
      </c>
      <c r="I34" s="190">
        <f t="shared" si="6"/>
        <v>1938.580000000002</v>
      </c>
      <c r="J34" s="73">
        <f t="shared" si="7"/>
        <v>427</v>
      </c>
      <c r="K34" s="60">
        <f t="shared" si="4"/>
        <v>6809.9999999999991</v>
      </c>
      <c r="N34" s="133">
        <v>4.54</v>
      </c>
      <c r="O34" s="15">
        <v>5</v>
      </c>
      <c r="P34" s="69">
        <f t="shared" si="2"/>
        <v>22.7</v>
      </c>
      <c r="Q34" s="134">
        <v>44918</v>
      </c>
      <c r="R34" s="69">
        <f t="shared" ref="R34:R108" si="11">P34</f>
        <v>22.7</v>
      </c>
      <c r="S34" s="70" t="s">
        <v>810</v>
      </c>
      <c r="T34" s="71">
        <v>50</v>
      </c>
      <c r="U34" s="190">
        <f t="shared" si="8"/>
        <v>2160.9400000000014</v>
      </c>
      <c r="V34" s="73">
        <f t="shared" si="9"/>
        <v>476</v>
      </c>
      <c r="W34" s="60">
        <f t="shared" si="5"/>
        <v>1135</v>
      </c>
    </row>
    <row r="35" spans="1:23" x14ac:dyDescent="0.25">
      <c r="B35" s="133">
        <v>4.54</v>
      </c>
      <c r="C35" s="15">
        <v>10</v>
      </c>
      <c r="D35" s="69">
        <f t="shared" si="0"/>
        <v>45.4</v>
      </c>
      <c r="E35" s="134">
        <v>44888</v>
      </c>
      <c r="F35" s="69">
        <f t="shared" si="10"/>
        <v>45.4</v>
      </c>
      <c r="G35" s="70" t="s">
        <v>297</v>
      </c>
      <c r="H35" s="71">
        <v>50</v>
      </c>
      <c r="I35" s="190">
        <f t="shared" si="6"/>
        <v>1893.1800000000019</v>
      </c>
      <c r="J35" s="73">
        <f t="shared" si="7"/>
        <v>417</v>
      </c>
      <c r="K35" s="60">
        <f t="shared" si="4"/>
        <v>2270</v>
      </c>
      <c r="N35" s="133">
        <v>4.54</v>
      </c>
      <c r="O35" s="15">
        <v>5</v>
      </c>
      <c r="P35" s="69">
        <f t="shared" si="2"/>
        <v>22.7</v>
      </c>
      <c r="Q35" s="134">
        <v>44919</v>
      </c>
      <c r="R35" s="69">
        <f t="shared" si="11"/>
        <v>22.7</v>
      </c>
      <c r="S35" s="70" t="s">
        <v>826</v>
      </c>
      <c r="T35" s="71">
        <v>50</v>
      </c>
      <c r="U35" s="190">
        <f t="shared" si="8"/>
        <v>2138.2400000000016</v>
      </c>
      <c r="V35" s="73">
        <f t="shared" si="9"/>
        <v>471</v>
      </c>
      <c r="W35" s="60">
        <f t="shared" si="5"/>
        <v>1135</v>
      </c>
    </row>
    <row r="36" spans="1:23" x14ac:dyDescent="0.25">
      <c r="A36" s="75"/>
      <c r="B36" s="133">
        <v>4.54</v>
      </c>
      <c r="C36" s="15">
        <v>1</v>
      </c>
      <c r="D36" s="69">
        <f t="shared" si="0"/>
        <v>4.54</v>
      </c>
      <c r="E36" s="134">
        <v>44888</v>
      </c>
      <c r="F36" s="69">
        <f t="shared" si="10"/>
        <v>4.54</v>
      </c>
      <c r="G36" s="70" t="s">
        <v>299</v>
      </c>
      <c r="H36" s="71">
        <v>50</v>
      </c>
      <c r="I36" s="190">
        <f t="shared" si="6"/>
        <v>1888.6400000000019</v>
      </c>
      <c r="J36" s="73">
        <f t="shared" si="7"/>
        <v>416</v>
      </c>
      <c r="K36" s="60">
        <f t="shared" si="4"/>
        <v>227</v>
      </c>
      <c r="M36" s="75"/>
      <c r="N36" s="133">
        <v>4.54</v>
      </c>
      <c r="O36" s="15">
        <v>1</v>
      </c>
      <c r="P36" s="69">
        <f t="shared" si="2"/>
        <v>4.54</v>
      </c>
      <c r="Q36" s="134">
        <v>44919</v>
      </c>
      <c r="R36" s="69">
        <f t="shared" si="11"/>
        <v>4.54</v>
      </c>
      <c r="S36" s="70" t="s">
        <v>826</v>
      </c>
      <c r="T36" s="71">
        <v>50</v>
      </c>
      <c r="U36" s="190">
        <f t="shared" si="8"/>
        <v>2133.7000000000016</v>
      </c>
      <c r="V36" s="73">
        <f t="shared" si="9"/>
        <v>470</v>
      </c>
      <c r="W36" s="60">
        <f t="shared" si="5"/>
        <v>227</v>
      </c>
    </row>
    <row r="37" spans="1:23" x14ac:dyDescent="0.25">
      <c r="B37" s="133">
        <v>4.54</v>
      </c>
      <c r="C37" s="15">
        <v>30</v>
      </c>
      <c r="D37" s="69">
        <f t="shared" si="0"/>
        <v>136.19999999999999</v>
      </c>
      <c r="E37" s="134">
        <v>44890</v>
      </c>
      <c r="F37" s="69">
        <f t="shared" si="10"/>
        <v>136.19999999999999</v>
      </c>
      <c r="G37" s="70" t="s">
        <v>304</v>
      </c>
      <c r="H37" s="71">
        <v>50</v>
      </c>
      <c r="I37" s="190">
        <f t="shared" si="6"/>
        <v>1752.4400000000019</v>
      </c>
      <c r="J37" s="73">
        <f t="shared" si="7"/>
        <v>386</v>
      </c>
      <c r="K37" s="60">
        <f t="shared" si="4"/>
        <v>6809.9999999999991</v>
      </c>
      <c r="N37" s="133">
        <v>4.54</v>
      </c>
      <c r="O37" s="15">
        <v>40</v>
      </c>
      <c r="P37" s="69">
        <f t="shared" si="2"/>
        <v>181.6</v>
      </c>
      <c r="Q37" s="134">
        <v>44921</v>
      </c>
      <c r="R37" s="69">
        <f t="shared" si="11"/>
        <v>181.6</v>
      </c>
      <c r="S37" s="70" t="s">
        <v>828</v>
      </c>
      <c r="T37" s="71">
        <v>50</v>
      </c>
      <c r="U37" s="190">
        <f t="shared" si="8"/>
        <v>1952.1000000000017</v>
      </c>
      <c r="V37" s="73">
        <f t="shared" si="9"/>
        <v>430</v>
      </c>
      <c r="W37" s="60">
        <f t="shared" si="5"/>
        <v>9080</v>
      </c>
    </row>
    <row r="38" spans="1:23" x14ac:dyDescent="0.25">
      <c r="B38" s="133">
        <v>4.54</v>
      </c>
      <c r="C38" s="15">
        <v>1</v>
      </c>
      <c r="D38" s="69">
        <f t="shared" si="0"/>
        <v>4.54</v>
      </c>
      <c r="E38" s="195">
        <v>44890</v>
      </c>
      <c r="F38" s="69">
        <f t="shared" si="10"/>
        <v>4.54</v>
      </c>
      <c r="G38" s="70" t="s">
        <v>306</v>
      </c>
      <c r="H38" s="71">
        <v>50</v>
      </c>
      <c r="I38" s="190">
        <f t="shared" si="6"/>
        <v>1747.9000000000019</v>
      </c>
      <c r="J38" s="73">
        <f t="shared" si="7"/>
        <v>385</v>
      </c>
      <c r="K38" s="60">
        <f t="shared" si="4"/>
        <v>227</v>
      </c>
      <c r="N38" s="133">
        <v>4.54</v>
      </c>
      <c r="O38" s="15">
        <v>10</v>
      </c>
      <c r="P38" s="69">
        <f t="shared" si="2"/>
        <v>45.4</v>
      </c>
      <c r="Q38" s="195">
        <v>44924</v>
      </c>
      <c r="R38" s="69">
        <f t="shared" si="11"/>
        <v>45.4</v>
      </c>
      <c r="S38" s="70" t="s">
        <v>813</v>
      </c>
      <c r="T38" s="71">
        <v>50</v>
      </c>
      <c r="U38" s="190">
        <f t="shared" si="8"/>
        <v>1906.7000000000016</v>
      </c>
      <c r="V38" s="73">
        <f t="shared" si="9"/>
        <v>420</v>
      </c>
      <c r="W38" s="60">
        <f t="shared" si="5"/>
        <v>2270</v>
      </c>
    </row>
    <row r="39" spans="1:23" x14ac:dyDescent="0.25">
      <c r="B39" s="133">
        <v>4.54</v>
      </c>
      <c r="C39" s="15">
        <v>10</v>
      </c>
      <c r="D39" s="69">
        <f t="shared" si="0"/>
        <v>45.4</v>
      </c>
      <c r="E39" s="195">
        <v>44890</v>
      </c>
      <c r="F39" s="69">
        <f t="shared" si="10"/>
        <v>45.4</v>
      </c>
      <c r="G39" s="70" t="s">
        <v>307</v>
      </c>
      <c r="H39" s="71">
        <v>50</v>
      </c>
      <c r="I39" s="190">
        <f t="shared" si="6"/>
        <v>1702.5000000000018</v>
      </c>
      <c r="J39" s="73">
        <f t="shared" si="7"/>
        <v>375</v>
      </c>
      <c r="K39" s="60">
        <f t="shared" si="4"/>
        <v>2270</v>
      </c>
      <c r="N39" s="133">
        <v>4.54</v>
      </c>
      <c r="O39" s="15">
        <v>40</v>
      </c>
      <c r="P39" s="69">
        <f t="shared" si="2"/>
        <v>181.6</v>
      </c>
      <c r="Q39" s="195">
        <v>44924</v>
      </c>
      <c r="R39" s="69">
        <f t="shared" si="11"/>
        <v>181.6</v>
      </c>
      <c r="S39" s="70" t="s">
        <v>849</v>
      </c>
      <c r="T39" s="71">
        <v>50</v>
      </c>
      <c r="U39" s="190">
        <f t="shared" si="8"/>
        <v>1725.1000000000017</v>
      </c>
      <c r="V39" s="73">
        <f t="shared" si="9"/>
        <v>380</v>
      </c>
      <c r="W39" s="60">
        <f t="shared" si="5"/>
        <v>9080</v>
      </c>
    </row>
    <row r="40" spans="1:23" x14ac:dyDescent="0.25">
      <c r="B40" s="133">
        <v>4.54</v>
      </c>
      <c r="C40" s="15">
        <v>10</v>
      </c>
      <c r="D40" s="69">
        <f t="shared" si="0"/>
        <v>45.4</v>
      </c>
      <c r="E40" s="195">
        <v>44891</v>
      </c>
      <c r="F40" s="69">
        <f t="shared" si="10"/>
        <v>45.4</v>
      </c>
      <c r="G40" s="70" t="s">
        <v>308</v>
      </c>
      <c r="H40" s="71">
        <v>50</v>
      </c>
      <c r="I40" s="190">
        <f t="shared" si="6"/>
        <v>1657.1000000000017</v>
      </c>
      <c r="J40" s="73">
        <f t="shared" si="7"/>
        <v>365</v>
      </c>
      <c r="K40" s="60">
        <f t="shared" si="4"/>
        <v>2270</v>
      </c>
      <c r="N40" s="133">
        <v>4.54</v>
      </c>
      <c r="O40" s="15">
        <v>40</v>
      </c>
      <c r="P40" s="69">
        <f t="shared" si="2"/>
        <v>181.6</v>
      </c>
      <c r="Q40" s="195">
        <v>44925</v>
      </c>
      <c r="R40" s="69">
        <f t="shared" si="11"/>
        <v>181.6</v>
      </c>
      <c r="S40" s="70" t="s">
        <v>852</v>
      </c>
      <c r="T40" s="71">
        <v>50</v>
      </c>
      <c r="U40" s="190">
        <f t="shared" si="8"/>
        <v>1543.5000000000018</v>
      </c>
      <c r="V40" s="73">
        <f t="shared" si="9"/>
        <v>340</v>
      </c>
      <c r="W40" s="60">
        <f t="shared" si="5"/>
        <v>9080</v>
      </c>
    </row>
    <row r="41" spans="1:23" x14ac:dyDescent="0.25">
      <c r="B41" s="133">
        <v>4.54</v>
      </c>
      <c r="C41" s="15">
        <v>7</v>
      </c>
      <c r="D41" s="69">
        <f t="shared" si="0"/>
        <v>31.78</v>
      </c>
      <c r="E41" s="195">
        <v>44891</v>
      </c>
      <c r="F41" s="69">
        <f t="shared" si="10"/>
        <v>31.78</v>
      </c>
      <c r="G41" s="70" t="s">
        <v>309</v>
      </c>
      <c r="H41" s="71">
        <v>50</v>
      </c>
      <c r="I41" s="190">
        <f t="shared" si="6"/>
        <v>1625.3200000000018</v>
      </c>
      <c r="J41" s="73">
        <f t="shared" si="7"/>
        <v>358</v>
      </c>
      <c r="K41" s="60">
        <f t="shared" si="4"/>
        <v>1589</v>
      </c>
      <c r="N41" s="133">
        <v>4.54</v>
      </c>
      <c r="O41" s="15">
        <v>5</v>
      </c>
      <c r="P41" s="69">
        <f t="shared" si="2"/>
        <v>22.7</v>
      </c>
      <c r="Q41" s="195">
        <v>44925</v>
      </c>
      <c r="R41" s="69">
        <f t="shared" si="11"/>
        <v>22.7</v>
      </c>
      <c r="S41" s="70" t="s">
        <v>856</v>
      </c>
      <c r="T41" s="71">
        <v>50</v>
      </c>
      <c r="U41" s="190">
        <f t="shared" si="8"/>
        <v>1520.8000000000018</v>
      </c>
      <c r="V41" s="73">
        <f t="shared" si="9"/>
        <v>335</v>
      </c>
      <c r="W41" s="60">
        <f t="shared" si="5"/>
        <v>1135</v>
      </c>
    </row>
    <row r="42" spans="1:23" x14ac:dyDescent="0.25">
      <c r="B42" s="133">
        <v>4.54</v>
      </c>
      <c r="C42" s="15">
        <v>20</v>
      </c>
      <c r="D42" s="69">
        <f t="shared" si="0"/>
        <v>90.8</v>
      </c>
      <c r="E42" s="195">
        <v>44891</v>
      </c>
      <c r="F42" s="69">
        <f t="shared" si="10"/>
        <v>90.8</v>
      </c>
      <c r="G42" s="70" t="s">
        <v>313</v>
      </c>
      <c r="H42" s="71">
        <v>50</v>
      </c>
      <c r="I42" s="190">
        <f t="shared" si="6"/>
        <v>1534.5200000000018</v>
      </c>
      <c r="J42" s="824">
        <f t="shared" si="7"/>
        <v>338</v>
      </c>
      <c r="K42" s="834">
        <f t="shared" si="4"/>
        <v>4540</v>
      </c>
      <c r="N42" s="133">
        <v>4.54</v>
      </c>
      <c r="O42" s="15">
        <v>30</v>
      </c>
      <c r="P42" s="69">
        <f t="shared" si="2"/>
        <v>136.19999999999999</v>
      </c>
      <c r="Q42" s="195">
        <v>44926</v>
      </c>
      <c r="R42" s="69">
        <f t="shared" si="11"/>
        <v>136.19999999999999</v>
      </c>
      <c r="S42" s="70" t="s">
        <v>863</v>
      </c>
      <c r="T42" s="71">
        <v>50</v>
      </c>
      <c r="U42" s="190">
        <f t="shared" si="8"/>
        <v>1384.6000000000017</v>
      </c>
      <c r="V42" s="73">
        <f t="shared" si="9"/>
        <v>305</v>
      </c>
      <c r="W42" s="730">
        <f t="shared" si="5"/>
        <v>6809.9999999999991</v>
      </c>
    </row>
    <row r="43" spans="1:23" x14ac:dyDescent="0.25">
      <c r="B43" s="133">
        <v>4.54</v>
      </c>
      <c r="C43" s="1206">
        <v>30</v>
      </c>
      <c r="D43" s="1207">
        <f t="shared" si="0"/>
        <v>136.19999999999999</v>
      </c>
      <c r="E43" s="738">
        <v>44893</v>
      </c>
      <c r="F43" s="534">
        <f t="shared" si="10"/>
        <v>136.19999999999999</v>
      </c>
      <c r="G43" s="329" t="s">
        <v>566</v>
      </c>
      <c r="H43" s="330">
        <v>50</v>
      </c>
      <c r="I43" s="994">
        <f t="shared" si="6"/>
        <v>1398.3200000000018</v>
      </c>
      <c r="J43" s="747">
        <f t="shared" si="7"/>
        <v>308</v>
      </c>
      <c r="K43" s="60">
        <f t="shared" si="4"/>
        <v>6809.9999999999991</v>
      </c>
      <c r="L43" s="15">
        <v>30</v>
      </c>
      <c r="N43" s="133">
        <v>4.54</v>
      </c>
      <c r="O43" s="15">
        <v>5</v>
      </c>
      <c r="P43" s="69">
        <f t="shared" si="2"/>
        <v>22.7</v>
      </c>
      <c r="Q43" s="195">
        <v>44929</v>
      </c>
      <c r="R43" s="69">
        <f t="shared" si="11"/>
        <v>22.7</v>
      </c>
      <c r="S43" s="70" t="s">
        <v>871</v>
      </c>
      <c r="T43" s="71">
        <v>50</v>
      </c>
      <c r="U43" s="190">
        <f t="shared" si="8"/>
        <v>1361.9000000000017</v>
      </c>
      <c r="V43" s="73">
        <f t="shared" si="9"/>
        <v>300</v>
      </c>
      <c r="W43" s="60">
        <f t="shared" si="5"/>
        <v>1135</v>
      </c>
    </row>
    <row r="44" spans="1:23" x14ac:dyDescent="0.25">
      <c r="B44" s="133">
        <v>4.54</v>
      </c>
      <c r="C44" s="1206">
        <v>10</v>
      </c>
      <c r="D44" s="1207">
        <f t="shared" si="0"/>
        <v>45.4</v>
      </c>
      <c r="E44" s="738">
        <v>44893</v>
      </c>
      <c r="F44" s="534">
        <f t="shared" si="10"/>
        <v>45.4</v>
      </c>
      <c r="G44" s="329" t="s">
        <v>567</v>
      </c>
      <c r="H44" s="330">
        <v>50</v>
      </c>
      <c r="I44" s="994">
        <f t="shared" si="6"/>
        <v>1352.9200000000017</v>
      </c>
      <c r="J44" s="747">
        <f t="shared" si="7"/>
        <v>298</v>
      </c>
      <c r="K44" s="60">
        <f t="shared" si="4"/>
        <v>2270</v>
      </c>
      <c r="L44" s="15">
        <v>10</v>
      </c>
      <c r="N44" s="133">
        <v>4.54</v>
      </c>
      <c r="O44" s="15">
        <v>30</v>
      </c>
      <c r="P44" s="69">
        <f t="shared" si="2"/>
        <v>136.19999999999999</v>
      </c>
      <c r="Q44" s="195">
        <v>44929</v>
      </c>
      <c r="R44" s="69">
        <f t="shared" si="11"/>
        <v>136.19999999999999</v>
      </c>
      <c r="S44" s="70" t="s">
        <v>873</v>
      </c>
      <c r="T44" s="71">
        <v>50</v>
      </c>
      <c r="U44" s="190">
        <f t="shared" si="8"/>
        <v>1225.7000000000016</v>
      </c>
      <c r="V44" s="73">
        <f t="shared" si="9"/>
        <v>270</v>
      </c>
      <c r="W44" s="60">
        <f t="shared" si="5"/>
        <v>6809.9999999999991</v>
      </c>
    </row>
    <row r="45" spans="1:23" x14ac:dyDescent="0.25">
      <c r="B45" s="133">
        <v>4.54</v>
      </c>
      <c r="C45" s="1206">
        <v>4</v>
      </c>
      <c r="D45" s="1207">
        <f t="shared" si="0"/>
        <v>18.16</v>
      </c>
      <c r="E45" s="738">
        <v>44895</v>
      </c>
      <c r="F45" s="534">
        <f t="shared" si="10"/>
        <v>18.16</v>
      </c>
      <c r="G45" s="329" t="s">
        <v>576</v>
      </c>
      <c r="H45" s="330">
        <v>50</v>
      </c>
      <c r="I45" s="994">
        <f t="shared" si="6"/>
        <v>1334.7600000000016</v>
      </c>
      <c r="J45" s="747">
        <f t="shared" si="7"/>
        <v>294</v>
      </c>
      <c r="K45" s="60">
        <f t="shared" si="4"/>
        <v>908</v>
      </c>
      <c r="L45" s="15">
        <v>4</v>
      </c>
      <c r="N45" s="133">
        <v>4.54</v>
      </c>
      <c r="O45" s="15">
        <v>6</v>
      </c>
      <c r="P45" s="69">
        <f t="shared" si="2"/>
        <v>27.240000000000002</v>
      </c>
      <c r="Q45" s="195">
        <v>44930</v>
      </c>
      <c r="R45" s="69">
        <f t="shared" si="11"/>
        <v>27.240000000000002</v>
      </c>
      <c r="S45" s="70" t="s">
        <v>875</v>
      </c>
      <c r="T45" s="71">
        <v>50</v>
      </c>
      <c r="U45" s="190">
        <f t="shared" si="8"/>
        <v>1198.4600000000016</v>
      </c>
      <c r="V45" s="73">
        <f t="shared" si="9"/>
        <v>264</v>
      </c>
      <c r="W45" s="60">
        <f t="shared" si="5"/>
        <v>1362</v>
      </c>
    </row>
    <row r="46" spans="1:23" x14ac:dyDescent="0.25">
      <c r="B46" s="133">
        <v>4.54</v>
      </c>
      <c r="C46" s="1206">
        <v>20</v>
      </c>
      <c r="D46" s="1207">
        <f t="shared" si="0"/>
        <v>90.8</v>
      </c>
      <c r="E46" s="738">
        <v>44895</v>
      </c>
      <c r="F46" s="534">
        <f t="shared" si="10"/>
        <v>90.8</v>
      </c>
      <c r="G46" s="329" t="s">
        <v>577</v>
      </c>
      <c r="H46" s="330">
        <v>50</v>
      </c>
      <c r="I46" s="994">
        <f t="shared" si="6"/>
        <v>1243.9600000000016</v>
      </c>
      <c r="J46" s="747">
        <f t="shared" si="7"/>
        <v>274</v>
      </c>
      <c r="K46" s="60">
        <f t="shared" si="4"/>
        <v>4540</v>
      </c>
      <c r="L46" s="15">
        <v>20</v>
      </c>
      <c r="N46" s="133">
        <v>4.54</v>
      </c>
      <c r="O46" s="15">
        <v>30</v>
      </c>
      <c r="P46" s="69">
        <f t="shared" si="2"/>
        <v>136.19999999999999</v>
      </c>
      <c r="Q46" s="195">
        <v>44930</v>
      </c>
      <c r="R46" s="69">
        <f t="shared" si="11"/>
        <v>136.19999999999999</v>
      </c>
      <c r="S46" s="70" t="s">
        <v>876</v>
      </c>
      <c r="T46" s="71">
        <v>50</v>
      </c>
      <c r="U46" s="190">
        <f t="shared" si="8"/>
        <v>1062.2600000000016</v>
      </c>
      <c r="V46" s="73">
        <f t="shared" si="9"/>
        <v>234</v>
      </c>
      <c r="W46" s="60">
        <f t="shared" si="5"/>
        <v>6809.9999999999991</v>
      </c>
    </row>
    <row r="47" spans="1:23" x14ac:dyDescent="0.25">
      <c r="B47" s="133">
        <v>4.54</v>
      </c>
      <c r="C47" s="1206">
        <v>30</v>
      </c>
      <c r="D47" s="1207">
        <f t="shared" si="0"/>
        <v>136.19999999999999</v>
      </c>
      <c r="E47" s="738">
        <v>44895</v>
      </c>
      <c r="F47" s="534">
        <f t="shared" si="10"/>
        <v>136.19999999999999</v>
      </c>
      <c r="G47" s="329" t="s">
        <v>577</v>
      </c>
      <c r="H47" s="330">
        <v>50</v>
      </c>
      <c r="I47" s="994">
        <f t="shared" si="6"/>
        <v>1107.7600000000016</v>
      </c>
      <c r="J47" s="747">
        <f t="shared" si="7"/>
        <v>244</v>
      </c>
      <c r="K47" s="60">
        <f t="shared" si="4"/>
        <v>6809.9999999999991</v>
      </c>
      <c r="L47" s="15">
        <v>30</v>
      </c>
      <c r="N47" s="133">
        <v>4.54</v>
      </c>
      <c r="O47" s="15">
        <v>30</v>
      </c>
      <c r="P47" s="69">
        <f t="shared" si="2"/>
        <v>136.19999999999999</v>
      </c>
      <c r="Q47" s="195">
        <v>44932</v>
      </c>
      <c r="R47" s="69">
        <f t="shared" si="11"/>
        <v>136.19999999999999</v>
      </c>
      <c r="S47" s="70" t="s">
        <v>902</v>
      </c>
      <c r="T47" s="71">
        <v>50</v>
      </c>
      <c r="U47" s="190">
        <f t="shared" si="8"/>
        <v>926.06000000000154</v>
      </c>
      <c r="V47" s="73">
        <f t="shared" si="9"/>
        <v>204</v>
      </c>
      <c r="W47" s="60">
        <f t="shared" si="5"/>
        <v>6809.9999999999991</v>
      </c>
    </row>
    <row r="48" spans="1:23" x14ac:dyDescent="0.25">
      <c r="B48" s="133">
        <v>4.54</v>
      </c>
      <c r="C48" s="1206">
        <v>2</v>
      </c>
      <c r="D48" s="1207">
        <f t="shared" si="0"/>
        <v>9.08</v>
      </c>
      <c r="E48" s="738">
        <v>44895</v>
      </c>
      <c r="F48" s="534">
        <f t="shared" si="10"/>
        <v>9.08</v>
      </c>
      <c r="G48" s="329" t="s">
        <v>585</v>
      </c>
      <c r="H48" s="330">
        <v>50</v>
      </c>
      <c r="I48" s="994">
        <f t="shared" si="6"/>
        <v>1098.6800000000017</v>
      </c>
      <c r="J48" s="747">
        <f t="shared" si="7"/>
        <v>242</v>
      </c>
      <c r="K48" s="60">
        <f t="shared" si="4"/>
        <v>454</v>
      </c>
      <c r="L48" s="15">
        <v>2</v>
      </c>
      <c r="N48" s="133">
        <v>4.54</v>
      </c>
      <c r="O48" s="15">
        <v>1</v>
      </c>
      <c r="P48" s="69">
        <f t="shared" si="2"/>
        <v>4.54</v>
      </c>
      <c r="Q48" s="195">
        <v>44932</v>
      </c>
      <c r="R48" s="69">
        <f t="shared" si="11"/>
        <v>4.54</v>
      </c>
      <c r="S48" s="70" t="s">
        <v>903</v>
      </c>
      <c r="T48" s="71">
        <v>50</v>
      </c>
      <c r="U48" s="190">
        <f t="shared" si="8"/>
        <v>921.52000000000157</v>
      </c>
      <c r="V48" s="73">
        <f t="shared" si="9"/>
        <v>203</v>
      </c>
      <c r="W48" s="60">
        <f t="shared" si="5"/>
        <v>227</v>
      </c>
    </row>
    <row r="49" spans="1:23" x14ac:dyDescent="0.25">
      <c r="B49" s="133">
        <v>4.54</v>
      </c>
      <c r="C49" s="1206">
        <v>1</v>
      </c>
      <c r="D49" s="1207">
        <f t="shared" si="0"/>
        <v>4.54</v>
      </c>
      <c r="E49" s="738">
        <v>44896</v>
      </c>
      <c r="F49" s="534">
        <f t="shared" si="10"/>
        <v>4.54</v>
      </c>
      <c r="G49" s="329" t="s">
        <v>586</v>
      </c>
      <c r="H49" s="330">
        <v>50</v>
      </c>
      <c r="I49" s="994">
        <f t="shared" si="6"/>
        <v>1094.1400000000017</v>
      </c>
      <c r="J49" s="747">
        <f t="shared" si="7"/>
        <v>241</v>
      </c>
      <c r="K49" s="60">
        <f t="shared" si="4"/>
        <v>227</v>
      </c>
      <c r="L49" s="15">
        <v>1</v>
      </c>
      <c r="N49" s="133">
        <v>4.54</v>
      </c>
      <c r="O49" s="15">
        <v>6</v>
      </c>
      <c r="P49" s="69">
        <f t="shared" si="2"/>
        <v>27.240000000000002</v>
      </c>
      <c r="Q49" s="195">
        <v>44932</v>
      </c>
      <c r="R49" s="69">
        <f t="shared" si="11"/>
        <v>27.240000000000002</v>
      </c>
      <c r="S49" s="70" t="s">
        <v>905</v>
      </c>
      <c r="T49" s="71">
        <v>50</v>
      </c>
      <c r="U49" s="190">
        <f t="shared" si="8"/>
        <v>894.28000000000156</v>
      </c>
      <c r="V49" s="73">
        <f t="shared" si="9"/>
        <v>197</v>
      </c>
      <c r="W49" s="60">
        <f t="shared" si="5"/>
        <v>1362</v>
      </c>
    </row>
    <row r="50" spans="1:23" x14ac:dyDescent="0.25">
      <c r="B50" s="133">
        <v>4.54</v>
      </c>
      <c r="C50" s="1206">
        <v>30</v>
      </c>
      <c r="D50" s="1207">
        <f t="shared" si="0"/>
        <v>136.19999999999999</v>
      </c>
      <c r="E50" s="738">
        <v>44896</v>
      </c>
      <c r="F50" s="534">
        <f t="shared" si="10"/>
        <v>136.19999999999999</v>
      </c>
      <c r="G50" s="329" t="s">
        <v>591</v>
      </c>
      <c r="H50" s="330">
        <v>50</v>
      </c>
      <c r="I50" s="994">
        <f t="shared" si="6"/>
        <v>957.94000000000165</v>
      </c>
      <c r="J50" s="747">
        <f t="shared" si="7"/>
        <v>211</v>
      </c>
      <c r="K50" s="60">
        <f t="shared" si="4"/>
        <v>6809.9999999999991</v>
      </c>
      <c r="L50" s="15">
        <v>30</v>
      </c>
      <c r="N50" s="133">
        <v>4.54</v>
      </c>
      <c r="O50" s="15">
        <v>15</v>
      </c>
      <c r="P50" s="69">
        <f t="shared" si="2"/>
        <v>68.099999999999994</v>
      </c>
      <c r="Q50" s="195">
        <v>44933</v>
      </c>
      <c r="R50" s="69">
        <f t="shared" si="11"/>
        <v>68.099999999999994</v>
      </c>
      <c r="S50" s="70" t="s">
        <v>908</v>
      </c>
      <c r="T50" s="71">
        <v>50</v>
      </c>
      <c r="U50" s="190">
        <f t="shared" si="8"/>
        <v>826.18000000000154</v>
      </c>
      <c r="V50" s="73">
        <f t="shared" si="9"/>
        <v>182</v>
      </c>
      <c r="W50" s="60">
        <f t="shared" si="5"/>
        <v>3404.9999999999995</v>
      </c>
    </row>
    <row r="51" spans="1:23" x14ac:dyDescent="0.25">
      <c r="B51" s="133">
        <v>4.54</v>
      </c>
      <c r="C51" s="1206">
        <v>10</v>
      </c>
      <c r="D51" s="1207">
        <f t="shared" si="0"/>
        <v>45.4</v>
      </c>
      <c r="E51" s="738">
        <v>44898</v>
      </c>
      <c r="F51" s="534">
        <f t="shared" si="10"/>
        <v>45.4</v>
      </c>
      <c r="G51" s="329" t="s">
        <v>605</v>
      </c>
      <c r="H51" s="330">
        <v>50</v>
      </c>
      <c r="I51" s="994">
        <f t="shared" si="6"/>
        <v>912.54000000000167</v>
      </c>
      <c r="J51" s="747">
        <f t="shared" si="7"/>
        <v>201</v>
      </c>
      <c r="K51" s="60">
        <f t="shared" si="4"/>
        <v>2270</v>
      </c>
      <c r="L51" s="15">
        <v>10</v>
      </c>
      <c r="N51" s="133">
        <v>4.54</v>
      </c>
      <c r="O51" s="15">
        <v>5</v>
      </c>
      <c r="P51" s="69">
        <f t="shared" si="2"/>
        <v>22.7</v>
      </c>
      <c r="Q51" s="195">
        <v>44933</v>
      </c>
      <c r="R51" s="69">
        <f t="shared" si="11"/>
        <v>22.7</v>
      </c>
      <c r="S51" s="70" t="s">
        <v>911</v>
      </c>
      <c r="T51" s="71">
        <v>50</v>
      </c>
      <c r="U51" s="190">
        <f t="shared" si="8"/>
        <v>803.4800000000015</v>
      </c>
      <c r="V51" s="73">
        <f t="shared" si="9"/>
        <v>177</v>
      </c>
      <c r="W51" s="60">
        <f t="shared" si="5"/>
        <v>1135</v>
      </c>
    </row>
    <row r="52" spans="1:23" x14ac:dyDescent="0.25">
      <c r="B52" s="133">
        <v>4.54</v>
      </c>
      <c r="C52" s="1206">
        <v>1</v>
      </c>
      <c r="D52" s="1207">
        <f t="shared" si="0"/>
        <v>4.54</v>
      </c>
      <c r="E52" s="738">
        <v>44898</v>
      </c>
      <c r="F52" s="534">
        <f t="shared" si="10"/>
        <v>4.54</v>
      </c>
      <c r="G52" s="329" t="s">
        <v>601</v>
      </c>
      <c r="H52" s="330">
        <v>50</v>
      </c>
      <c r="I52" s="994">
        <f t="shared" si="6"/>
        <v>908.00000000000171</v>
      </c>
      <c r="J52" s="747">
        <f t="shared" si="7"/>
        <v>200</v>
      </c>
      <c r="K52" s="60">
        <f t="shared" si="4"/>
        <v>227</v>
      </c>
      <c r="L52" s="15">
        <v>1</v>
      </c>
      <c r="N52" s="133">
        <v>4.54</v>
      </c>
      <c r="O52" s="15"/>
      <c r="P52" s="69">
        <f t="shared" si="2"/>
        <v>0</v>
      </c>
      <c r="Q52" s="195"/>
      <c r="R52" s="69">
        <f t="shared" si="11"/>
        <v>0</v>
      </c>
      <c r="S52" s="70"/>
      <c r="T52" s="71"/>
      <c r="U52" s="190">
        <f t="shared" si="8"/>
        <v>803.4800000000015</v>
      </c>
      <c r="V52" s="73">
        <f t="shared" si="9"/>
        <v>177</v>
      </c>
      <c r="W52" s="60">
        <f t="shared" si="5"/>
        <v>0</v>
      </c>
    </row>
    <row r="53" spans="1:23" x14ac:dyDescent="0.25">
      <c r="B53" s="133">
        <v>4.54</v>
      </c>
      <c r="C53" s="1206">
        <v>6</v>
      </c>
      <c r="D53" s="1207">
        <f t="shared" si="0"/>
        <v>27.240000000000002</v>
      </c>
      <c r="E53" s="738">
        <v>44898</v>
      </c>
      <c r="F53" s="534">
        <f t="shared" si="10"/>
        <v>27.240000000000002</v>
      </c>
      <c r="G53" s="329" t="s">
        <v>607</v>
      </c>
      <c r="H53" s="330">
        <v>50</v>
      </c>
      <c r="I53" s="994">
        <f t="shared" si="6"/>
        <v>880.7600000000017</v>
      </c>
      <c r="J53" s="747">
        <f t="shared" si="7"/>
        <v>194</v>
      </c>
      <c r="K53" s="60">
        <f t="shared" si="4"/>
        <v>1362</v>
      </c>
      <c r="L53" s="15">
        <v>6</v>
      </c>
      <c r="N53" s="133">
        <v>4.54</v>
      </c>
      <c r="O53" s="15"/>
      <c r="P53" s="69">
        <f t="shared" si="2"/>
        <v>0</v>
      </c>
      <c r="Q53" s="195"/>
      <c r="R53" s="69">
        <f t="shared" si="11"/>
        <v>0</v>
      </c>
      <c r="S53" s="70"/>
      <c r="T53" s="71"/>
      <c r="U53" s="190">
        <f t="shared" si="8"/>
        <v>803.4800000000015</v>
      </c>
      <c r="V53" s="73">
        <f t="shared" si="9"/>
        <v>177</v>
      </c>
      <c r="W53" s="60">
        <f t="shared" si="5"/>
        <v>0</v>
      </c>
    </row>
    <row r="54" spans="1:23" x14ac:dyDescent="0.25">
      <c r="A54" s="714" t="s">
        <v>217</v>
      </c>
      <c r="B54" s="899">
        <v>4.54</v>
      </c>
      <c r="C54" s="1206">
        <v>30</v>
      </c>
      <c r="D54" s="1207">
        <f t="shared" si="0"/>
        <v>136.19999999999999</v>
      </c>
      <c r="E54" s="983">
        <v>44898</v>
      </c>
      <c r="F54" s="984">
        <f t="shared" si="10"/>
        <v>136.19999999999999</v>
      </c>
      <c r="G54" s="985" t="s">
        <v>608</v>
      </c>
      <c r="H54" s="986">
        <v>50</v>
      </c>
      <c r="I54" s="995">
        <f t="shared" si="6"/>
        <v>744.56000000000176</v>
      </c>
      <c r="J54" s="996">
        <f t="shared" si="7"/>
        <v>164</v>
      </c>
      <c r="K54" s="60">
        <f t="shared" si="4"/>
        <v>6809.9999999999991</v>
      </c>
      <c r="L54" s="811">
        <v>30</v>
      </c>
      <c r="M54" s="714"/>
      <c r="N54" s="899">
        <v>4.54</v>
      </c>
      <c r="O54" s="811"/>
      <c r="P54" s="697">
        <f t="shared" si="2"/>
        <v>0</v>
      </c>
      <c r="Q54" s="848"/>
      <c r="R54" s="697">
        <f t="shared" si="11"/>
        <v>0</v>
      </c>
      <c r="S54" s="695"/>
      <c r="T54" s="696"/>
      <c r="U54" s="190">
        <f t="shared" si="8"/>
        <v>803.4800000000015</v>
      </c>
      <c r="V54" s="73">
        <f t="shared" si="9"/>
        <v>177</v>
      </c>
      <c r="W54" s="60">
        <f t="shared" si="5"/>
        <v>0</v>
      </c>
    </row>
    <row r="55" spans="1:23" x14ac:dyDescent="0.25">
      <c r="A55" s="729"/>
      <c r="B55" s="899">
        <v>4.54</v>
      </c>
      <c r="C55" s="1206">
        <v>10</v>
      </c>
      <c r="D55" s="1207">
        <f t="shared" si="0"/>
        <v>45.4</v>
      </c>
      <c r="E55" s="983">
        <v>44900</v>
      </c>
      <c r="F55" s="984">
        <f t="shared" si="10"/>
        <v>45.4</v>
      </c>
      <c r="G55" s="985" t="s">
        <v>610</v>
      </c>
      <c r="H55" s="986">
        <v>50</v>
      </c>
      <c r="I55" s="995">
        <f t="shared" si="6"/>
        <v>699.16000000000179</v>
      </c>
      <c r="J55" s="996">
        <f t="shared" si="7"/>
        <v>154</v>
      </c>
      <c r="K55" s="60">
        <f t="shared" si="4"/>
        <v>2270</v>
      </c>
      <c r="L55" s="811">
        <v>10</v>
      </c>
      <c r="M55" s="729"/>
      <c r="N55" s="899">
        <v>4.54</v>
      </c>
      <c r="O55" s="811"/>
      <c r="P55" s="697">
        <f t="shared" si="2"/>
        <v>0</v>
      </c>
      <c r="Q55" s="848"/>
      <c r="R55" s="697">
        <f t="shared" si="11"/>
        <v>0</v>
      </c>
      <c r="S55" s="695"/>
      <c r="T55" s="696"/>
      <c r="U55" s="190">
        <f t="shared" si="8"/>
        <v>803.4800000000015</v>
      </c>
      <c r="V55" s="73">
        <f t="shared" si="9"/>
        <v>177</v>
      </c>
      <c r="W55" s="60">
        <f t="shared" si="5"/>
        <v>0</v>
      </c>
    </row>
    <row r="56" spans="1:23" x14ac:dyDescent="0.25">
      <c r="B56" s="133">
        <v>4.54</v>
      </c>
      <c r="C56" s="1206">
        <v>30</v>
      </c>
      <c r="D56" s="1207">
        <f t="shared" si="0"/>
        <v>136.19999999999999</v>
      </c>
      <c r="E56" s="738">
        <v>44900</v>
      </c>
      <c r="F56" s="534">
        <f t="shared" si="10"/>
        <v>136.19999999999999</v>
      </c>
      <c r="G56" s="329" t="s">
        <v>615</v>
      </c>
      <c r="H56" s="330">
        <v>50</v>
      </c>
      <c r="I56" s="994">
        <f t="shared" si="6"/>
        <v>562.96000000000186</v>
      </c>
      <c r="J56" s="747">
        <f t="shared" si="7"/>
        <v>124</v>
      </c>
      <c r="K56" s="60">
        <f t="shared" si="4"/>
        <v>6809.9999999999991</v>
      </c>
      <c r="L56" s="15">
        <v>30</v>
      </c>
      <c r="N56" s="133">
        <v>4.54</v>
      </c>
      <c r="O56" s="15"/>
      <c r="P56" s="69">
        <f t="shared" si="2"/>
        <v>0</v>
      </c>
      <c r="Q56" s="195"/>
      <c r="R56" s="69">
        <f t="shared" si="11"/>
        <v>0</v>
      </c>
      <c r="S56" s="70"/>
      <c r="T56" s="71"/>
      <c r="U56" s="190">
        <f t="shared" si="8"/>
        <v>803.4800000000015</v>
      </c>
      <c r="V56" s="73">
        <f t="shared" si="9"/>
        <v>177</v>
      </c>
      <c r="W56" s="60">
        <f t="shared" si="5"/>
        <v>0</v>
      </c>
    </row>
    <row r="57" spans="1:23" x14ac:dyDescent="0.25">
      <c r="B57" s="133">
        <v>4.54</v>
      </c>
      <c r="C57" s="1206">
        <v>10</v>
      </c>
      <c r="D57" s="1207">
        <f t="shared" si="0"/>
        <v>45.4</v>
      </c>
      <c r="E57" s="738">
        <v>44901</v>
      </c>
      <c r="F57" s="534">
        <f t="shared" si="10"/>
        <v>45.4</v>
      </c>
      <c r="G57" s="329" t="s">
        <v>621</v>
      </c>
      <c r="H57" s="330">
        <v>50</v>
      </c>
      <c r="I57" s="994">
        <f t="shared" si="6"/>
        <v>517.56000000000188</v>
      </c>
      <c r="J57" s="747">
        <f t="shared" si="7"/>
        <v>114</v>
      </c>
      <c r="K57" s="60">
        <f t="shared" si="4"/>
        <v>2270</v>
      </c>
      <c r="L57" s="15">
        <v>10</v>
      </c>
      <c r="N57" s="133">
        <v>4.54</v>
      </c>
      <c r="O57" s="15"/>
      <c r="P57" s="69">
        <f t="shared" si="2"/>
        <v>0</v>
      </c>
      <c r="Q57" s="195"/>
      <c r="R57" s="69">
        <f t="shared" si="11"/>
        <v>0</v>
      </c>
      <c r="S57" s="70"/>
      <c r="T57" s="71"/>
      <c r="U57" s="190">
        <f t="shared" si="8"/>
        <v>803.4800000000015</v>
      </c>
      <c r="V57" s="73">
        <f t="shared" si="9"/>
        <v>177</v>
      </c>
      <c r="W57" s="60">
        <f t="shared" si="5"/>
        <v>0</v>
      </c>
    </row>
    <row r="58" spans="1:23" x14ac:dyDescent="0.25">
      <c r="B58" s="133">
        <v>4.54</v>
      </c>
      <c r="C58" s="1206">
        <v>30</v>
      </c>
      <c r="D58" s="1207">
        <f t="shared" si="0"/>
        <v>136.19999999999999</v>
      </c>
      <c r="E58" s="738">
        <v>44901</v>
      </c>
      <c r="F58" s="534">
        <f t="shared" si="10"/>
        <v>136.19999999999999</v>
      </c>
      <c r="G58" s="329" t="s">
        <v>625</v>
      </c>
      <c r="H58" s="330">
        <v>50</v>
      </c>
      <c r="I58" s="994">
        <f t="shared" si="6"/>
        <v>381.36000000000189</v>
      </c>
      <c r="J58" s="747">
        <f t="shared" si="7"/>
        <v>84</v>
      </c>
      <c r="K58" s="60">
        <f t="shared" si="4"/>
        <v>6809.9999999999991</v>
      </c>
      <c r="L58" s="15">
        <v>30</v>
      </c>
      <c r="N58" s="133">
        <v>4.54</v>
      </c>
      <c r="O58" s="15"/>
      <c r="P58" s="69">
        <f t="shared" si="2"/>
        <v>0</v>
      </c>
      <c r="Q58" s="195"/>
      <c r="R58" s="69">
        <f t="shared" si="11"/>
        <v>0</v>
      </c>
      <c r="S58" s="70"/>
      <c r="T58" s="71"/>
      <c r="U58" s="190">
        <f t="shared" si="8"/>
        <v>803.4800000000015</v>
      </c>
      <c r="V58" s="73">
        <f t="shared" si="9"/>
        <v>177</v>
      </c>
      <c r="W58" s="60">
        <f t="shared" si="5"/>
        <v>0</v>
      </c>
    </row>
    <row r="59" spans="1:23" x14ac:dyDescent="0.25">
      <c r="B59" s="133">
        <v>4.54</v>
      </c>
      <c r="C59" s="1206">
        <v>1</v>
      </c>
      <c r="D59" s="1207">
        <f t="shared" si="0"/>
        <v>4.54</v>
      </c>
      <c r="E59" s="738">
        <v>44902</v>
      </c>
      <c r="F59" s="534">
        <f t="shared" si="10"/>
        <v>4.54</v>
      </c>
      <c r="G59" s="329" t="s">
        <v>629</v>
      </c>
      <c r="H59" s="330">
        <v>50</v>
      </c>
      <c r="I59" s="994">
        <f t="shared" si="6"/>
        <v>376.82000000000187</v>
      </c>
      <c r="J59" s="747">
        <f t="shared" si="7"/>
        <v>83</v>
      </c>
      <c r="K59" s="60">
        <f t="shared" si="4"/>
        <v>227</v>
      </c>
      <c r="L59" s="15">
        <v>1</v>
      </c>
      <c r="N59" s="133">
        <v>4.54</v>
      </c>
      <c r="O59" s="15"/>
      <c r="P59" s="69">
        <f t="shared" si="2"/>
        <v>0</v>
      </c>
      <c r="Q59" s="195"/>
      <c r="R59" s="69">
        <f t="shared" si="11"/>
        <v>0</v>
      </c>
      <c r="S59" s="70"/>
      <c r="T59" s="71"/>
      <c r="U59" s="190">
        <f t="shared" si="8"/>
        <v>803.4800000000015</v>
      </c>
      <c r="V59" s="73">
        <f t="shared" si="9"/>
        <v>177</v>
      </c>
      <c r="W59" s="60">
        <f t="shared" si="5"/>
        <v>0</v>
      </c>
    </row>
    <row r="60" spans="1:23" x14ac:dyDescent="0.25">
      <c r="B60" s="133">
        <v>4.54</v>
      </c>
      <c r="C60" s="1206">
        <v>30</v>
      </c>
      <c r="D60" s="1207">
        <f t="shared" si="0"/>
        <v>136.19999999999999</v>
      </c>
      <c r="E60" s="738">
        <v>44902</v>
      </c>
      <c r="F60" s="534">
        <f t="shared" si="10"/>
        <v>136.19999999999999</v>
      </c>
      <c r="G60" s="329" t="s">
        <v>631</v>
      </c>
      <c r="H60" s="330">
        <v>50</v>
      </c>
      <c r="I60" s="994">
        <f t="shared" si="6"/>
        <v>240.62000000000188</v>
      </c>
      <c r="J60" s="747">
        <f t="shared" si="7"/>
        <v>53</v>
      </c>
      <c r="K60" s="60">
        <f t="shared" si="4"/>
        <v>6809.9999999999991</v>
      </c>
      <c r="L60" s="15">
        <v>30</v>
      </c>
      <c r="N60" s="133">
        <v>4.54</v>
      </c>
      <c r="O60" s="15"/>
      <c r="P60" s="69">
        <f t="shared" si="2"/>
        <v>0</v>
      </c>
      <c r="Q60" s="195"/>
      <c r="R60" s="69">
        <f t="shared" si="11"/>
        <v>0</v>
      </c>
      <c r="S60" s="70"/>
      <c r="T60" s="71"/>
      <c r="U60" s="190">
        <f t="shared" si="8"/>
        <v>803.4800000000015</v>
      </c>
      <c r="V60" s="73">
        <f t="shared" si="9"/>
        <v>177</v>
      </c>
      <c r="W60" s="60">
        <f t="shared" si="5"/>
        <v>0</v>
      </c>
    </row>
    <row r="61" spans="1:23" x14ac:dyDescent="0.25">
      <c r="B61" s="133">
        <v>4.54</v>
      </c>
      <c r="C61" s="1206">
        <v>10</v>
      </c>
      <c r="D61" s="1207">
        <f t="shared" si="0"/>
        <v>45.4</v>
      </c>
      <c r="E61" s="738">
        <v>44903</v>
      </c>
      <c r="F61" s="534">
        <f t="shared" si="10"/>
        <v>45.4</v>
      </c>
      <c r="G61" s="329" t="s">
        <v>641</v>
      </c>
      <c r="H61" s="330">
        <v>50</v>
      </c>
      <c r="I61" s="994">
        <f t="shared" si="6"/>
        <v>195.22000000000187</v>
      </c>
      <c r="J61" s="747">
        <f t="shared" si="7"/>
        <v>43</v>
      </c>
      <c r="K61" s="60">
        <f t="shared" si="4"/>
        <v>2270</v>
      </c>
      <c r="L61" s="15">
        <v>10</v>
      </c>
      <c r="N61" s="133">
        <v>4.54</v>
      </c>
      <c r="O61" s="15"/>
      <c r="P61" s="69">
        <f t="shared" si="2"/>
        <v>0</v>
      </c>
      <c r="Q61" s="195"/>
      <c r="R61" s="69">
        <f t="shared" si="11"/>
        <v>0</v>
      </c>
      <c r="S61" s="70"/>
      <c r="T61" s="71"/>
      <c r="U61" s="190">
        <f t="shared" si="8"/>
        <v>803.4800000000015</v>
      </c>
      <c r="V61" s="73">
        <f t="shared" si="9"/>
        <v>177</v>
      </c>
      <c r="W61" s="60">
        <f t="shared" si="5"/>
        <v>0</v>
      </c>
    </row>
    <row r="62" spans="1:23" x14ac:dyDescent="0.25">
      <c r="B62" s="133">
        <v>4.54</v>
      </c>
      <c r="C62" s="1206">
        <v>8</v>
      </c>
      <c r="D62" s="1207">
        <f t="shared" si="0"/>
        <v>36.32</v>
      </c>
      <c r="E62" s="738">
        <v>44904</v>
      </c>
      <c r="F62" s="534">
        <f t="shared" si="10"/>
        <v>36.32</v>
      </c>
      <c r="G62" s="329" t="s">
        <v>653</v>
      </c>
      <c r="H62" s="330">
        <v>50</v>
      </c>
      <c r="I62" s="994">
        <f t="shared" si="6"/>
        <v>158.90000000000188</v>
      </c>
      <c r="J62" s="747">
        <f t="shared" si="7"/>
        <v>35</v>
      </c>
      <c r="K62" s="60">
        <f t="shared" si="4"/>
        <v>1816</v>
      </c>
      <c r="L62" s="15">
        <v>8</v>
      </c>
      <c r="N62" s="133">
        <v>4.54</v>
      </c>
      <c r="O62" s="15"/>
      <c r="P62" s="69">
        <f t="shared" si="2"/>
        <v>0</v>
      </c>
      <c r="Q62" s="195"/>
      <c r="R62" s="69">
        <f t="shared" si="11"/>
        <v>0</v>
      </c>
      <c r="S62" s="70"/>
      <c r="T62" s="71"/>
      <c r="U62" s="190">
        <f t="shared" si="8"/>
        <v>803.4800000000015</v>
      </c>
      <c r="V62" s="73">
        <f t="shared" si="9"/>
        <v>177</v>
      </c>
      <c r="W62" s="60">
        <f t="shared" si="5"/>
        <v>0</v>
      </c>
    </row>
    <row r="63" spans="1:23" x14ac:dyDescent="0.25">
      <c r="B63" s="133">
        <v>4.54</v>
      </c>
      <c r="C63" s="1206">
        <v>30</v>
      </c>
      <c r="D63" s="1207">
        <f t="shared" si="0"/>
        <v>136.19999999999999</v>
      </c>
      <c r="E63" s="738">
        <v>44904</v>
      </c>
      <c r="F63" s="534">
        <f t="shared" si="10"/>
        <v>136.19999999999999</v>
      </c>
      <c r="G63" s="329" t="s">
        <v>654</v>
      </c>
      <c r="H63" s="330">
        <v>50</v>
      </c>
      <c r="I63" s="994">
        <f t="shared" si="6"/>
        <v>22.700000000001893</v>
      </c>
      <c r="J63" s="747">
        <f t="shared" si="7"/>
        <v>5</v>
      </c>
      <c r="K63" s="60">
        <f t="shared" si="4"/>
        <v>6809.9999999999991</v>
      </c>
      <c r="L63" s="15">
        <v>30</v>
      </c>
      <c r="N63" s="133">
        <v>4.54</v>
      </c>
      <c r="O63" s="15"/>
      <c r="P63" s="69">
        <f t="shared" si="2"/>
        <v>0</v>
      </c>
      <c r="Q63" s="195"/>
      <c r="R63" s="69">
        <f t="shared" si="11"/>
        <v>0</v>
      </c>
      <c r="S63" s="70"/>
      <c r="T63" s="71"/>
      <c r="U63" s="190">
        <f t="shared" si="8"/>
        <v>803.4800000000015</v>
      </c>
      <c r="V63" s="73">
        <f t="shared" si="9"/>
        <v>177</v>
      </c>
      <c r="W63" s="60">
        <f t="shared" si="5"/>
        <v>0</v>
      </c>
    </row>
    <row r="64" spans="1:23" x14ac:dyDescent="0.25">
      <c r="B64" s="133">
        <v>4.54</v>
      </c>
      <c r="C64" s="15"/>
      <c r="D64" s="534">
        <f t="shared" si="0"/>
        <v>0</v>
      </c>
      <c r="E64" s="738"/>
      <c r="F64" s="534">
        <f t="shared" si="10"/>
        <v>0</v>
      </c>
      <c r="G64" s="329"/>
      <c r="H64" s="330"/>
      <c r="I64" s="994">
        <f t="shared" si="6"/>
        <v>22.700000000001893</v>
      </c>
      <c r="J64" s="747">
        <f t="shared" si="7"/>
        <v>5</v>
      </c>
      <c r="K64" s="60">
        <f t="shared" si="4"/>
        <v>0</v>
      </c>
      <c r="L64" s="15">
        <v>0</v>
      </c>
      <c r="N64" s="133">
        <v>4.54</v>
      </c>
      <c r="O64" s="15"/>
      <c r="P64" s="69">
        <f t="shared" si="2"/>
        <v>0</v>
      </c>
      <c r="Q64" s="195"/>
      <c r="R64" s="69">
        <f t="shared" si="11"/>
        <v>0</v>
      </c>
      <c r="S64" s="70"/>
      <c r="T64" s="71"/>
      <c r="U64" s="190">
        <f t="shared" si="8"/>
        <v>803.4800000000015</v>
      </c>
      <c r="V64" s="73">
        <f t="shared" si="9"/>
        <v>177</v>
      </c>
      <c r="W64" s="60">
        <f t="shared" si="5"/>
        <v>0</v>
      </c>
    </row>
    <row r="65" spans="2:23" x14ac:dyDescent="0.25">
      <c r="B65" s="133">
        <v>4.54</v>
      </c>
      <c r="C65" s="15"/>
      <c r="D65" s="534">
        <f t="shared" si="0"/>
        <v>0</v>
      </c>
      <c r="E65" s="738"/>
      <c r="F65" s="534">
        <f t="shared" si="10"/>
        <v>0</v>
      </c>
      <c r="G65" s="329"/>
      <c r="H65" s="330"/>
      <c r="I65" s="994">
        <f t="shared" si="6"/>
        <v>22.700000000001893</v>
      </c>
      <c r="J65" s="747">
        <f t="shared" si="7"/>
        <v>5</v>
      </c>
      <c r="K65" s="60">
        <f t="shared" si="4"/>
        <v>0</v>
      </c>
      <c r="L65">
        <f>SUM(L43:L64)</f>
        <v>333</v>
      </c>
      <c r="N65" s="133">
        <v>4.54</v>
      </c>
      <c r="O65" s="15"/>
      <c r="P65" s="69">
        <f t="shared" si="2"/>
        <v>0</v>
      </c>
      <c r="Q65" s="195"/>
      <c r="R65" s="69">
        <f t="shared" si="11"/>
        <v>0</v>
      </c>
      <c r="S65" s="70"/>
      <c r="T65" s="71"/>
      <c r="U65" s="190">
        <f t="shared" si="8"/>
        <v>803.4800000000015</v>
      </c>
      <c r="V65" s="73">
        <f t="shared" si="9"/>
        <v>177</v>
      </c>
      <c r="W65" s="60">
        <f t="shared" si="5"/>
        <v>0</v>
      </c>
    </row>
    <row r="66" spans="2:23" x14ac:dyDescent="0.25">
      <c r="B66" s="133">
        <v>4.54</v>
      </c>
      <c r="C66" s="15">
        <v>5</v>
      </c>
      <c r="D66" s="534">
        <f t="shared" si="0"/>
        <v>22.7</v>
      </c>
      <c r="E66" s="738"/>
      <c r="F66" s="534">
        <f t="shared" si="10"/>
        <v>22.7</v>
      </c>
      <c r="G66" s="1161"/>
      <c r="H66" s="1162"/>
      <c r="I66" s="1180">
        <f t="shared" si="6"/>
        <v>1.893596390800667E-12</v>
      </c>
      <c r="J66" s="1181">
        <f t="shared" si="7"/>
        <v>0</v>
      </c>
      <c r="K66" s="1182">
        <f t="shared" si="4"/>
        <v>0</v>
      </c>
      <c r="N66" s="133">
        <v>4.54</v>
      </c>
      <c r="O66" s="15"/>
      <c r="P66" s="534">
        <f t="shared" si="2"/>
        <v>0</v>
      </c>
      <c r="Q66" s="738"/>
      <c r="R66" s="534">
        <f t="shared" si="11"/>
        <v>0</v>
      </c>
      <c r="S66" s="329"/>
      <c r="T66" s="330"/>
      <c r="U66" s="190">
        <f t="shared" si="8"/>
        <v>803.4800000000015</v>
      </c>
      <c r="V66" s="73">
        <f t="shared" si="9"/>
        <v>177</v>
      </c>
      <c r="W66" s="60">
        <f t="shared" si="5"/>
        <v>0</v>
      </c>
    </row>
    <row r="67" spans="2:23" x14ac:dyDescent="0.25">
      <c r="B67" s="133">
        <v>4.54</v>
      </c>
      <c r="C67" s="15"/>
      <c r="D67" s="534">
        <f t="shared" si="0"/>
        <v>0</v>
      </c>
      <c r="E67" s="738"/>
      <c r="F67" s="534">
        <f t="shared" si="10"/>
        <v>0</v>
      </c>
      <c r="G67" s="1161"/>
      <c r="H67" s="1162"/>
      <c r="I67" s="1180">
        <f t="shared" si="6"/>
        <v>1.893596390800667E-12</v>
      </c>
      <c r="J67" s="1181">
        <f t="shared" si="7"/>
        <v>0</v>
      </c>
      <c r="K67" s="1182">
        <f t="shared" si="4"/>
        <v>0</v>
      </c>
      <c r="N67" s="133">
        <v>4.54</v>
      </c>
      <c r="O67" s="15"/>
      <c r="P67" s="534">
        <f t="shared" si="2"/>
        <v>0</v>
      </c>
      <c r="Q67" s="738"/>
      <c r="R67" s="534">
        <f t="shared" si="11"/>
        <v>0</v>
      </c>
      <c r="S67" s="329"/>
      <c r="T67" s="330"/>
      <c r="U67" s="190">
        <f t="shared" si="8"/>
        <v>803.4800000000015</v>
      </c>
      <c r="V67" s="73">
        <f t="shared" si="9"/>
        <v>177</v>
      </c>
      <c r="W67" s="60">
        <f t="shared" si="5"/>
        <v>0</v>
      </c>
    </row>
    <row r="68" spans="2:23" x14ac:dyDescent="0.25">
      <c r="B68" s="133">
        <v>4.54</v>
      </c>
      <c r="C68" s="15"/>
      <c r="D68" s="534">
        <f t="shared" si="0"/>
        <v>0</v>
      </c>
      <c r="E68" s="738"/>
      <c r="F68" s="534">
        <f t="shared" si="10"/>
        <v>0</v>
      </c>
      <c r="G68" s="1161"/>
      <c r="H68" s="1162"/>
      <c r="I68" s="1180">
        <f t="shared" si="6"/>
        <v>1.893596390800667E-12</v>
      </c>
      <c r="J68" s="1181">
        <f t="shared" si="7"/>
        <v>0</v>
      </c>
      <c r="K68" s="1182">
        <f t="shared" si="4"/>
        <v>0</v>
      </c>
      <c r="N68" s="133">
        <v>4.54</v>
      </c>
      <c r="O68" s="15"/>
      <c r="P68" s="534">
        <f t="shared" si="2"/>
        <v>0</v>
      </c>
      <c r="Q68" s="738"/>
      <c r="R68" s="534">
        <f t="shared" si="11"/>
        <v>0</v>
      </c>
      <c r="S68" s="329"/>
      <c r="T68" s="330"/>
      <c r="U68" s="190">
        <f t="shared" si="8"/>
        <v>803.4800000000015</v>
      </c>
      <c r="V68" s="73">
        <f t="shared" si="9"/>
        <v>177</v>
      </c>
      <c r="W68" s="60">
        <f t="shared" si="5"/>
        <v>0</v>
      </c>
    </row>
    <row r="69" spans="2:23" x14ac:dyDescent="0.25">
      <c r="B69" s="133">
        <v>4.54</v>
      </c>
      <c r="C69" s="15"/>
      <c r="D69" s="534">
        <f t="shared" si="0"/>
        <v>0</v>
      </c>
      <c r="E69" s="738"/>
      <c r="F69" s="534">
        <f t="shared" si="10"/>
        <v>0</v>
      </c>
      <c r="G69" s="1161"/>
      <c r="H69" s="1162"/>
      <c r="I69" s="1180">
        <f t="shared" si="6"/>
        <v>1.893596390800667E-12</v>
      </c>
      <c r="J69" s="1181">
        <f t="shared" si="7"/>
        <v>0</v>
      </c>
      <c r="K69" s="1182">
        <f t="shared" si="4"/>
        <v>0</v>
      </c>
      <c r="N69" s="133">
        <v>4.54</v>
      </c>
      <c r="O69" s="15"/>
      <c r="P69" s="534">
        <f t="shared" si="2"/>
        <v>0</v>
      </c>
      <c r="Q69" s="738"/>
      <c r="R69" s="534">
        <f t="shared" si="11"/>
        <v>0</v>
      </c>
      <c r="S69" s="329"/>
      <c r="T69" s="330"/>
      <c r="U69" s="190">
        <f t="shared" si="8"/>
        <v>803.4800000000015</v>
      </c>
      <c r="V69" s="73">
        <f t="shared" si="9"/>
        <v>177</v>
      </c>
      <c r="W69" s="60">
        <f t="shared" si="5"/>
        <v>0</v>
      </c>
    </row>
    <row r="70" spans="2:23" x14ac:dyDescent="0.25">
      <c r="B70" s="133">
        <v>4.54</v>
      </c>
      <c r="C70" s="15"/>
      <c r="D70" s="534">
        <f t="shared" si="0"/>
        <v>0</v>
      </c>
      <c r="E70" s="738"/>
      <c r="F70" s="534">
        <f t="shared" si="10"/>
        <v>0</v>
      </c>
      <c r="G70" s="1161"/>
      <c r="H70" s="1162"/>
      <c r="I70" s="1180">
        <f t="shared" si="6"/>
        <v>1.893596390800667E-12</v>
      </c>
      <c r="J70" s="1181">
        <f t="shared" si="7"/>
        <v>0</v>
      </c>
      <c r="K70" s="1182">
        <f t="shared" si="4"/>
        <v>0</v>
      </c>
      <c r="N70" s="133">
        <v>4.54</v>
      </c>
      <c r="O70" s="15"/>
      <c r="P70" s="534">
        <f t="shared" si="2"/>
        <v>0</v>
      </c>
      <c r="Q70" s="738"/>
      <c r="R70" s="534">
        <f t="shared" si="11"/>
        <v>0</v>
      </c>
      <c r="S70" s="329"/>
      <c r="T70" s="330"/>
      <c r="U70" s="190">
        <f t="shared" si="8"/>
        <v>803.4800000000015</v>
      </c>
      <c r="V70" s="73">
        <f t="shared" si="9"/>
        <v>177</v>
      </c>
      <c r="W70" s="60">
        <f t="shared" si="5"/>
        <v>0</v>
      </c>
    </row>
    <row r="71" spans="2:23" x14ac:dyDescent="0.25">
      <c r="B71" s="133">
        <v>4.54</v>
      </c>
      <c r="C71" s="15"/>
      <c r="D71" s="534">
        <f t="shared" si="0"/>
        <v>0</v>
      </c>
      <c r="E71" s="738"/>
      <c r="F71" s="534">
        <f t="shared" si="10"/>
        <v>0</v>
      </c>
      <c r="G71" s="329"/>
      <c r="H71" s="330"/>
      <c r="I71" s="994">
        <f t="shared" si="6"/>
        <v>1.893596390800667E-12</v>
      </c>
      <c r="J71" s="747">
        <f t="shared" si="7"/>
        <v>0</v>
      </c>
      <c r="K71" s="60">
        <f t="shared" si="4"/>
        <v>0</v>
      </c>
      <c r="N71" s="133">
        <v>4.54</v>
      </c>
      <c r="O71" s="15"/>
      <c r="P71" s="534">
        <f t="shared" si="2"/>
        <v>0</v>
      </c>
      <c r="Q71" s="738"/>
      <c r="R71" s="534">
        <f t="shared" si="11"/>
        <v>0</v>
      </c>
      <c r="S71" s="329"/>
      <c r="T71" s="330"/>
      <c r="U71" s="190">
        <f t="shared" si="8"/>
        <v>803.4800000000015</v>
      </c>
      <c r="V71" s="73">
        <f t="shared" si="9"/>
        <v>177</v>
      </c>
      <c r="W71" s="60">
        <f t="shared" si="5"/>
        <v>0</v>
      </c>
    </row>
    <row r="72" spans="2:23" x14ac:dyDescent="0.25">
      <c r="B72" s="133">
        <v>4.54</v>
      </c>
      <c r="C72" s="15"/>
      <c r="D72" s="534">
        <f t="shared" si="0"/>
        <v>0</v>
      </c>
      <c r="E72" s="738"/>
      <c r="F72" s="534">
        <f t="shared" si="10"/>
        <v>0</v>
      </c>
      <c r="G72" s="329"/>
      <c r="H72" s="330"/>
      <c r="I72" s="994">
        <f t="shared" si="6"/>
        <v>1.893596390800667E-12</v>
      </c>
      <c r="J72" s="747">
        <f t="shared" si="7"/>
        <v>0</v>
      </c>
      <c r="K72" s="60">
        <f t="shared" si="4"/>
        <v>0</v>
      </c>
      <c r="N72" s="133">
        <v>4.54</v>
      </c>
      <c r="O72" s="15"/>
      <c r="P72" s="534">
        <f t="shared" si="2"/>
        <v>0</v>
      </c>
      <c r="Q72" s="738"/>
      <c r="R72" s="534">
        <f t="shared" si="11"/>
        <v>0</v>
      </c>
      <c r="S72" s="329"/>
      <c r="T72" s="330"/>
      <c r="U72" s="190">
        <f t="shared" si="8"/>
        <v>803.4800000000015</v>
      </c>
      <c r="V72" s="73">
        <f t="shared" si="9"/>
        <v>177</v>
      </c>
      <c r="W72" s="60">
        <f t="shared" si="5"/>
        <v>0</v>
      </c>
    </row>
    <row r="73" spans="2:23" x14ac:dyDescent="0.25">
      <c r="B73" s="133">
        <v>4.54</v>
      </c>
      <c r="C73" s="15"/>
      <c r="D73" s="534">
        <f t="shared" ref="D73:D108" si="12">C73*B73</f>
        <v>0</v>
      </c>
      <c r="E73" s="738"/>
      <c r="F73" s="534">
        <f t="shared" si="10"/>
        <v>0</v>
      </c>
      <c r="G73" s="329"/>
      <c r="H73" s="330"/>
      <c r="I73" s="994">
        <f t="shared" si="6"/>
        <v>1.893596390800667E-12</v>
      </c>
      <c r="J73" s="747">
        <f t="shared" si="7"/>
        <v>0</v>
      </c>
      <c r="K73" s="60">
        <f t="shared" si="4"/>
        <v>0</v>
      </c>
      <c r="N73" s="133">
        <v>4.54</v>
      </c>
      <c r="O73" s="15"/>
      <c r="P73" s="534">
        <f t="shared" ref="P73:P108" si="13">O73*N73</f>
        <v>0</v>
      </c>
      <c r="Q73" s="738"/>
      <c r="R73" s="534">
        <f t="shared" si="11"/>
        <v>0</v>
      </c>
      <c r="S73" s="329"/>
      <c r="T73" s="330"/>
      <c r="U73" s="190">
        <f t="shared" si="8"/>
        <v>803.4800000000015</v>
      </c>
      <c r="V73" s="73">
        <f t="shared" si="9"/>
        <v>177</v>
      </c>
      <c r="W73" s="60">
        <f t="shared" si="5"/>
        <v>0</v>
      </c>
    </row>
    <row r="74" spans="2:23" x14ac:dyDescent="0.25">
      <c r="B74" s="133">
        <v>4.54</v>
      </c>
      <c r="C74" s="15"/>
      <c r="D74" s="534">
        <f t="shared" si="12"/>
        <v>0</v>
      </c>
      <c r="E74" s="738"/>
      <c r="F74" s="534">
        <f t="shared" si="10"/>
        <v>0</v>
      </c>
      <c r="G74" s="329"/>
      <c r="H74" s="330"/>
      <c r="I74" s="994">
        <f t="shared" si="6"/>
        <v>1.893596390800667E-12</v>
      </c>
      <c r="J74" s="747">
        <f t="shared" si="7"/>
        <v>0</v>
      </c>
      <c r="K74" s="60">
        <f t="shared" si="4"/>
        <v>0</v>
      </c>
      <c r="N74" s="133">
        <v>4.54</v>
      </c>
      <c r="O74" s="15"/>
      <c r="P74" s="534">
        <f t="shared" si="13"/>
        <v>0</v>
      </c>
      <c r="Q74" s="738"/>
      <c r="R74" s="534">
        <f t="shared" si="11"/>
        <v>0</v>
      </c>
      <c r="S74" s="329"/>
      <c r="T74" s="330"/>
      <c r="U74" s="190">
        <f t="shared" si="8"/>
        <v>803.4800000000015</v>
      </c>
      <c r="V74" s="73">
        <f t="shared" si="9"/>
        <v>177</v>
      </c>
      <c r="W74" s="60">
        <f t="shared" si="5"/>
        <v>0</v>
      </c>
    </row>
    <row r="75" spans="2:23" x14ac:dyDescent="0.25">
      <c r="B75" s="133">
        <v>4.54</v>
      </c>
      <c r="C75" s="15"/>
      <c r="D75" s="534">
        <f t="shared" si="12"/>
        <v>0</v>
      </c>
      <c r="E75" s="738"/>
      <c r="F75" s="534">
        <f t="shared" si="10"/>
        <v>0</v>
      </c>
      <c r="G75" s="329"/>
      <c r="H75" s="330"/>
      <c r="I75" s="994">
        <f t="shared" ref="I75:I107" si="14">I74-F75</f>
        <v>1.893596390800667E-12</v>
      </c>
      <c r="J75" s="747">
        <f t="shared" ref="J75:J106" si="15">J74-C75</f>
        <v>0</v>
      </c>
      <c r="K75" s="60">
        <f t="shared" si="4"/>
        <v>0</v>
      </c>
      <c r="N75" s="133">
        <v>4.54</v>
      </c>
      <c r="O75" s="15"/>
      <c r="P75" s="534">
        <f t="shared" si="13"/>
        <v>0</v>
      </c>
      <c r="Q75" s="738"/>
      <c r="R75" s="534">
        <f t="shared" si="11"/>
        <v>0</v>
      </c>
      <c r="S75" s="329"/>
      <c r="T75" s="330"/>
      <c r="U75" s="190">
        <f t="shared" ref="U75:U107" si="16">U74-R75</f>
        <v>803.4800000000015</v>
      </c>
      <c r="V75" s="73">
        <f t="shared" ref="V75:V107" si="17">V74-O75</f>
        <v>177</v>
      </c>
      <c r="W75" s="60">
        <f t="shared" si="5"/>
        <v>0</v>
      </c>
    </row>
    <row r="76" spans="2:23" x14ac:dyDescent="0.25">
      <c r="B76" s="133">
        <v>4.54</v>
      </c>
      <c r="C76" s="15"/>
      <c r="D76" s="534">
        <f t="shared" si="12"/>
        <v>0</v>
      </c>
      <c r="E76" s="738"/>
      <c r="F76" s="534">
        <f t="shared" si="10"/>
        <v>0</v>
      </c>
      <c r="G76" s="329"/>
      <c r="H76" s="330"/>
      <c r="I76" s="994">
        <f t="shared" si="14"/>
        <v>1.893596390800667E-12</v>
      </c>
      <c r="J76" s="747">
        <f t="shared" si="15"/>
        <v>0</v>
      </c>
      <c r="K76" s="60">
        <f t="shared" si="4"/>
        <v>0</v>
      </c>
      <c r="N76" s="133">
        <v>4.54</v>
      </c>
      <c r="O76" s="15"/>
      <c r="P76" s="534">
        <f t="shared" si="13"/>
        <v>0</v>
      </c>
      <c r="Q76" s="738"/>
      <c r="R76" s="534">
        <f t="shared" si="11"/>
        <v>0</v>
      </c>
      <c r="S76" s="329"/>
      <c r="T76" s="330"/>
      <c r="U76" s="190">
        <f t="shared" si="16"/>
        <v>803.4800000000015</v>
      </c>
      <c r="V76" s="73">
        <f t="shared" si="17"/>
        <v>177</v>
      </c>
      <c r="W76" s="60">
        <f t="shared" si="5"/>
        <v>0</v>
      </c>
    </row>
    <row r="77" spans="2:23" x14ac:dyDescent="0.25">
      <c r="B77" s="133">
        <v>4.54</v>
      </c>
      <c r="C77" s="15"/>
      <c r="D77" s="534">
        <f t="shared" si="12"/>
        <v>0</v>
      </c>
      <c r="E77" s="738"/>
      <c r="F77" s="534">
        <f t="shared" si="10"/>
        <v>0</v>
      </c>
      <c r="G77" s="329"/>
      <c r="H77" s="330"/>
      <c r="I77" s="994">
        <f t="shared" si="14"/>
        <v>1.893596390800667E-12</v>
      </c>
      <c r="J77" s="747">
        <f t="shared" si="15"/>
        <v>0</v>
      </c>
      <c r="K77" s="60">
        <f t="shared" si="4"/>
        <v>0</v>
      </c>
      <c r="N77" s="133">
        <v>4.54</v>
      </c>
      <c r="O77" s="15"/>
      <c r="P77" s="534">
        <f t="shared" si="13"/>
        <v>0</v>
      </c>
      <c r="Q77" s="738"/>
      <c r="R77" s="534">
        <f t="shared" si="11"/>
        <v>0</v>
      </c>
      <c r="S77" s="329"/>
      <c r="T77" s="330"/>
      <c r="U77" s="190">
        <f t="shared" si="16"/>
        <v>803.4800000000015</v>
      </c>
      <c r="V77" s="73">
        <f t="shared" si="17"/>
        <v>177</v>
      </c>
      <c r="W77" s="60">
        <f t="shared" si="5"/>
        <v>0</v>
      </c>
    </row>
    <row r="78" spans="2:23" x14ac:dyDescent="0.25">
      <c r="B78" s="133">
        <v>4.54</v>
      </c>
      <c r="C78" s="15"/>
      <c r="D78" s="534">
        <f t="shared" si="12"/>
        <v>0</v>
      </c>
      <c r="E78" s="738"/>
      <c r="F78" s="534">
        <f t="shared" si="10"/>
        <v>0</v>
      </c>
      <c r="G78" s="329"/>
      <c r="H78" s="330"/>
      <c r="I78" s="994">
        <f t="shared" si="14"/>
        <v>1.893596390800667E-12</v>
      </c>
      <c r="J78" s="747">
        <f t="shared" si="15"/>
        <v>0</v>
      </c>
      <c r="K78" s="60">
        <f t="shared" si="4"/>
        <v>0</v>
      </c>
      <c r="N78" s="133">
        <v>4.54</v>
      </c>
      <c r="O78" s="15"/>
      <c r="P78" s="534">
        <f t="shared" si="13"/>
        <v>0</v>
      </c>
      <c r="Q78" s="738"/>
      <c r="R78" s="534">
        <f t="shared" si="11"/>
        <v>0</v>
      </c>
      <c r="S78" s="329"/>
      <c r="T78" s="330"/>
      <c r="U78" s="190">
        <f t="shared" si="16"/>
        <v>803.4800000000015</v>
      </c>
      <c r="V78" s="73">
        <f t="shared" si="17"/>
        <v>177</v>
      </c>
      <c r="W78" s="60">
        <f t="shared" si="5"/>
        <v>0</v>
      </c>
    </row>
    <row r="79" spans="2:23" x14ac:dyDescent="0.25">
      <c r="B79" s="133">
        <v>4.54</v>
      </c>
      <c r="C79" s="15"/>
      <c r="D79" s="534">
        <f t="shared" si="12"/>
        <v>0</v>
      </c>
      <c r="E79" s="738"/>
      <c r="F79" s="534">
        <f t="shared" si="10"/>
        <v>0</v>
      </c>
      <c r="G79" s="329"/>
      <c r="H79" s="330"/>
      <c r="I79" s="994">
        <f t="shared" si="14"/>
        <v>1.893596390800667E-12</v>
      </c>
      <c r="J79" s="747">
        <f t="shared" si="15"/>
        <v>0</v>
      </c>
      <c r="K79" s="60">
        <f t="shared" si="4"/>
        <v>0</v>
      </c>
      <c r="N79" s="133">
        <v>4.54</v>
      </c>
      <c r="O79" s="15"/>
      <c r="P79" s="534">
        <f t="shared" si="13"/>
        <v>0</v>
      </c>
      <c r="Q79" s="738"/>
      <c r="R79" s="534">
        <f t="shared" si="11"/>
        <v>0</v>
      </c>
      <c r="S79" s="329"/>
      <c r="T79" s="330"/>
      <c r="U79" s="190">
        <f t="shared" si="16"/>
        <v>803.4800000000015</v>
      </c>
      <c r="V79" s="73">
        <f t="shared" si="17"/>
        <v>177</v>
      </c>
      <c r="W79" s="60">
        <f t="shared" si="5"/>
        <v>0</v>
      </c>
    </row>
    <row r="80" spans="2:23" x14ac:dyDescent="0.25">
      <c r="B80" s="133">
        <v>4.54</v>
      </c>
      <c r="C80" s="15"/>
      <c r="D80" s="534">
        <f t="shared" si="12"/>
        <v>0</v>
      </c>
      <c r="E80" s="738"/>
      <c r="F80" s="534">
        <f t="shared" si="10"/>
        <v>0</v>
      </c>
      <c r="G80" s="329"/>
      <c r="H80" s="330"/>
      <c r="I80" s="994">
        <f t="shared" si="14"/>
        <v>1.893596390800667E-12</v>
      </c>
      <c r="J80" s="747">
        <f t="shared" si="15"/>
        <v>0</v>
      </c>
      <c r="K80" s="60">
        <f t="shared" si="4"/>
        <v>0</v>
      </c>
      <c r="N80" s="133">
        <v>4.54</v>
      </c>
      <c r="O80" s="15"/>
      <c r="P80" s="534">
        <f t="shared" si="13"/>
        <v>0</v>
      </c>
      <c r="Q80" s="738"/>
      <c r="R80" s="534">
        <f t="shared" si="11"/>
        <v>0</v>
      </c>
      <c r="S80" s="329"/>
      <c r="T80" s="330"/>
      <c r="U80" s="190">
        <f t="shared" si="16"/>
        <v>803.4800000000015</v>
      </c>
      <c r="V80" s="73">
        <f t="shared" si="17"/>
        <v>177</v>
      </c>
      <c r="W80" s="60">
        <f t="shared" si="5"/>
        <v>0</v>
      </c>
    </row>
    <row r="81" spans="2:23" x14ac:dyDescent="0.25">
      <c r="B81" s="133">
        <v>4.54</v>
      </c>
      <c r="C81" s="15"/>
      <c r="D81" s="534">
        <f t="shared" si="12"/>
        <v>0</v>
      </c>
      <c r="E81" s="738"/>
      <c r="F81" s="534">
        <f t="shared" si="10"/>
        <v>0</v>
      </c>
      <c r="G81" s="329"/>
      <c r="H81" s="330"/>
      <c r="I81" s="994">
        <f t="shared" si="14"/>
        <v>1.893596390800667E-12</v>
      </c>
      <c r="J81" s="747">
        <f t="shared" si="15"/>
        <v>0</v>
      </c>
      <c r="K81" s="60">
        <f t="shared" si="4"/>
        <v>0</v>
      </c>
      <c r="N81" s="133">
        <v>4.54</v>
      </c>
      <c r="O81" s="15"/>
      <c r="P81" s="534">
        <f t="shared" si="13"/>
        <v>0</v>
      </c>
      <c r="Q81" s="738"/>
      <c r="R81" s="534">
        <f t="shared" si="11"/>
        <v>0</v>
      </c>
      <c r="S81" s="329"/>
      <c r="T81" s="330"/>
      <c r="U81" s="190">
        <f t="shared" si="16"/>
        <v>803.4800000000015</v>
      </c>
      <c r="V81" s="73">
        <f t="shared" si="17"/>
        <v>177</v>
      </c>
      <c r="W81" s="60">
        <f t="shared" si="5"/>
        <v>0</v>
      </c>
    </row>
    <row r="82" spans="2:23" x14ac:dyDescent="0.25">
      <c r="B82" s="133">
        <v>4.54</v>
      </c>
      <c r="C82" s="15"/>
      <c r="D82" s="534">
        <f t="shared" si="12"/>
        <v>0</v>
      </c>
      <c r="E82" s="738"/>
      <c r="F82" s="534">
        <f t="shared" si="10"/>
        <v>0</v>
      </c>
      <c r="G82" s="329"/>
      <c r="H82" s="330"/>
      <c r="I82" s="994">
        <f t="shared" si="14"/>
        <v>1.893596390800667E-12</v>
      </c>
      <c r="J82" s="747">
        <f t="shared" si="15"/>
        <v>0</v>
      </c>
      <c r="K82" s="60">
        <f t="shared" si="4"/>
        <v>0</v>
      </c>
      <c r="N82" s="133">
        <v>4.54</v>
      </c>
      <c r="O82" s="15"/>
      <c r="P82" s="534">
        <f t="shared" si="13"/>
        <v>0</v>
      </c>
      <c r="Q82" s="738"/>
      <c r="R82" s="534">
        <f t="shared" si="11"/>
        <v>0</v>
      </c>
      <c r="S82" s="329"/>
      <c r="T82" s="330"/>
      <c r="U82" s="190">
        <f t="shared" si="16"/>
        <v>803.4800000000015</v>
      </c>
      <c r="V82" s="73">
        <f t="shared" si="17"/>
        <v>177</v>
      </c>
      <c r="W82" s="60">
        <f t="shared" si="5"/>
        <v>0</v>
      </c>
    </row>
    <row r="83" spans="2:23" x14ac:dyDescent="0.25">
      <c r="B83" s="133">
        <v>4.54</v>
      </c>
      <c r="C83" s="15"/>
      <c r="D83" s="69">
        <f t="shared" si="12"/>
        <v>0</v>
      </c>
      <c r="E83" s="195"/>
      <c r="F83" s="69">
        <f t="shared" si="10"/>
        <v>0</v>
      </c>
      <c r="G83" s="70"/>
      <c r="H83" s="71"/>
      <c r="I83" s="190">
        <f t="shared" si="14"/>
        <v>1.893596390800667E-12</v>
      </c>
      <c r="J83" s="73">
        <f t="shared" si="15"/>
        <v>0</v>
      </c>
      <c r="K83" s="60">
        <f t="shared" si="4"/>
        <v>0</v>
      </c>
      <c r="N83" s="133">
        <v>4.54</v>
      </c>
      <c r="O83" s="15"/>
      <c r="P83" s="69">
        <f t="shared" si="13"/>
        <v>0</v>
      </c>
      <c r="Q83" s="195"/>
      <c r="R83" s="69">
        <f t="shared" si="11"/>
        <v>0</v>
      </c>
      <c r="S83" s="70"/>
      <c r="T83" s="71"/>
      <c r="U83" s="190">
        <f t="shared" si="16"/>
        <v>803.4800000000015</v>
      </c>
      <c r="V83" s="73">
        <f t="shared" si="17"/>
        <v>177</v>
      </c>
      <c r="W83" s="60">
        <f t="shared" si="5"/>
        <v>0</v>
      </c>
    </row>
    <row r="84" spans="2:23" x14ac:dyDescent="0.25">
      <c r="B84" s="133">
        <v>4.54</v>
      </c>
      <c r="C84" s="15"/>
      <c r="D84" s="69">
        <f t="shared" si="12"/>
        <v>0</v>
      </c>
      <c r="E84" s="195"/>
      <c r="F84" s="69">
        <f t="shared" si="10"/>
        <v>0</v>
      </c>
      <c r="G84" s="70"/>
      <c r="H84" s="71"/>
      <c r="I84" s="190">
        <f t="shared" si="14"/>
        <v>1.893596390800667E-12</v>
      </c>
      <c r="J84" s="73">
        <f t="shared" si="15"/>
        <v>0</v>
      </c>
      <c r="K84" s="60"/>
      <c r="N84" s="133">
        <v>4.54</v>
      </c>
      <c r="O84" s="15"/>
      <c r="P84" s="69">
        <f t="shared" si="13"/>
        <v>0</v>
      </c>
      <c r="Q84" s="195"/>
      <c r="R84" s="69">
        <f t="shared" si="11"/>
        <v>0</v>
      </c>
      <c r="S84" s="70"/>
      <c r="T84" s="71"/>
      <c r="U84" s="190">
        <f t="shared" si="16"/>
        <v>803.4800000000015</v>
      </c>
      <c r="V84" s="73">
        <f t="shared" si="17"/>
        <v>177</v>
      </c>
      <c r="W84" s="60"/>
    </row>
    <row r="85" spans="2:23" x14ac:dyDescent="0.25">
      <c r="B85" s="133">
        <v>4.54</v>
      </c>
      <c r="C85" s="15"/>
      <c r="D85" s="69">
        <f t="shared" si="12"/>
        <v>0</v>
      </c>
      <c r="E85" s="195"/>
      <c r="F85" s="69">
        <f t="shared" si="10"/>
        <v>0</v>
      </c>
      <c r="G85" s="70"/>
      <c r="H85" s="71"/>
      <c r="I85" s="190">
        <f t="shared" si="14"/>
        <v>1.893596390800667E-12</v>
      </c>
      <c r="J85" s="73">
        <f t="shared" si="15"/>
        <v>0</v>
      </c>
      <c r="K85" s="60"/>
      <c r="N85" s="133">
        <v>4.54</v>
      </c>
      <c r="O85" s="15"/>
      <c r="P85" s="69">
        <f t="shared" si="13"/>
        <v>0</v>
      </c>
      <c r="Q85" s="195"/>
      <c r="R85" s="69">
        <f t="shared" si="11"/>
        <v>0</v>
      </c>
      <c r="S85" s="70"/>
      <c r="T85" s="71"/>
      <c r="U85" s="190">
        <f t="shared" si="16"/>
        <v>803.4800000000015</v>
      </c>
      <c r="V85" s="73">
        <f t="shared" si="17"/>
        <v>177</v>
      </c>
      <c r="W85" s="60"/>
    </row>
    <row r="86" spans="2:23" x14ac:dyDescent="0.25">
      <c r="B86" s="133">
        <v>4.54</v>
      </c>
      <c r="C86" s="15"/>
      <c r="D86" s="69">
        <f t="shared" si="12"/>
        <v>0</v>
      </c>
      <c r="E86" s="195"/>
      <c r="F86" s="69">
        <f t="shared" si="10"/>
        <v>0</v>
      </c>
      <c r="G86" s="70"/>
      <c r="H86" s="71"/>
      <c r="I86" s="190">
        <f t="shared" si="14"/>
        <v>1.893596390800667E-12</v>
      </c>
      <c r="J86" s="73">
        <f t="shared" si="15"/>
        <v>0</v>
      </c>
      <c r="K86" s="60"/>
      <c r="N86" s="133">
        <v>4.54</v>
      </c>
      <c r="O86" s="15"/>
      <c r="P86" s="69">
        <f t="shared" si="13"/>
        <v>0</v>
      </c>
      <c r="Q86" s="195"/>
      <c r="R86" s="69">
        <f t="shared" si="11"/>
        <v>0</v>
      </c>
      <c r="S86" s="70"/>
      <c r="T86" s="71"/>
      <c r="U86" s="190">
        <f t="shared" si="16"/>
        <v>803.4800000000015</v>
      </c>
      <c r="V86" s="73">
        <f t="shared" si="17"/>
        <v>177</v>
      </c>
      <c r="W86" s="60"/>
    </row>
    <row r="87" spans="2:23" x14ac:dyDescent="0.25">
      <c r="B87" s="133">
        <v>4.54</v>
      </c>
      <c r="C87" s="15"/>
      <c r="D87" s="69">
        <f t="shared" si="12"/>
        <v>0</v>
      </c>
      <c r="E87" s="195"/>
      <c r="F87" s="69">
        <f t="shared" si="10"/>
        <v>0</v>
      </c>
      <c r="G87" s="70"/>
      <c r="H87" s="71"/>
      <c r="I87" s="190">
        <f t="shared" si="14"/>
        <v>1.893596390800667E-12</v>
      </c>
      <c r="J87" s="73">
        <f t="shared" si="15"/>
        <v>0</v>
      </c>
      <c r="K87" s="60"/>
      <c r="N87" s="133">
        <v>4.54</v>
      </c>
      <c r="O87" s="15"/>
      <c r="P87" s="69">
        <f t="shared" si="13"/>
        <v>0</v>
      </c>
      <c r="Q87" s="195"/>
      <c r="R87" s="69">
        <f t="shared" si="11"/>
        <v>0</v>
      </c>
      <c r="S87" s="70"/>
      <c r="T87" s="71"/>
      <c r="U87" s="190">
        <f t="shared" si="16"/>
        <v>803.4800000000015</v>
      </c>
      <c r="V87" s="73">
        <f t="shared" si="17"/>
        <v>177</v>
      </c>
      <c r="W87" s="60"/>
    </row>
    <row r="88" spans="2:23" x14ac:dyDescent="0.25">
      <c r="B88" s="133">
        <v>4.54</v>
      </c>
      <c r="C88" s="15"/>
      <c r="D88" s="69">
        <f t="shared" si="12"/>
        <v>0</v>
      </c>
      <c r="E88" s="195"/>
      <c r="F88" s="69">
        <f t="shared" si="10"/>
        <v>0</v>
      </c>
      <c r="G88" s="70"/>
      <c r="H88" s="71"/>
      <c r="I88" s="190">
        <f t="shared" si="14"/>
        <v>1.893596390800667E-12</v>
      </c>
      <c r="J88" s="73">
        <f t="shared" si="15"/>
        <v>0</v>
      </c>
      <c r="K88" s="60"/>
      <c r="N88" s="133">
        <v>4.54</v>
      </c>
      <c r="O88" s="15"/>
      <c r="P88" s="69">
        <f t="shared" si="13"/>
        <v>0</v>
      </c>
      <c r="Q88" s="195"/>
      <c r="R88" s="69">
        <f t="shared" si="11"/>
        <v>0</v>
      </c>
      <c r="S88" s="70"/>
      <c r="T88" s="71"/>
      <c r="U88" s="190">
        <f t="shared" si="16"/>
        <v>803.4800000000015</v>
      </c>
      <c r="V88" s="73">
        <f t="shared" si="17"/>
        <v>177</v>
      </c>
      <c r="W88" s="60"/>
    </row>
    <row r="89" spans="2:23" x14ac:dyDescent="0.25">
      <c r="B89" s="133">
        <v>4.54</v>
      </c>
      <c r="C89" s="15"/>
      <c r="D89" s="69">
        <f t="shared" si="12"/>
        <v>0</v>
      </c>
      <c r="E89" s="195"/>
      <c r="F89" s="69">
        <f t="shared" si="10"/>
        <v>0</v>
      </c>
      <c r="G89" s="70"/>
      <c r="H89" s="71"/>
      <c r="I89" s="190">
        <f t="shared" si="14"/>
        <v>1.893596390800667E-12</v>
      </c>
      <c r="J89" s="73">
        <f t="shared" si="15"/>
        <v>0</v>
      </c>
      <c r="K89" s="60"/>
      <c r="N89" s="133">
        <v>4.54</v>
      </c>
      <c r="O89" s="15"/>
      <c r="P89" s="69">
        <f t="shared" si="13"/>
        <v>0</v>
      </c>
      <c r="Q89" s="195"/>
      <c r="R89" s="69">
        <f t="shared" si="11"/>
        <v>0</v>
      </c>
      <c r="S89" s="70"/>
      <c r="T89" s="71"/>
      <c r="U89" s="190">
        <f t="shared" si="16"/>
        <v>803.4800000000015</v>
      </c>
      <c r="V89" s="73">
        <f t="shared" si="17"/>
        <v>177</v>
      </c>
      <c r="W89" s="60"/>
    </row>
    <row r="90" spans="2:23" x14ac:dyDescent="0.25">
      <c r="B90" s="133">
        <v>4.54</v>
      </c>
      <c r="C90" s="15"/>
      <c r="D90" s="69">
        <f t="shared" si="12"/>
        <v>0</v>
      </c>
      <c r="E90" s="195"/>
      <c r="F90" s="69">
        <f t="shared" si="10"/>
        <v>0</v>
      </c>
      <c r="G90" s="70"/>
      <c r="H90" s="71"/>
      <c r="I90" s="190">
        <f t="shared" si="14"/>
        <v>1.893596390800667E-12</v>
      </c>
      <c r="J90" s="73">
        <f t="shared" si="15"/>
        <v>0</v>
      </c>
      <c r="K90" s="60"/>
      <c r="N90" s="133">
        <v>4.54</v>
      </c>
      <c r="O90" s="15"/>
      <c r="P90" s="69">
        <f t="shared" si="13"/>
        <v>0</v>
      </c>
      <c r="Q90" s="195"/>
      <c r="R90" s="69">
        <f t="shared" si="11"/>
        <v>0</v>
      </c>
      <c r="S90" s="70"/>
      <c r="T90" s="71"/>
      <c r="U90" s="190">
        <f t="shared" si="16"/>
        <v>803.4800000000015</v>
      </c>
      <c r="V90" s="73">
        <f t="shared" si="17"/>
        <v>177</v>
      </c>
      <c r="W90" s="60"/>
    </row>
    <row r="91" spans="2:23" x14ac:dyDescent="0.25">
      <c r="B91" s="133">
        <v>4.54</v>
      </c>
      <c r="C91" s="15"/>
      <c r="D91" s="69">
        <f t="shared" si="12"/>
        <v>0</v>
      </c>
      <c r="E91" s="195"/>
      <c r="F91" s="69">
        <f t="shared" si="10"/>
        <v>0</v>
      </c>
      <c r="G91" s="70"/>
      <c r="H91" s="71"/>
      <c r="I91" s="190">
        <f t="shared" si="14"/>
        <v>1.893596390800667E-12</v>
      </c>
      <c r="J91" s="73">
        <f t="shared" si="15"/>
        <v>0</v>
      </c>
      <c r="K91" s="60"/>
      <c r="N91" s="133">
        <v>4.54</v>
      </c>
      <c r="O91" s="15"/>
      <c r="P91" s="69">
        <f t="shared" si="13"/>
        <v>0</v>
      </c>
      <c r="Q91" s="195"/>
      <c r="R91" s="69">
        <f t="shared" si="11"/>
        <v>0</v>
      </c>
      <c r="S91" s="70"/>
      <c r="T91" s="71"/>
      <c r="U91" s="190">
        <f t="shared" si="16"/>
        <v>803.4800000000015</v>
      </c>
      <c r="V91" s="73">
        <f t="shared" si="17"/>
        <v>177</v>
      </c>
      <c r="W91" s="60"/>
    </row>
    <row r="92" spans="2:23" x14ac:dyDescent="0.25">
      <c r="B92" s="133">
        <v>4.54</v>
      </c>
      <c r="C92" s="15"/>
      <c r="D92" s="69">
        <f t="shared" si="12"/>
        <v>0</v>
      </c>
      <c r="E92" s="195"/>
      <c r="F92" s="69">
        <f t="shared" si="10"/>
        <v>0</v>
      </c>
      <c r="G92" s="70"/>
      <c r="H92" s="71"/>
      <c r="I92" s="190">
        <f t="shared" si="14"/>
        <v>1.893596390800667E-12</v>
      </c>
      <c r="J92" s="73">
        <f t="shared" si="15"/>
        <v>0</v>
      </c>
      <c r="K92" s="60"/>
      <c r="N92" s="133">
        <v>4.54</v>
      </c>
      <c r="O92" s="15"/>
      <c r="P92" s="69">
        <f t="shared" si="13"/>
        <v>0</v>
      </c>
      <c r="Q92" s="195"/>
      <c r="R92" s="69">
        <f t="shared" si="11"/>
        <v>0</v>
      </c>
      <c r="S92" s="70"/>
      <c r="T92" s="71"/>
      <c r="U92" s="190">
        <f t="shared" si="16"/>
        <v>803.4800000000015</v>
      </c>
      <c r="V92" s="73">
        <f t="shared" si="17"/>
        <v>177</v>
      </c>
      <c r="W92" s="60"/>
    </row>
    <row r="93" spans="2:23" x14ac:dyDescent="0.25">
      <c r="B93" s="133">
        <v>4.54</v>
      </c>
      <c r="C93" s="15"/>
      <c r="D93" s="69">
        <f t="shared" si="12"/>
        <v>0</v>
      </c>
      <c r="E93" s="195"/>
      <c r="F93" s="69">
        <f t="shared" si="10"/>
        <v>0</v>
      </c>
      <c r="G93" s="70"/>
      <c r="H93" s="71"/>
      <c r="I93" s="190">
        <f t="shared" si="14"/>
        <v>1.893596390800667E-12</v>
      </c>
      <c r="J93" s="73">
        <f t="shared" si="15"/>
        <v>0</v>
      </c>
      <c r="K93" s="60"/>
      <c r="N93" s="133">
        <v>4.54</v>
      </c>
      <c r="O93" s="15"/>
      <c r="P93" s="69">
        <f t="shared" si="13"/>
        <v>0</v>
      </c>
      <c r="Q93" s="195"/>
      <c r="R93" s="69">
        <f t="shared" si="11"/>
        <v>0</v>
      </c>
      <c r="S93" s="70"/>
      <c r="T93" s="71"/>
      <c r="U93" s="190">
        <f t="shared" si="16"/>
        <v>803.4800000000015</v>
      </c>
      <c r="V93" s="73">
        <f t="shared" si="17"/>
        <v>177</v>
      </c>
      <c r="W93" s="60"/>
    </row>
    <row r="94" spans="2:23" x14ac:dyDescent="0.25">
      <c r="B94" s="133">
        <v>4.54</v>
      </c>
      <c r="C94" s="15"/>
      <c r="D94" s="69">
        <f t="shared" si="12"/>
        <v>0</v>
      </c>
      <c r="E94" s="195"/>
      <c r="F94" s="69">
        <f t="shared" si="10"/>
        <v>0</v>
      </c>
      <c r="G94" s="70"/>
      <c r="H94" s="71"/>
      <c r="I94" s="190">
        <f t="shared" si="14"/>
        <v>1.893596390800667E-12</v>
      </c>
      <c r="J94" s="73">
        <f t="shared" si="15"/>
        <v>0</v>
      </c>
      <c r="K94" s="60"/>
      <c r="N94" s="133">
        <v>4.54</v>
      </c>
      <c r="O94" s="15"/>
      <c r="P94" s="69">
        <f t="shared" si="13"/>
        <v>0</v>
      </c>
      <c r="Q94" s="195"/>
      <c r="R94" s="69">
        <f t="shared" si="11"/>
        <v>0</v>
      </c>
      <c r="S94" s="70"/>
      <c r="T94" s="71"/>
      <c r="U94" s="190">
        <f t="shared" si="16"/>
        <v>803.4800000000015</v>
      </c>
      <c r="V94" s="73">
        <f t="shared" si="17"/>
        <v>177</v>
      </c>
      <c r="W94" s="60"/>
    </row>
    <row r="95" spans="2:23" x14ac:dyDescent="0.25">
      <c r="B95" s="133">
        <v>4.54</v>
      </c>
      <c r="C95" s="15"/>
      <c r="D95" s="69">
        <f t="shared" si="12"/>
        <v>0</v>
      </c>
      <c r="E95" s="195"/>
      <c r="F95" s="69">
        <f t="shared" si="10"/>
        <v>0</v>
      </c>
      <c r="G95" s="70"/>
      <c r="H95" s="71"/>
      <c r="I95" s="190">
        <f t="shared" si="14"/>
        <v>1.893596390800667E-12</v>
      </c>
      <c r="J95" s="73">
        <f t="shared" si="15"/>
        <v>0</v>
      </c>
      <c r="K95" s="60"/>
      <c r="N95" s="133">
        <v>4.54</v>
      </c>
      <c r="O95" s="15"/>
      <c r="P95" s="69">
        <f t="shared" si="13"/>
        <v>0</v>
      </c>
      <c r="Q95" s="195"/>
      <c r="R95" s="69">
        <f t="shared" si="11"/>
        <v>0</v>
      </c>
      <c r="S95" s="70"/>
      <c r="T95" s="71"/>
      <c r="U95" s="190">
        <f t="shared" si="16"/>
        <v>803.4800000000015</v>
      </c>
      <c r="V95" s="73">
        <f t="shared" si="17"/>
        <v>177</v>
      </c>
      <c r="W95" s="60"/>
    </row>
    <row r="96" spans="2:23" x14ac:dyDescent="0.25">
      <c r="B96" s="133">
        <v>4.54</v>
      </c>
      <c r="C96" s="15"/>
      <c r="D96" s="69">
        <f t="shared" si="12"/>
        <v>0</v>
      </c>
      <c r="E96" s="195"/>
      <c r="F96" s="69">
        <f t="shared" si="10"/>
        <v>0</v>
      </c>
      <c r="G96" s="70"/>
      <c r="H96" s="71"/>
      <c r="I96" s="190">
        <f t="shared" si="14"/>
        <v>1.893596390800667E-12</v>
      </c>
      <c r="J96" s="73">
        <f t="shared" si="15"/>
        <v>0</v>
      </c>
      <c r="K96" s="60"/>
      <c r="N96" s="133">
        <v>4.54</v>
      </c>
      <c r="O96" s="15"/>
      <c r="P96" s="69">
        <f t="shared" si="13"/>
        <v>0</v>
      </c>
      <c r="Q96" s="195"/>
      <c r="R96" s="69">
        <f t="shared" si="11"/>
        <v>0</v>
      </c>
      <c r="S96" s="70"/>
      <c r="T96" s="71"/>
      <c r="U96" s="190">
        <f t="shared" si="16"/>
        <v>803.4800000000015</v>
      </c>
      <c r="V96" s="73">
        <f t="shared" si="17"/>
        <v>177</v>
      </c>
      <c r="W96" s="60"/>
    </row>
    <row r="97" spans="2:23" x14ac:dyDescent="0.25">
      <c r="B97" s="133">
        <v>4.54</v>
      </c>
      <c r="C97" s="15"/>
      <c r="D97" s="69">
        <f t="shared" si="12"/>
        <v>0</v>
      </c>
      <c r="E97" s="195"/>
      <c r="F97" s="69">
        <f t="shared" si="10"/>
        <v>0</v>
      </c>
      <c r="G97" s="70"/>
      <c r="H97" s="71"/>
      <c r="I97" s="190">
        <f t="shared" si="14"/>
        <v>1.893596390800667E-12</v>
      </c>
      <c r="J97" s="73">
        <f t="shared" si="15"/>
        <v>0</v>
      </c>
      <c r="K97" s="60"/>
      <c r="N97" s="133">
        <v>4.54</v>
      </c>
      <c r="O97" s="15"/>
      <c r="P97" s="69">
        <f t="shared" si="13"/>
        <v>0</v>
      </c>
      <c r="Q97" s="195"/>
      <c r="R97" s="69">
        <f t="shared" si="11"/>
        <v>0</v>
      </c>
      <c r="S97" s="70"/>
      <c r="T97" s="71"/>
      <c r="U97" s="190">
        <f t="shared" si="16"/>
        <v>803.4800000000015</v>
      </c>
      <c r="V97" s="73">
        <f t="shared" si="17"/>
        <v>177</v>
      </c>
      <c r="W97" s="60"/>
    </row>
    <row r="98" spans="2:23" x14ac:dyDescent="0.25">
      <c r="B98" s="133">
        <v>4.54</v>
      </c>
      <c r="C98" s="15"/>
      <c r="D98" s="69">
        <f t="shared" si="12"/>
        <v>0</v>
      </c>
      <c r="E98" s="195"/>
      <c r="F98" s="69">
        <f t="shared" si="10"/>
        <v>0</v>
      </c>
      <c r="G98" s="70"/>
      <c r="H98" s="71"/>
      <c r="I98" s="190">
        <f t="shared" si="14"/>
        <v>1.893596390800667E-12</v>
      </c>
      <c r="J98" s="73">
        <f t="shared" si="15"/>
        <v>0</v>
      </c>
      <c r="K98" s="60"/>
      <c r="N98" s="133">
        <v>4.54</v>
      </c>
      <c r="O98" s="15"/>
      <c r="P98" s="69">
        <f t="shared" si="13"/>
        <v>0</v>
      </c>
      <c r="Q98" s="195"/>
      <c r="R98" s="69">
        <f t="shared" si="11"/>
        <v>0</v>
      </c>
      <c r="S98" s="70"/>
      <c r="T98" s="71"/>
      <c r="U98" s="190">
        <f t="shared" si="16"/>
        <v>803.4800000000015</v>
      </c>
      <c r="V98" s="73">
        <f t="shared" si="17"/>
        <v>177</v>
      </c>
      <c r="W98" s="60"/>
    </row>
    <row r="99" spans="2:23" x14ac:dyDescent="0.25">
      <c r="B99" s="133">
        <v>4.54</v>
      </c>
      <c r="C99" s="15"/>
      <c r="D99" s="69">
        <f t="shared" si="12"/>
        <v>0</v>
      </c>
      <c r="E99" s="195"/>
      <c r="F99" s="69">
        <f t="shared" si="10"/>
        <v>0</v>
      </c>
      <c r="G99" s="70"/>
      <c r="H99" s="71"/>
      <c r="I99" s="190">
        <f t="shared" si="14"/>
        <v>1.893596390800667E-12</v>
      </c>
      <c r="J99" s="73">
        <f t="shared" si="15"/>
        <v>0</v>
      </c>
      <c r="K99" s="60"/>
      <c r="N99" s="133">
        <v>4.54</v>
      </c>
      <c r="O99" s="15"/>
      <c r="P99" s="69">
        <f t="shared" si="13"/>
        <v>0</v>
      </c>
      <c r="Q99" s="195"/>
      <c r="R99" s="69">
        <f t="shared" si="11"/>
        <v>0</v>
      </c>
      <c r="S99" s="70"/>
      <c r="T99" s="71"/>
      <c r="U99" s="190">
        <f t="shared" si="16"/>
        <v>803.4800000000015</v>
      </c>
      <c r="V99" s="73">
        <f t="shared" si="17"/>
        <v>177</v>
      </c>
      <c r="W99" s="60"/>
    </row>
    <row r="100" spans="2:23" x14ac:dyDescent="0.25">
      <c r="B100" s="133">
        <v>4.54</v>
      </c>
      <c r="C100" s="15"/>
      <c r="D100" s="69">
        <f t="shared" si="12"/>
        <v>0</v>
      </c>
      <c r="E100" s="195"/>
      <c r="F100" s="69">
        <f t="shared" si="10"/>
        <v>0</v>
      </c>
      <c r="G100" s="70"/>
      <c r="H100" s="71"/>
      <c r="I100" s="190">
        <f t="shared" si="14"/>
        <v>1.893596390800667E-12</v>
      </c>
      <c r="J100" s="73">
        <f t="shared" si="15"/>
        <v>0</v>
      </c>
      <c r="K100" s="60"/>
      <c r="N100" s="133">
        <v>4.54</v>
      </c>
      <c r="O100" s="15"/>
      <c r="P100" s="69">
        <f t="shared" si="13"/>
        <v>0</v>
      </c>
      <c r="Q100" s="195"/>
      <c r="R100" s="69">
        <f t="shared" si="11"/>
        <v>0</v>
      </c>
      <c r="S100" s="70"/>
      <c r="T100" s="71"/>
      <c r="U100" s="190">
        <f t="shared" si="16"/>
        <v>803.4800000000015</v>
      </c>
      <c r="V100" s="73">
        <f t="shared" si="17"/>
        <v>177</v>
      </c>
      <c r="W100" s="60"/>
    </row>
    <row r="101" spans="2:23" x14ac:dyDescent="0.25">
      <c r="B101" s="133">
        <v>4.54</v>
      </c>
      <c r="C101" s="15"/>
      <c r="D101" s="69">
        <f t="shared" si="12"/>
        <v>0</v>
      </c>
      <c r="E101" s="195"/>
      <c r="F101" s="69">
        <f t="shared" si="10"/>
        <v>0</v>
      </c>
      <c r="G101" s="70"/>
      <c r="H101" s="71"/>
      <c r="I101" s="190">
        <f t="shared" si="14"/>
        <v>1.893596390800667E-12</v>
      </c>
      <c r="J101" s="73">
        <f t="shared" si="15"/>
        <v>0</v>
      </c>
      <c r="K101" s="60"/>
      <c r="N101" s="133">
        <v>4.54</v>
      </c>
      <c r="O101" s="15"/>
      <c r="P101" s="69">
        <f t="shared" si="13"/>
        <v>0</v>
      </c>
      <c r="Q101" s="195"/>
      <c r="R101" s="69">
        <f t="shared" si="11"/>
        <v>0</v>
      </c>
      <c r="S101" s="70"/>
      <c r="T101" s="71"/>
      <c r="U101" s="190">
        <f t="shared" si="16"/>
        <v>803.4800000000015</v>
      </c>
      <c r="V101" s="73">
        <f t="shared" si="17"/>
        <v>177</v>
      </c>
      <c r="W101" s="60"/>
    </row>
    <row r="102" spans="2:23" x14ac:dyDescent="0.25">
      <c r="B102" s="133">
        <v>4.54</v>
      </c>
      <c r="C102" s="15"/>
      <c r="D102" s="69">
        <f t="shared" si="12"/>
        <v>0</v>
      </c>
      <c r="E102" s="195"/>
      <c r="F102" s="69">
        <f t="shared" si="10"/>
        <v>0</v>
      </c>
      <c r="G102" s="70"/>
      <c r="H102" s="71"/>
      <c r="I102" s="190">
        <f t="shared" si="14"/>
        <v>1.893596390800667E-12</v>
      </c>
      <c r="J102" s="73">
        <f t="shared" si="15"/>
        <v>0</v>
      </c>
      <c r="K102" s="60"/>
      <c r="N102" s="133">
        <v>4.54</v>
      </c>
      <c r="O102" s="15"/>
      <c r="P102" s="69">
        <f t="shared" si="13"/>
        <v>0</v>
      </c>
      <c r="Q102" s="195"/>
      <c r="R102" s="69">
        <f t="shared" si="11"/>
        <v>0</v>
      </c>
      <c r="S102" s="70"/>
      <c r="T102" s="71"/>
      <c r="U102" s="190">
        <f t="shared" si="16"/>
        <v>803.4800000000015</v>
      </c>
      <c r="V102" s="73">
        <f t="shared" si="17"/>
        <v>177</v>
      </c>
      <c r="W102" s="60"/>
    </row>
    <row r="103" spans="2:23" x14ac:dyDescent="0.25">
      <c r="B103" s="133">
        <v>4.54</v>
      </c>
      <c r="C103" s="15"/>
      <c r="D103" s="69">
        <f t="shared" si="12"/>
        <v>0</v>
      </c>
      <c r="E103" s="195"/>
      <c r="F103" s="69">
        <f t="shared" si="10"/>
        <v>0</v>
      </c>
      <c r="G103" s="70"/>
      <c r="H103" s="71"/>
      <c r="I103" s="190">
        <f t="shared" si="14"/>
        <v>1.893596390800667E-12</v>
      </c>
      <c r="J103" s="73">
        <f t="shared" si="15"/>
        <v>0</v>
      </c>
      <c r="K103" s="60"/>
      <c r="N103" s="133">
        <v>4.54</v>
      </c>
      <c r="O103" s="15"/>
      <c r="P103" s="69">
        <f t="shared" si="13"/>
        <v>0</v>
      </c>
      <c r="Q103" s="195"/>
      <c r="R103" s="69">
        <f t="shared" si="11"/>
        <v>0</v>
      </c>
      <c r="S103" s="70"/>
      <c r="T103" s="71"/>
      <c r="U103" s="190">
        <f t="shared" si="16"/>
        <v>803.4800000000015</v>
      </c>
      <c r="V103" s="73">
        <f t="shared" si="17"/>
        <v>177</v>
      </c>
      <c r="W103" s="60"/>
    </row>
    <row r="104" spans="2:23" x14ac:dyDescent="0.25">
      <c r="B104" s="133">
        <v>4.54</v>
      </c>
      <c r="C104" s="15"/>
      <c r="D104" s="69">
        <f t="shared" si="12"/>
        <v>0</v>
      </c>
      <c r="E104" s="195"/>
      <c r="F104" s="69">
        <f t="shared" si="10"/>
        <v>0</v>
      </c>
      <c r="G104" s="70"/>
      <c r="H104" s="71"/>
      <c r="I104" s="190">
        <f t="shared" si="14"/>
        <v>1.893596390800667E-12</v>
      </c>
      <c r="J104" s="73">
        <f t="shared" si="15"/>
        <v>0</v>
      </c>
      <c r="K104" s="60"/>
      <c r="N104" s="133">
        <v>4.54</v>
      </c>
      <c r="O104" s="15"/>
      <c r="P104" s="69">
        <f t="shared" si="13"/>
        <v>0</v>
      </c>
      <c r="Q104" s="195"/>
      <c r="R104" s="69">
        <f t="shared" si="11"/>
        <v>0</v>
      </c>
      <c r="S104" s="70"/>
      <c r="T104" s="71"/>
      <c r="U104" s="190">
        <f t="shared" si="16"/>
        <v>803.4800000000015</v>
      </c>
      <c r="V104" s="73">
        <f t="shared" si="17"/>
        <v>177</v>
      </c>
      <c r="W104" s="60"/>
    </row>
    <row r="105" spans="2:23" x14ac:dyDescent="0.25">
      <c r="B105" s="133">
        <v>4.54</v>
      </c>
      <c r="C105" s="15"/>
      <c r="D105" s="69">
        <f t="shared" si="12"/>
        <v>0</v>
      </c>
      <c r="E105" s="195"/>
      <c r="F105" s="69">
        <f t="shared" si="10"/>
        <v>0</v>
      </c>
      <c r="G105" s="70"/>
      <c r="H105" s="71"/>
      <c r="I105" s="190">
        <f t="shared" si="14"/>
        <v>1.893596390800667E-12</v>
      </c>
      <c r="J105" s="73">
        <f t="shared" si="15"/>
        <v>0</v>
      </c>
      <c r="K105" s="60"/>
      <c r="N105" s="133">
        <v>4.54</v>
      </c>
      <c r="O105" s="15"/>
      <c r="P105" s="69">
        <f t="shared" si="13"/>
        <v>0</v>
      </c>
      <c r="Q105" s="195"/>
      <c r="R105" s="69">
        <f t="shared" si="11"/>
        <v>0</v>
      </c>
      <c r="S105" s="70"/>
      <c r="T105" s="71"/>
      <c r="U105" s="190">
        <f t="shared" si="16"/>
        <v>803.4800000000015</v>
      </c>
      <c r="V105" s="73">
        <f t="shared" si="17"/>
        <v>177</v>
      </c>
      <c r="W105" s="60"/>
    </row>
    <row r="106" spans="2:23" x14ac:dyDescent="0.25">
      <c r="B106" s="133">
        <v>4.54</v>
      </c>
      <c r="C106" s="15"/>
      <c r="D106" s="69">
        <f t="shared" si="12"/>
        <v>0</v>
      </c>
      <c r="E106" s="195"/>
      <c r="F106" s="69">
        <f t="shared" si="10"/>
        <v>0</v>
      </c>
      <c r="G106" s="70"/>
      <c r="H106" s="71"/>
      <c r="I106" s="190">
        <f t="shared" si="14"/>
        <v>1.893596390800667E-12</v>
      </c>
      <c r="J106" s="73">
        <f t="shared" si="15"/>
        <v>0</v>
      </c>
      <c r="K106" s="60"/>
      <c r="N106" s="133">
        <v>4.54</v>
      </c>
      <c r="O106" s="15"/>
      <c r="P106" s="69">
        <f t="shared" si="13"/>
        <v>0</v>
      </c>
      <c r="Q106" s="195"/>
      <c r="R106" s="69">
        <f t="shared" si="11"/>
        <v>0</v>
      </c>
      <c r="S106" s="70"/>
      <c r="T106" s="71"/>
      <c r="U106" s="190">
        <f t="shared" si="16"/>
        <v>803.4800000000015</v>
      </c>
      <c r="V106" s="73">
        <f t="shared" si="17"/>
        <v>177</v>
      </c>
      <c r="W106" s="60"/>
    </row>
    <row r="107" spans="2:23" x14ac:dyDescent="0.25">
      <c r="B107" s="133">
        <v>4.54</v>
      </c>
      <c r="C107" s="15"/>
      <c r="D107" s="69">
        <f t="shared" si="12"/>
        <v>0</v>
      </c>
      <c r="E107" s="195"/>
      <c r="F107" s="69">
        <f t="shared" si="10"/>
        <v>0</v>
      </c>
      <c r="G107" s="70"/>
      <c r="H107" s="71"/>
      <c r="I107" s="190">
        <f t="shared" si="14"/>
        <v>1.893596390800667E-12</v>
      </c>
      <c r="J107" s="73">
        <f>J83-C107</f>
        <v>0</v>
      </c>
      <c r="K107" s="60">
        <f t="shared" ref="K107" si="18">H107*F107</f>
        <v>0</v>
      </c>
      <c r="N107" s="133">
        <v>4.54</v>
      </c>
      <c r="O107" s="15"/>
      <c r="P107" s="69">
        <f t="shared" si="13"/>
        <v>0</v>
      </c>
      <c r="Q107" s="195"/>
      <c r="R107" s="69">
        <f t="shared" si="11"/>
        <v>0</v>
      </c>
      <c r="S107" s="70"/>
      <c r="T107" s="71"/>
      <c r="U107" s="190">
        <f t="shared" si="16"/>
        <v>803.4800000000015</v>
      </c>
      <c r="V107" s="73">
        <f t="shared" si="17"/>
        <v>177</v>
      </c>
      <c r="W107" s="60">
        <f t="shared" ref="W107" si="19">T107*R107</f>
        <v>0</v>
      </c>
    </row>
    <row r="108" spans="2:23" ht="15.75" thickBot="1" x14ac:dyDescent="0.3">
      <c r="B108" s="133">
        <v>4.54</v>
      </c>
      <c r="C108" s="37"/>
      <c r="D108" s="548">
        <f t="shared" si="12"/>
        <v>0</v>
      </c>
      <c r="E108" s="197"/>
      <c r="F108" s="150">
        <f t="shared" si="10"/>
        <v>0</v>
      </c>
      <c r="G108" s="139"/>
      <c r="H108" s="198"/>
      <c r="I108" s="132"/>
      <c r="J108" s="73"/>
      <c r="N108" s="133">
        <v>4.54</v>
      </c>
      <c r="O108" s="37"/>
      <c r="P108" s="548">
        <f t="shared" si="13"/>
        <v>0</v>
      </c>
      <c r="Q108" s="197"/>
      <c r="R108" s="150">
        <f t="shared" si="11"/>
        <v>0</v>
      </c>
      <c r="S108" s="139"/>
      <c r="T108" s="198"/>
      <c r="U108" s="132"/>
      <c r="V108" s="73"/>
    </row>
    <row r="109" spans="2:23" ht="15.75" thickTop="1" x14ac:dyDescent="0.25">
      <c r="C109" s="15">
        <f>SUM(C9:C108)</f>
        <v>887</v>
      </c>
      <c r="D109" s="6">
        <f>SUM(D9:D108)</f>
        <v>4026.9799999999991</v>
      </c>
      <c r="E109" s="13"/>
      <c r="F109" s="6">
        <f>SUM(F9:F108)</f>
        <v>4026.9799999999991</v>
      </c>
      <c r="G109" s="31"/>
      <c r="H109" s="17"/>
      <c r="I109" s="132"/>
      <c r="J109" s="73"/>
      <c r="O109" s="15">
        <f>SUM(O9:O108)</f>
        <v>711</v>
      </c>
      <c r="P109" s="6">
        <f>SUM(P9:P108)</f>
        <v>3227.9399999999982</v>
      </c>
      <c r="Q109" s="13"/>
      <c r="R109" s="6">
        <f>SUM(R9:R108)</f>
        <v>3227.9399999999982</v>
      </c>
      <c r="S109" s="31"/>
      <c r="T109" s="17"/>
      <c r="U109" s="132"/>
      <c r="V109" s="73"/>
    </row>
    <row r="110" spans="2:23" ht="15.75" thickBot="1" x14ac:dyDescent="0.3">
      <c r="C110" s="15"/>
      <c r="D110" s="6"/>
      <c r="E110" s="13"/>
      <c r="F110" s="6"/>
      <c r="G110" s="31"/>
      <c r="H110" s="17"/>
      <c r="I110" s="132"/>
      <c r="J110" s="73"/>
      <c r="O110" s="15"/>
      <c r="P110" s="6"/>
      <c r="Q110" s="13"/>
      <c r="R110" s="6"/>
      <c r="S110" s="31"/>
      <c r="T110" s="17"/>
      <c r="U110" s="132"/>
      <c r="V110" s="73"/>
    </row>
    <row r="111" spans="2:23" x14ac:dyDescent="0.25">
      <c r="C111" s="50" t="s">
        <v>4</v>
      </c>
      <c r="D111" s="207">
        <f>F4+F5-C109+F6+F7</f>
        <v>0</v>
      </c>
      <c r="E111" s="40"/>
      <c r="F111" s="6"/>
      <c r="G111" s="31"/>
      <c r="H111" s="17"/>
      <c r="I111" s="132"/>
      <c r="J111" s="73"/>
      <c r="O111" s="50" t="s">
        <v>4</v>
      </c>
      <c r="P111" s="207">
        <f>R4+R5-O109+R6+R7</f>
        <v>177</v>
      </c>
      <c r="Q111" s="40"/>
      <c r="R111" s="6"/>
      <c r="S111" s="31"/>
      <c r="T111" s="17"/>
      <c r="U111" s="132"/>
      <c r="V111" s="73"/>
    </row>
    <row r="112" spans="2:23" x14ac:dyDescent="0.25">
      <c r="C112" s="1430" t="s">
        <v>19</v>
      </c>
      <c r="D112" s="1431"/>
      <c r="E112" s="39">
        <f>E4+E5-F109+E6+E7</f>
        <v>9.8232533218833851E-13</v>
      </c>
      <c r="F112" s="6"/>
      <c r="G112" s="6"/>
      <c r="H112" s="17"/>
      <c r="I112" s="132"/>
      <c r="J112" s="73"/>
      <c r="O112" s="1430" t="s">
        <v>19</v>
      </c>
      <c r="P112" s="1431"/>
      <c r="Q112" s="39">
        <f>Q4+Q5-R109+Q6+Q7</f>
        <v>803.48000000000172</v>
      </c>
      <c r="R112" s="6"/>
      <c r="S112" s="6"/>
      <c r="T112" s="17"/>
      <c r="U112" s="132"/>
      <c r="V112" s="73"/>
    </row>
    <row r="113" spans="3:22" ht="15.75" thickBot="1" x14ac:dyDescent="0.3">
      <c r="C113" s="44"/>
      <c r="D113" s="43"/>
      <c r="E113" s="41"/>
      <c r="F113" s="6"/>
      <c r="G113" s="31"/>
      <c r="H113" s="17"/>
      <c r="I113" s="132"/>
      <c r="J113" s="73"/>
      <c r="O113" s="44"/>
      <c r="P113" s="43"/>
      <c r="Q113" s="41"/>
      <c r="R113" s="6"/>
      <c r="S113" s="31"/>
      <c r="T113" s="17"/>
      <c r="U113" s="132"/>
      <c r="V113" s="73"/>
    </row>
    <row r="114" spans="3:22" x14ac:dyDescent="0.25">
      <c r="C114" s="15"/>
      <c r="D114" s="6"/>
      <c r="E114" s="13"/>
      <c r="F114" s="6"/>
      <c r="G114" s="31"/>
      <c r="H114" s="17"/>
      <c r="I114" s="132"/>
      <c r="J114" s="73"/>
      <c r="O114" s="15"/>
      <c r="P114" s="6"/>
      <c r="Q114" s="13"/>
      <c r="R114" s="6"/>
      <c r="S114" s="31"/>
      <c r="T114" s="17"/>
      <c r="U114" s="132"/>
      <c r="V114" s="73"/>
    </row>
    <row r="115" spans="3:22" x14ac:dyDescent="0.25">
      <c r="I115" s="132"/>
      <c r="J115" s="73"/>
      <c r="U115" s="132"/>
      <c r="V115" s="73"/>
    </row>
  </sheetData>
  <mergeCells count="8">
    <mergeCell ref="A1:I1"/>
    <mergeCell ref="A5:A6"/>
    <mergeCell ref="B5:B6"/>
    <mergeCell ref="C112:D112"/>
    <mergeCell ref="M1:U1"/>
    <mergeCell ref="M5:M6"/>
    <mergeCell ref="N5:N6"/>
    <mergeCell ref="O112:P112"/>
  </mergeCells>
  <pageMargins left="0.23622047244094491" right="0.23622047244094491" top="0.74803149606299213" bottom="0.74803149606299213" header="0.31496062992125984" footer="0.31496062992125984"/>
  <pageSetup scale="85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36"/>
  <sheetViews>
    <sheetView workbookViewId="0">
      <selection activeCell="B13" sqref="B13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1.42578125" style="75"/>
  </cols>
  <sheetData>
    <row r="1" spans="1:10" ht="40.5" x14ac:dyDescent="0.55000000000000004">
      <c r="A1" s="1390"/>
      <c r="B1" s="1390"/>
      <c r="C1" s="1390"/>
      <c r="D1" s="1390"/>
      <c r="E1" s="1390"/>
      <c r="F1" s="1390"/>
      <c r="G1" s="1390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10" ht="15.75" thickTop="1" x14ac:dyDescent="0.25">
      <c r="B4" s="12"/>
      <c r="C4" s="128"/>
      <c r="D4" s="149"/>
      <c r="E4" s="5"/>
      <c r="F4" s="73"/>
      <c r="G4" s="73"/>
    </row>
    <row r="5" spans="1:10" x14ac:dyDescent="0.25">
      <c r="A5" s="1391" t="s">
        <v>52</v>
      </c>
      <c r="B5" s="1432" t="s">
        <v>99</v>
      </c>
      <c r="C5" s="199"/>
      <c r="D5" s="149"/>
      <c r="E5" s="132"/>
      <c r="F5" s="73"/>
      <c r="G5" s="692"/>
      <c r="H5" s="138">
        <f>E4+E5-G5+E6+E7</f>
        <v>0</v>
      </c>
    </row>
    <row r="6" spans="1:10" ht="15.75" thickBot="1" x14ac:dyDescent="0.3">
      <c r="A6" s="1391"/>
      <c r="B6" s="1432"/>
      <c r="C6" s="199"/>
      <c r="D6" s="149"/>
      <c r="E6" s="105"/>
      <c r="F6" s="73"/>
    </row>
    <row r="7" spans="1:10" ht="15.75" customHeight="1" thickBot="1" x14ac:dyDescent="0.3">
      <c r="B7" s="12"/>
      <c r="C7" s="199"/>
      <c r="D7" s="149"/>
      <c r="E7" s="105"/>
      <c r="F7" s="73"/>
      <c r="I7" s="1433" t="s">
        <v>47</v>
      </c>
    </row>
    <row r="8" spans="1:10" ht="16.5" customHeight="1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434"/>
    </row>
    <row r="9" spans="1:10" ht="15.75" thickTop="1" x14ac:dyDescent="0.25">
      <c r="A9" s="73"/>
      <c r="B9" s="560">
        <f>F4++F5+F6+F7-C9</f>
        <v>0</v>
      </c>
      <c r="C9" s="15"/>
      <c r="D9" s="92"/>
      <c r="E9" s="195"/>
      <c r="F9" s="69">
        <f>D9</f>
        <v>0</v>
      </c>
      <c r="G9" s="70"/>
      <c r="H9" s="71"/>
      <c r="I9" s="105">
        <f>E4+E5+E6+E7-F9</f>
        <v>0</v>
      </c>
    </row>
    <row r="10" spans="1:10" x14ac:dyDescent="0.25">
      <c r="B10" s="856">
        <f>B9-C10</f>
        <v>0</v>
      </c>
      <c r="C10" s="811"/>
      <c r="D10" s="980"/>
      <c r="E10" s="848"/>
      <c r="F10" s="697">
        <f t="shared" ref="F10:F29" si="0">D10</f>
        <v>0</v>
      </c>
      <c r="G10" s="695"/>
      <c r="H10" s="696"/>
      <c r="I10" s="731">
        <f>I9-F10</f>
        <v>0</v>
      </c>
      <c r="J10" s="729"/>
    </row>
    <row r="11" spans="1:10" x14ac:dyDescent="0.25">
      <c r="A11" s="55" t="s">
        <v>32</v>
      </c>
      <c r="B11" s="856">
        <f t="shared" ref="B11:B30" si="1">B10-C11</f>
        <v>0</v>
      </c>
      <c r="C11" s="811"/>
      <c r="D11" s="981"/>
      <c r="E11" s="848"/>
      <c r="F11" s="697">
        <f t="shared" si="0"/>
        <v>0</v>
      </c>
      <c r="G11" s="695"/>
      <c r="H11" s="696"/>
      <c r="I11" s="731">
        <f t="shared" ref="I11:I30" si="2">I10-F11</f>
        <v>0</v>
      </c>
      <c r="J11" s="729"/>
    </row>
    <row r="12" spans="1:10" x14ac:dyDescent="0.25">
      <c r="A12" s="85"/>
      <c r="B12" s="856">
        <f t="shared" si="1"/>
        <v>0</v>
      </c>
      <c r="C12" s="811"/>
      <c r="D12" s="981"/>
      <c r="E12" s="848"/>
      <c r="F12" s="697">
        <f t="shared" si="0"/>
        <v>0</v>
      </c>
      <c r="G12" s="695"/>
      <c r="H12" s="696"/>
      <c r="I12" s="731">
        <f t="shared" si="2"/>
        <v>0</v>
      </c>
      <c r="J12" s="729"/>
    </row>
    <row r="13" spans="1:10" x14ac:dyDescent="0.25">
      <c r="B13" s="856">
        <f t="shared" si="1"/>
        <v>0</v>
      </c>
      <c r="C13" s="811"/>
      <c r="D13" s="981"/>
      <c r="E13" s="848"/>
      <c r="F13" s="697">
        <f t="shared" si="0"/>
        <v>0</v>
      </c>
      <c r="G13" s="695"/>
      <c r="H13" s="696"/>
      <c r="I13" s="731">
        <f t="shared" si="2"/>
        <v>0</v>
      </c>
      <c r="J13" s="729"/>
    </row>
    <row r="14" spans="1:10" x14ac:dyDescent="0.25">
      <c r="A14" s="55" t="s">
        <v>33</v>
      </c>
      <c r="B14" s="856">
        <f t="shared" si="1"/>
        <v>0</v>
      </c>
      <c r="C14" s="811"/>
      <c r="D14" s="981"/>
      <c r="E14" s="848"/>
      <c r="F14" s="697">
        <f t="shared" si="0"/>
        <v>0</v>
      </c>
      <c r="G14" s="695"/>
      <c r="H14" s="696"/>
      <c r="I14" s="731">
        <f t="shared" si="2"/>
        <v>0</v>
      </c>
      <c r="J14" s="729"/>
    </row>
    <row r="15" spans="1:10" x14ac:dyDescent="0.25">
      <c r="B15" s="856">
        <f t="shared" si="1"/>
        <v>0</v>
      </c>
      <c r="C15" s="811"/>
      <c r="D15" s="982"/>
      <c r="E15" s="848"/>
      <c r="F15" s="697">
        <f t="shared" si="0"/>
        <v>0</v>
      </c>
      <c r="G15" s="695"/>
      <c r="H15" s="696"/>
      <c r="I15" s="731">
        <f t="shared" si="2"/>
        <v>0</v>
      </c>
      <c r="J15" s="729"/>
    </row>
    <row r="16" spans="1:10" x14ac:dyDescent="0.25">
      <c r="B16" s="856">
        <f t="shared" si="1"/>
        <v>0</v>
      </c>
      <c r="C16" s="811"/>
      <c r="D16" s="982"/>
      <c r="E16" s="848"/>
      <c r="F16" s="697">
        <f t="shared" si="0"/>
        <v>0</v>
      </c>
      <c r="G16" s="695"/>
      <c r="H16" s="696"/>
      <c r="I16" s="731">
        <f t="shared" si="2"/>
        <v>0</v>
      </c>
      <c r="J16" s="729"/>
    </row>
    <row r="17" spans="2:10" x14ac:dyDescent="0.25">
      <c r="B17" s="856">
        <f t="shared" si="1"/>
        <v>0</v>
      </c>
      <c r="C17" s="811"/>
      <c r="D17" s="982"/>
      <c r="E17" s="848"/>
      <c r="F17" s="697">
        <f t="shared" si="0"/>
        <v>0</v>
      </c>
      <c r="G17" s="695"/>
      <c r="H17" s="696"/>
      <c r="I17" s="731">
        <f t="shared" si="2"/>
        <v>0</v>
      </c>
      <c r="J17" s="729"/>
    </row>
    <row r="18" spans="2:10" x14ac:dyDescent="0.25">
      <c r="B18" s="856">
        <f t="shared" si="1"/>
        <v>0</v>
      </c>
      <c r="C18" s="811"/>
      <c r="D18" s="982"/>
      <c r="E18" s="848"/>
      <c r="F18" s="697">
        <f t="shared" si="0"/>
        <v>0</v>
      </c>
      <c r="G18" s="695"/>
      <c r="H18" s="696"/>
      <c r="I18" s="731">
        <f t="shared" si="2"/>
        <v>0</v>
      </c>
      <c r="J18" s="729"/>
    </row>
    <row r="19" spans="2:10" x14ac:dyDescent="0.25">
      <c r="B19" s="856">
        <f t="shared" si="1"/>
        <v>0</v>
      </c>
      <c r="C19" s="811"/>
      <c r="D19" s="982"/>
      <c r="E19" s="848"/>
      <c r="F19" s="697">
        <f t="shared" si="0"/>
        <v>0</v>
      </c>
      <c r="G19" s="695"/>
      <c r="H19" s="696"/>
      <c r="I19" s="731">
        <f t="shared" si="2"/>
        <v>0</v>
      </c>
      <c r="J19" s="729"/>
    </row>
    <row r="20" spans="2:10" x14ac:dyDescent="0.25">
      <c r="B20" s="856">
        <f t="shared" si="1"/>
        <v>0</v>
      </c>
      <c r="C20" s="811"/>
      <c r="D20" s="982"/>
      <c r="E20" s="848"/>
      <c r="F20" s="697">
        <f t="shared" si="0"/>
        <v>0</v>
      </c>
      <c r="G20" s="695"/>
      <c r="H20" s="696"/>
      <c r="I20" s="731">
        <f t="shared" si="2"/>
        <v>0</v>
      </c>
      <c r="J20" s="729"/>
    </row>
    <row r="21" spans="2:10" x14ac:dyDescent="0.25">
      <c r="B21" s="856">
        <f t="shared" si="1"/>
        <v>0</v>
      </c>
      <c r="C21" s="811"/>
      <c r="D21" s="987"/>
      <c r="E21" s="848"/>
      <c r="F21" s="697">
        <f t="shared" si="0"/>
        <v>0</v>
      </c>
      <c r="G21" s="695"/>
      <c r="H21" s="696"/>
      <c r="I21" s="731">
        <f t="shared" si="2"/>
        <v>0</v>
      </c>
      <c r="J21" s="729"/>
    </row>
    <row r="22" spans="2:10" x14ac:dyDescent="0.25">
      <c r="B22" s="856">
        <f t="shared" si="1"/>
        <v>0</v>
      </c>
      <c r="C22" s="811"/>
      <c r="D22" s="987"/>
      <c r="E22" s="848"/>
      <c r="F22" s="697">
        <f t="shared" si="0"/>
        <v>0</v>
      </c>
      <c r="G22" s="695"/>
      <c r="H22" s="696"/>
      <c r="I22" s="731">
        <f t="shared" si="2"/>
        <v>0</v>
      </c>
      <c r="J22" s="729"/>
    </row>
    <row r="23" spans="2:10" x14ac:dyDescent="0.25">
      <c r="B23" s="856">
        <f t="shared" si="1"/>
        <v>0</v>
      </c>
      <c r="C23" s="811"/>
      <c r="D23" s="987"/>
      <c r="E23" s="848"/>
      <c r="F23" s="697">
        <f t="shared" si="0"/>
        <v>0</v>
      </c>
      <c r="G23" s="695"/>
      <c r="H23" s="696"/>
      <c r="I23" s="731">
        <f t="shared" si="2"/>
        <v>0</v>
      </c>
      <c r="J23" s="729"/>
    </row>
    <row r="24" spans="2:10" x14ac:dyDescent="0.25">
      <c r="B24" s="856">
        <f t="shared" si="1"/>
        <v>0</v>
      </c>
      <c r="C24" s="811"/>
      <c r="D24" s="987"/>
      <c r="E24" s="848"/>
      <c r="F24" s="697">
        <f t="shared" si="0"/>
        <v>0</v>
      </c>
      <c r="G24" s="695"/>
      <c r="H24" s="696"/>
      <c r="I24" s="731">
        <f t="shared" si="2"/>
        <v>0</v>
      </c>
      <c r="J24" s="729"/>
    </row>
    <row r="25" spans="2:10" x14ac:dyDescent="0.25">
      <c r="B25" s="856">
        <f t="shared" si="1"/>
        <v>0</v>
      </c>
      <c r="C25" s="811"/>
      <c r="D25" s="987"/>
      <c r="E25" s="848"/>
      <c r="F25" s="697">
        <f t="shared" si="0"/>
        <v>0</v>
      </c>
      <c r="G25" s="695"/>
      <c r="H25" s="696"/>
      <c r="I25" s="731">
        <f t="shared" si="2"/>
        <v>0</v>
      </c>
      <c r="J25" s="729"/>
    </row>
    <row r="26" spans="2:10" x14ac:dyDescent="0.25">
      <c r="B26" s="856">
        <f t="shared" si="1"/>
        <v>0</v>
      </c>
      <c r="C26" s="811"/>
      <c r="D26" s="987"/>
      <c r="E26" s="848"/>
      <c r="F26" s="697">
        <f t="shared" si="0"/>
        <v>0</v>
      </c>
      <c r="G26" s="695"/>
      <c r="H26" s="696"/>
      <c r="I26" s="731">
        <f t="shared" si="2"/>
        <v>0</v>
      </c>
      <c r="J26" s="729"/>
    </row>
    <row r="27" spans="2:10" x14ac:dyDescent="0.25">
      <c r="B27" s="856">
        <f t="shared" si="1"/>
        <v>0</v>
      </c>
      <c r="C27" s="811"/>
      <c r="D27" s="987"/>
      <c r="E27" s="848"/>
      <c r="F27" s="697">
        <f t="shared" si="0"/>
        <v>0</v>
      </c>
      <c r="G27" s="695"/>
      <c r="H27" s="696"/>
      <c r="I27" s="731">
        <f t="shared" si="2"/>
        <v>0</v>
      </c>
      <c r="J27" s="729"/>
    </row>
    <row r="28" spans="2:10" x14ac:dyDescent="0.25">
      <c r="B28" s="856">
        <f t="shared" si="1"/>
        <v>0</v>
      </c>
      <c r="C28" s="811"/>
      <c r="D28" s="833"/>
      <c r="E28" s="848"/>
      <c r="F28" s="697">
        <f t="shared" si="0"/>
        <v>0</v>
      </c>
      <c r="G28" s="695"/>
      <c r="H28" s="696"/>
      <c r="I28" s="731">
        <f t="shared" si="2"/>
        <v>0</v>
      </c>
      <c r="J28" s="729"/>
    </row>
    <row r="29" spans="2:10" x14ac:dyDescent="0.25">
      <c r="B29" s="856">
        <f t="shared" si="1"/>
        <v>0</v>
      </c>
      <c r="C29" s="811"/>
      <c r="D29" s="833"/>
      <c r="E29" s="848"/>
      <c r="F29" s="697">
        <f t="shared" si="0"/>
        <v>0</v>
      </c>
      <c r="G29" s="695"/>
      <c r="H29" s="696"/>
      <c r="I29" s="731">
        <f t="shared" si="2"/>
        <v>0</v>
      </c>
      <c r="J29" s="729"/>
    </row>
    <row r="30" spans="2:10" ht="15.75" thickBot="1" x14ac:dyDescent="0.3">
      <c r="B30" s="560">
        <f t="shared" si="1"/>
        <v>0</v>
      </c>
      <c r="C30" s="37"/>
      <c r="D30" s="150">
        <f t="shared" ref="D30" si="3">C30*B30</f>
        <v>0</v>
      </c>
      <c r="E30" s="197"/>
      <c r="F30" s="69">
        <v>0</v>
      </c>
      <c r="G30" s="139"/>
      <c r="H30" s="198"/>
      <c r="I30" s="105">
        <f t="shared" si="2"/>
        <v>0</v>
      </c>
    </row>
    <row r="31" spans="2:10" ht="15.75" thickTop="1" x14ac:dyDescent="0.25">
      <c r="C31" s="15">
        <f>SUM(C9:C30)</f>
        <v>0</v>
      </c>
      <c r="D31" s="6">
        <f>SUM(D9:D30)</f>
        <v>0</v>
      </c>
      <c r="E31" s="13"/>
      <c r="F31" s="6">
        <f>SUM(F9:F30)</f>
        <v>0</v>
      </c>
      <c r="G31" s="31"/>
      <c r="H31" s="17"/>
    </row>
    <row r="32" spans="2:10" ht="15.75" thickBot="1" x14ac:dyDescent="0.3">
      <c r="C32" s="15"/>
      <c r="D32" s="6"/>
      <c r="E32" s="13"/>
      <c r="F32" s="6"/>
      <c r="G32" s="31"/>
      <c r="H32" s="17"/>
    </row>
    <row r="33" spans="3:8" x14ac:dyDescent="0.25">
      <c r="C33" s="50" t="s">
        <v>4</v>
      </c>
      <c r="D33" s="42">
        <v>0</v>
      </c>
      <c r="E33" s="40"/>
      <c r="F33" s="6"/>
      <c r="G33" s="31"/>
      <c r="H33" s="17"/>
    </row>
    <row r="34" spans="3:8" x14ac:dyDescent="0.25">
      <c r="C34" s="1430" t="s">
        <v>19</v>
      </c>
      <c r="D34" s="1431"/>
      <c r="E34" s="39">
        <f>D31-F31</f>
        <v>0</v>
      </c>
      <c r="F34" s="6"/>
      <c r="G34" s="6"/>
      <c r="H34" s="17"/>
    </row>
    <row r="35" spans="3:8" ht="15.75" thickBot="1" x14ac:dyDescent="0.3">
      <c r="C35" s="44"/>
      <c r="D35" s="43"/>
      <c r="E35" s="41"/>
      <c r="F35" s="6"/>
      <c r="G35" s="31"/>
      <c r="H35" s="17"/>
    </row>
    <row r="36" spans="3:8" x14ac:dyDescent="0.25">
      <c r="C36" s="15"/>
      <c r="D36" s="6"/>
      <c r="E36" s="13"/>
      <c r="F36" s="6"/>
      <c r="G36" s="31"/>
      <c r="H36" s="17"/>
    </row>
  </sheetData>
  <mergeCells count="5">
    <mergeCell ref="C34:D34"/>
    <mergeCell ref="A1:G1"/>
    <mergeCell ref="B5:B6"/>
    <mergeCell ref="A5:A6"/>
    <mergeCell ref="I7:I8"/>
  </mergeCells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W83"/>
  <sheetViews>
    <sheetView topLeftCell="AK1" workbookViewId="0">
      <pane ySplit="8" topLeftCell="A9" activePane="bottomLeft" state="frozen"/>
      <selection pane="bottomLeft" activeCell="AY23" sqref="AY23"/>
    </sheetView>
  </sheetViews>
  <sheetFormatPr baseColWidth="10" defaultRowHeight="15" x14ac:dyDescent="0.25"/>
  <cols>
    <col min="1" max="1" width="26.7109375" customWidth="1"/>
    <col min="2" max="2" width="22.42578125" customWidth="1"/>
    <col min="3" max="3" width="14.7109375" customWidth="1"/>
    <col min="5" max="5" width="14.140625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  <col min="21" max="21" width="26.7109375" customWidth="1"/>
    <col min="22" max="22" width="22.42578125" customWidth="1"/>
    <col min="23" max="23" width="14.7109375" customWidth="1"/>
    <col min="25" max="25" width="14.140625" customWidth="1"/>
    <col min="29" max="29" width="11.42578125" style="61"/>
    <col min="31" max="31" width="26.7109375" customWidth="1"/>
    <col min="32" max="32" width="18" customWidth="1"/>
    <col min="33" max="33" width="14.7109375" customWidth="1"/>
    <col min="35" max="35" width="13" bestFit="1" customWidth="1"/>
    <col min="39" max="39" width="11.42578125" style="61"/>
    <col min="41" max="41" width="26.7109375" customWidth="1"/>
    <col min="42" max="42" width="18" customWidth="1"/>
    <col min="43" max="43" width="14.7109375" customWidth="1"/>
    <col min="45" max="45" width="13" bestFit="1" customWidth="1"/>
    <col min="49" max="49" width="11.42578125" style="61"/>
  </cols>
  <sheetData>
    <row r="1" spans="1:49" ht="40.5" x14ac:dyDescent="0.55000000000000004">
      <c r="A1" s="1386" t="s">
        <v>328</v>
      </c>
      <c r="B1" s="1386"/>
      <c r="C1" s="1386"/>
      <c r="D1" s="1386"/>
      <c r="E1" s="1386"/>
      <c r="F1" s="1386"/>
      <c r="G1" s="1386"/>
      <c r="H1" s="11">
        <v>1</v>
      </c>
      <c r="K1" s="1386" t="str">
        <f>A1</f>
        <v>INVENTARIO DEL MES DE  NOVIEMBRE  2022</v>
      </c>
      <c r="L1" s="1386"/>
      <c r="M1" s="1386"/>
      <c r="N1" s="1386"/>
      <c r="O1" s="1386"/>
      <c r="P1" s="1386"/>
      <c r="Q1" s="1386"/>
      <c r="R1" s="11">
        <v>2</v>
      </c>
      <c r="U1" s="1390" t="s">
        <v>339</v>
      </c>
      <c r="V1" s="1390"/>
      <c r="W1" s="1390"/>
      <c r="X1" s="1390"/>
      <c r="Y1" s="1390"/>
      <c r="Z1" s="1390"/>
      <c r="AA1" s="1390"/>
      <c r="AB1" s="11">
        <v>3</v>
      </c>
      <c r="AE1" s="1390" t="s">
        <v>339</v>
      </c>
      <c r="AF1" s="1390"/>
      <c r="AG1" s="1390"/>
      <c r="AH1" s="1390"/>
      <c r="AI1" s="1390"/>
      <c r="AJ1" s="1390"/>
      <c r="AK1" s="1390"/>
      <c r="AL1" s="11">
        <v>4</v>
      </c>
      <c r="AO1" s="1390" t="s">
        <v>339</v>
      </c>
      <c r="AP1" s="1390"/>
      <c r="AQ1" s="1390"/>
      <c r="AR1" s="1390"/>
      <c r="AS1" s="1390"/>
      <c r="AT1" s="1390"/>
      <c r="AU1" s="1390"/>
      <c r="AV1" s="11">
        <v>5</v>
      </c>
    </row>
    <row r="2" spans="1:49" ht="15.75" thickBot="1" x14ac:dyDescent="0.3">
      <c r="C2" s="12"/>
      <c r="D2" s="12"/>
      <c r="F2" s="12"/>
      <c r="M2" s="12"/>
      <c r="N2" s="12"/>
      <c r="P2" s="12"/>
      <c r="W2" s="12"/>
      <c r="X2" s="12"/>
      <c r="Z2" s="12"/>
      <c r="AG2" s="12"/>
      <c r="AH2" s="12"/>
      <c r="AJ2" s="12"/>
      <c r="AQ2" s="12"/>
      <c r="AR2" s="12"/>
      <c r="AT2" s="12"/>
    </row>
    <row r="3" spans="1:4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E3" s="63" t="s">
        <v>0</v>
      </c>
      <c r="AF3" s="8" t="s">
        <v>1</v>
      </c>
      <c r="AG3" s="9"/>
      <c r="AH3" s="9" t="s">
        <v>2</v>
      </c>
      <c r="AI3" s="9" t="s">
        <v>3</v>
      </c>
      <c r="AJ3" s="9" t="s">
        <v>4</v>
      </c>
      <c r="AK3" s="26" t="s">
        <v>34</v>
      </c>
      <c r="AL3" s="35" t="s">
        <v>11</v>
      </c>
      <c r="AO3" s="63" t="s">
        <v>0</v>
      </c>
      <c r="AP3" s="8" t="s">
        <v>1</v>
      </c>
      <c r="AQ3" s="9"/>
      <c r="AR3" s="9" t="s">
        <v>2</v>
      </c>
      <c r="AS3" s="9" t="s">
        <v>3</v>
      </c>
      <c r="AT3" s="9" t="s">
        <v>4</v>
      </c>
      <c r="AU3" s="26" t="s">
        <v>34</v>
      </c>
      <c r="AV3" s="35" t="s">
        <v>11</v>
      </c>
    </row>
    <row r="4" spans="1:49" ht="17.25" thickTop="1" thickBot="1" x14ac:dyDescent="0.3">
      <c r="A4" s="12"/>
      <c r="B4" s="12"/>
      <c r="C4" s="415"/>
      <c r="D4" s="134"/>
      <c r="E4" s="78"/>
      <c r="F4" s="62"/>
      <c r="G4" s="155"/>
      <c r="H4" s="155"/>
      <c r="K4" s="12"/>
      <c r="L4" s="12"/>
      <c r="M4" s="568"/>
      <c r="N4" s="134"/>
      <c r="O4" s="78"/>
      <c r="P4" s="62"/>
      <c r="Q4" s="155"/>
      <c r="R4" s="155"/>
      <c r="U4" s="12"/>
      <c r="V4" s="12"/>
      <c r="W4" s="415"/>
      <c r="X4" s="134"/>
      <c r="Y4" s="78"/>
      <c r="Z4" s="62"/>
      <c r="AA4" s="155"/>
      <c r="AB4" s="155"/>
      <c r="AE4" s="12"/>
      <c r="AF4" s="12"/>
      <c r="AG4" s="568"/>
      <c r="AH4" s="134"/>
      <c r="AI4" s="78"/>
      <c r="AJ4" s="62"/>
      <c r="AK4" s="155"/>
      <c r="AL4" s="155"/>
      <c r="AO4" s="12"/>
      <c r="AP4" s="12"/>
      <c r="AQ4" s="568"/>
      <c r="AR4" s="134"/>
      <c r="AS4" s="78">
        <v>10</v>
      </c>
      <c r="AT4" s="62">
        <v>1</v>
      </c>
      <c r="AU4" s="155"/>
      <c r="AV4" s="155"/>
    </row>
    <row r="5" spans="1:49" ht="22.5" customHeight="1" x14ac:dyDescent="0.25">
      <c r="A5" s="1398" t="s">
        <v>64</v>
      </c>
      <c r="B5" s="1435" t="s">
        <v>69</v>
      </c>
      <c r="C5" s="391">
        <v>85</v>
      </c>
      <c r="D5" s="134">
        <v>44862</v>
      </c>
      <c r="E5" s="827">
        <v>150</v>
      </c>
      <c r="F5" s="845">
        <v>15</v>
      </c>
      <c r="G5" s="5"/>
      <c r="K5" s="1420" t="s">
        <v>175</v>
      </c>
      <c r="L5" s="1436" t="s">
        <v>68</v>
      </c>
      <c r="M5" s="391">
        <v>100</v>
      </c>
      <c r="N5" s="134">
        <v>44837</v>
      </c>
      <c r="O5" s="208">
        <v>150</v>
      </c>
      <c r="P5" s="62">
        <v>15</v>
      </c>
      <c r="Q5" s="5"/>
      <c r="U5" s="1398" t="s">
        <v>374</v>
      </c>
      <c r="V5" s="1435" t="s">
        <v>69</v>
      </c>
      <c r="W5" s="391">
        <v>85</v>
      </c>
      <c r="X5" s="711">
        <v>44900</v>
      </c>
      <c r="Y5" s="1019">
        <v>150</v>
      </c>
      <c r="Z5" s="872">
        <v>15</v>
      </c>
      <c r="AA5" s="5"/>
      <c r="AE5" s="1420" t="s">
        <v>175</v>
      </c>
      <c r="AF5" s="1438" t="s">
        <v>656</v>
      </c>
      <c r="AG5" s="391">
        <v>230</v>
      </c>
      <c r="AH5" s="134">
        <v>44900</v>
      </c>
      <c r="AI5" s="208">
        <v>20</v>
      </c>
      <c r="AJ5" s="62">
        <v>1</v>
      </c>
      <c r="AK5" s="5"/>
      <c r="AO5" s="1420" t="s">
        <v>175</v>
      </c>
      <c r="AP5" s="1436" t="s">
        <v>68</v>
      </c>
      <c r="AQ5" s="391">
        <v>100</v>
      </c>
      <c r="AR5" s="134">
        <v>44907</v>
      </c>
      <c r="AS5" s="208">
        <v>150</v>
      </c>
      <c r="AT5" s="62">
        <v>15</v>
      </c>
      <c r="AU5" s="5"/>
    </row>
    <row r="6" spans="1:49" ht="22.5" customHeight="1" thickBot="1" x14ac:dyDescent="0.3">
      <c r="A6" s="1398"/>
      <c r="B6" s="1435"/>
      <c r="C6" s="12"/>
      <c r="D6" s="12"/>
      <c r="E6" s="556"/>
      <c r="F6" s="144"/>
      <c r="G6" s="47">
        <f>F78</f>
        <v>150</v>
      </c>
      <c r="H6" s="7">
        <f>E6-G6+E7+E5-G5+E4</f>
        <v>0</v>
      </c>
      <c r="K6" s="1420"/>
      <c r="L6" s="1437"/>
      <c r="M6" s="391">
        <v>95</v>
      </c>
      <c r="N6" s="134">
        <v>44862</v>
      </c>
      <c r="O6" s="208">
        <v>100</v>
      </c>
      <c r="P6" s="62">
        <v>10</v>
      </c>
      <c r="Q6" s="47">
        <f>P78</f>
        <v>250</v>
      </c>
      <c r="R6" s="7">
        <f>O6-Q6+O7+O5-Q5+O4</f>
        <v>0</v>
      </c>
      <c r="U6" s="1398"/>
      <c r="V6" s="1435"/>
      <c r="W6" s="391">
        <v>85</v>
      </c>
      <c r="X6" s="711">
        <v>44925</v>
      </c>
      <c r="Y6" s="556">
        <v>100</v>
      </c>
      <c r="Z6" s="144">
        <v>10</v>
      </c>
      <c r="AA6" s="47">
        <f>Z78</f>
        <v>170</v>
      </c>
      <c r="AB6" s="7">
        <f>Y6-AA6+Y7+Y5-AA5+Y4</f>
        <v>80</v>
      </c>
      <c r="AE6" s="1420"/>
      <c r="AF6" s="1439"/>
      <c r="AG6" s="391"/>
      <c r="AH6" s="134"/>
      <c r="AI6" s="208"/>
      <c r="AJ6" s="62"/>
      <c r="AK6" s="47">
        <f>AJ78</f>
        <v>20</v>
      </c>
      <c r="AL6" s="7">
        <f>AI6-AK6+AI7+AI5-AK5+AI4</f>
        <v>0</v>
      </c>
      <c r="AO6" s="1420"/>
      <c r="AP6" s="1437"/>
      <c r="AQ6" s="391">
        <v>100</v>
      </c>
      <c r="AR6" s="134">
        <v>44914</v>
      </c>
      <c r="AS6" s="208">
        <v>150</v>
      </c>
      <c r="AT6" s="62">
        <v>15</v>
      </c>
      <c r="AU6" s="47">
        <f>AT78</f>
        <v>260</v>
      </c>
      <c r="AV6" s="7">
        <f>AS6-AU6+AS7+AS5-AU5+AS4</f>
        <v>50</v>
      </c>
    </row>
    <row r="7" spans="1:49" ht="24.75" customHeight="1" thickBot="1" x14ac:dyDescent="0.3">
      <c r="B7" s="19"/>
      <c r="C7" s="740"/>
      <c r="D7" s="741"/>
      <c r="E7" s="742"/>
      <c r="F7" s="743"/>
      <c r="L7" s="19"/>
      <c r="M7" s="230"/>
      <c r="N7" s="231"/>
      <c r="O7" s="78"/>
      <c r="P7" s="62"/>
      <c r="V7" s="19"/>
      <c r="W7" s="740"/>
      <c r="X7" s="741"/>
      <c r="Y7" s="742"/>
      <c r="Z7" s="743"/>
      <c r="AF7" s="19"/>
      <c r="AG7" s="230"/>
      <c r="AH7" s="231"/>
      <c r="AI7" s="78"/>
      <c r="AJ7" s="62"/>
      <c r="AP7" s="19"/>
      <c r="AQ7" s="230"/>
      <c r="AR7" s="231"/>
      <c r="AS7" s="78"/>
      <c r="AT7" s="62"/>
    </row>
    <row r="8" spans="1:4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4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  <c r="AF8" s="64" t="s">
        <v>7</v>
      </c>
      <c r="AG8" s="27" t="s">
        <v>8</v>
      </c>
      <c r="AH8" s="32" t="s">
        <v>3</v>
      </c>
      <c r="AI8" s="33" t="s">
        <v>2</v>
      </c>
      <c r="AJ8" s="9" t="s">
        <v>9</v>
      </c>
      <c r="AK8" s="10" t="s">
        <v>15</v>
      </c>
      <c r="AL8" s="24"/>
      <c r="AP8" s="64" t="s">
        <v>7</v>
      </c>
      <c r="AQ8" s="27" t="s">
        <v>8</v>
      </c>
      <c r="AR8" s="32" t="s">
        <v>3</v>
      </c>
      <c r="AS8" s="33" t="s">
        <v>2</v>
      </c>
      <c r="AT8" s="9" t="s">
        <v>9</v>
      </c>
      <c r="AU8" s="10" t="s">
        <v>15</v>
      </c>
      <c r="AV8" s="24"/>
    </row>
    <row r="9" spans="1:49" ht="15.75" thickTop="1" x14ac:dyDescent="0.25">
      <c r="A9" s="80" t="s">
        <v>32</v>
      </c>
      <c r="B9" s="83">
        <f>F6-C9+F5+F7+F4</f>
        <v>14</v>
      </c>
      <c r="C9" s="15">
        <v>1</v>
      </c>
      <c r="D9" s="69">
        <v>10</v>
      </c>
      <c r="E9" s="202">
        <v>44872</v>
      </c>
      <c r="F9" s="69">
        <f>D9</f>
        <v>10</v>
      </c>
      <c r="G9" s="70" t="s">
        <v>249</v>
      </c>
      <c r="H9" s="71">
        <v>100</v>
      </c>
      <c r="I9" s="105">
        <f>E6-F9+E5+E7+E4</f>
        <v>140</v>
      </c>
      <c r="K9" s="80" t="s">
        <v>32</v>
      </c>
      <c r="L9" s="83">
        <f>P6-M9+P5+P7+P4</f>
        <v>24</v>
      </c>
      <c r="M9" s="73">
        <v>1</v>
      </c>
      <c r="N9" s="69">
        <v>10</v>
      </c>
      <c r="O9" s="202">
        <v>44854</v>
      </c>
      <c r="P9" s="69">
        <f>N9</f>
        <v>10</v>
      </c>
      <c r="Q9" s="70" t="s">
        <v>201</v>
      </c>
      <c r="R9" s="71">
        <v>115</v>
      </c>
      <c r="S9" s="105">
        <f>O6-P9+O5+O7+O4</f>
        <v>240</v>
      </c>
      <c r="U9" s="80" t="s">
        <v>32</v>
      </c>
      <c r="V9" s="83">
        <f>Z6-W9+Z5+Z7+Z4</f>
        <v>24</v>
      </c>
      <c r="W9" s="15">
        <v>1</v>
      </c>
      <c r="X9" s="69">
        <v>10</v>
      </c>
      <c r="Y9" s="202">
        <v>44907</v>
      </c>
      <c r="Z9" s="69">
        <f>X9</f>
        <v>10</v>
      </c>
      <c r="AA9" s="70" t="s">
        <v>680</v>
      </c>
      <c r="AB9" s="71">
        <v>100</v>
      </c>
      <c r="AC9" s="105">
        <f>Y6-Z9+Y5+Y7+Y4</f>
        <v>240</v>
      </c>
      <c r="AE9" s="80" t="s">
        <v>32</v>
      </c>
      <c r="AF9" s="83">
        <f>AJ6-AG9+AJ5+AJ7+AJ4</f>
        <v>0</v>
      </c>
      <c r="AG9" s="73">
        <v>1</v>
      </c>
      <c r="AH9" s="69">
        <v>20</v>
      </c>
      <c r="AI9" s="202">
        <v>44903</v>
      </c>
      <c r="AJ9" s="69">
        <f>AH9</f>
        <v>20</v>
      </c>
      <c r="AK9" s="70" t="s">
        <v>651</v>
      </c>
      <c r="AL9" s="71">
        <v>230</v>
      </c>
      <c r="AM9" s="105">
        <f>AI6-AJ9+AI5+AI7+AI4</f>
        <v>0</v>
      </c>
      <c r="AO9" s="80" t="s">
        <v>32</v>
      </c>
      <c r="AP9" s="83">
        <f>AT6-AQ9+AT5+AT7+AT4</f>
        <v>26</v>
      </c>
      <c r="AQ9" s="73">
        <v>5</v>
      </c>
      <c r="AR9" s="69">
        <v>50</v>
      </c>
      <c r="AS9" s="202">
        <v>44908</v>
      </c>
      <c r="AT9" s="69">
        <f>AR9</f>
        <v>50</v>
      </c>
      <c r="AU9" s="70" t="s">
        <v>691</v>
      </c>
      <c r="AV9" s="71">
        <v>115</v>
      </c>
      <c r="AW9" s="105">
        <f>AS6-AT9+AS5+AS7+AS4</f>
        <v>260</v>
      </c>
    </row>
    <row r="10" spans="1:49" x14ac:dyDescent="0.25">
      <c r="A10" s="194"/>
      <c r="B10" s="83">
        <f t="shared" ref="B10:B73" si="0">B9-C10</f>
        <v>13</v>
      </c>
      <c r="C10" s="73">
        <v>1</v>
      </c>
      <c r="D10" s="69">
        <v>10</v>
      </c>
      <c r="E10" s="202">
        <v>44873</v>
      </c>
      <c r="F10" s="69">
        <f t="shared" ref="F10:F73" si="1">D10</f>
        <v>10</v>
      </c>
      <c r="G10" s="70" t="s">
        <v>250</v>
      </c>
      <c r="H10" s="71">
        <v>100</v>
      </c>
      <c r="I10" s="105">
        <f>I9-F10</f>
        <v>130</v>
      </c>
      <c r="K10" s="194"/>
      <c r="L10" s="83">
        <f t="shared" ref="L10:L73" si="2">L9-M10</f>
        <v>23</v>
      </c>
      <c r="M10" s="15">
        <v>1</v>
      </c>
      <c r="N10" s="69">
        <v>10</v>
      </c>
      <c r="O10" s="202">
        <v>44863</v>
      </c>
      <c r="P10" s="69">
        <f>N10</f>
        <v>10</v>
      </c>
      <c r="Q10" s="70" t="s">
        <v>214</v>
      </c>
      <c r="R10" s="71">
        <v>115</v>
      </c>
      <c r="S10" s="105">
        <f>S9-P10</f>
        <v>230</v>
      </c>
      <c r="U10" s="194"/>
      <c r="V10" s="83">
        <f t="shared" ref="V10:V73" si="3">V9-W10</f>
        <v>23</v>
      </c>
      <c r="W10" s="73">
        <v>1</v>
      </c>
      <c r="X10" s="69">
        <v>10</v>
      </c>
      <c r="Y10" s="202">
        <v>44910</v>
      </c>
      <c r="Z10" s="69">
        <f t="shared" ref="Z10:Z73" si="4">X10</f>
        <v>10</v>
      </c>
      <c r="AA10" s="70" t="s">
        <v>722</v>
      </c>
      <c r="AB10" s="71">
        <v>100</v>
      </c>
      <c r="AC10" s="105">
        <f>AC9-Z10</f>
        <v>230</v>
      </c>
      <c r="AE10" s="194"/>
      <c r="AF10" s="886">
        <f t="shared" ref="AF10:AF73" si="5">AF9-AG10</f>
        <v>0</v>
      </c>
      <c r="AG10" s="811"/>
      <c r="AH10" s="697"/>
      <c r="AI10" s="727"/>
      <c r="AJ10" s="1165">
        <f>AH10</f>
        <v>0</v>
      </c>
      <c r="AK10" s="1166"/>
      <c r="AL10" s="1167"/>
      <c r="AM10" s="1163">
        <f>AM9-AJ10</f>
        <v>0</v>
      </c>
      <c r="AN10" s="729"/>
      <c r="AO10" s="194"/>
      <c r="AP10" s="886">
        <f t="shared" ref="AP10:AP73" si="6">AP9-AQ10</f>
        <v>25</v>
      </c>
      <c r="AQ10" s="811">
        <v>1</v>
      </c>
      <c r="AR10" s="697">
        <v>10</v>
      </c>
      <c r="AS10" s="727">
        <v>44910</v>
      </c>
      <c r="AT10" s="697">
        <f>AR10</f>
        <v>10</v>
      </c>
      <c r="AU10" s="695" t="s">
        <v>720</v>
      </c>
      <c r="AV10" s="696">
        <v>115</v>
      </c>
      <c r="AW10" s="731">
        <f>AW9-AT10</f>
        <v>250</v>
      </c>
    </row>
    <row r="11" spans="1:49" x14ac:dyDescent="0.25">
      <c r="A11" s="182"/>
      <c r="B11" s="83">
        <f t="shared" si="0"/>
        <v>12</v>
      </c>
      <c r="C11" s="62">
        <v>1</v>
      </c>
      <c r="D11" s="69">
        <v>10</v>
      </c>
      <c r="E11" s="202">
        <v>44875</v>
      </c>
      <c r="F11" s="69">
        <f t="shared" si="1"/>
        <v>10</v>
      </c>
      <c r="G11" s="70" t="s">
        <v>260</v>
      </c>
      <c r="H11" s="71">
        <v>100</v>
      </c>
      <c r="I11" s="105">
        <f t="shared" ref="I11:I74" si="7">I10-F11</f>
        <v>120</v>
      </c>
      <c r="K11" s="182"/>
      <c r="L11" s="815">
        <f t="shared" si="2"/>
        <v>22</v>
      </c>
      <c r="M11" s="15">
        <v>1</v>
      </c>
      <c r="N11" s="69">
        <v>10</v>
      </c>
      <c r="O11" s="202">
        <v>44863</v>
      </c>
      <c r="P11" s="69">
        <f>N11</f>
        <v>10</v>
      </c>
      <c r="Q11" s="70" t="s">
        <v>216</v>
      </c>
      <c r="R11" s="71">
        <v>115</v>
      </c>
      <c r="S11" s="814">
        <f t="shared" ref="S11:S74" si="8">S10-P11</f>
        <v>220</v>
      </c>
      <c r="U11" s="182"/>
      <c r="V11" s="83">
        <f t="shared" si="3"/>
        <v>22</v>
      </c>
      <c r="W11" s="62">
        <v>1</v>
      </c>
      <c r="X11" s="69">
        <v>10</v>
      </c>
      <c r="Y11" s="202">
        <v>44914</v>
      </c>
      <c r="Z11" s="69">
        <f t="shared" si="4"/>
        <v>10</v>
      </c>
      <c r="AA11" s="70" t="s">
        <v>753</v>
      </c>
      <c r="AB11" s="71">
        <v>100</v>
      </c>
      <c r="AC11" s="105">
        <f t="shared" ref="AC11:AC74" si="9">AC10-Z11</f>
        <v>220</v>
      </c>
      <c r="AE11" s="182"/>
      <c r="AF11" s="886">
        <f t="shared" si="5"/>
        <v>0</v>
      </c>
      <c r="AG11" s="811"/>
      <c r="AH11" s="697"/>
      <c r="AI11" s="727"/>
      <c r="AJ11" s="1165">
        <f>AH11</f>
        <v>0</v>
      </c>
      <c r="AK11" s="1166"/>
      <c r="AL11" s="1167"/>
      <c r="AM11" s="1163">
        <f t="shared" ref="AM11:AM74" si="10">AM10-AJ11</f>
        <v>0</v>
      </c>
      <c r="AN11" s="729"/>
      <c r="AO11" s="182"/>
      <c r="AP11" s="886">
        <f t="shared" si="6"/>
        <v>24</v>
      </c>
      <c r="AQ11" s="811">
        <v>1</v>
      </c>
      <c r="AR11" s="697">
        <v>10</v>
      </c>
      <c r="AS11" s="727">
        <v>44910</v>
      </c>
      <c r="AT11" s="697">
        <f>AR11</f>
        <v>10</v>
      </c>
      <c r="AU11" s="695" t="s">
        <v>722</v>
      </c>
      <c r="AV11" s="696">
        <v>115</v>
      </c>
      <c r="AW11" s="731">
        <f t="shared" ref="AW11:AW74" si="11">AW10-AT11</f>
        <v>240</v>
      </c>
    </row>
    <row r="12" spans="1:49" x14ac:dyDescent="0.25">
      <c r="A12" s="182"/>
      <c r="B12" s="83">
        <f t="shared" si="0"/>
        <v>11</v>
      </c>
      <c r="C12" s="62">
        <v>1</v>
      </c>
      <c r="D12" s="69">
        <v>10</v>
      </c>
      <c r="E12" s="202">
        <v>44879</v>
      </c>
      <c r="F12" s="69">
        <f t="shared" si="1"/>
        <v>10</v>
      </c>
      <c r="G12" s="70" t="s">
        <v>272</v>
      </c>
      <c r="H12" s="71">
        <v>100</v>
      </c>
      <c r="I12" s="105">
        <f t="shared" si="7"/>
        <v>110</v>
      </c>
      <c r="K12" s="182"/>
      <c r="L12" s="83">
        <f t="shared" si="2"/>
        <v>21</v>
      </c>
      <c r="M12" s="15">
        <v>1</v>
      </c>
      <c r="N12" s="829">
        <v>10</v>
      </c>
      <c r="O12" s="830">
        <v>44866</v>
      </c>
      <c r="P12" s="829">
        <f>N12</f>
        <v>10</v>
      </c>
      <c r="Q12" s="831" t="s">
        <v>234</v>
      </c>
      <c r="R12" s="832">
        <v>115</v>
      </c>
      <c r="S12" s="105">
        <f t="shared" si="8"/>
        <v>210</v>
      </c>
      <c r="U12" s="182"/>
      <c r="V12" s="83">
        <f t="shared" si="3"/>
        <v>21</v>
      </c>
      <c r="W12" s="62">
        <v>1</v>
      </c>
      <c r="X12" s="69">
        <v>10</v>
      </c>
      <c r="Y12" s="202">
        <v>44915</v>
      </c>
      <c r="Z12" s="69">
        <f t="shared" si="4"/>
        <v>10</v>
      </c>
      <c r="AA12" s="70" t="s">
        <v>763</v>
      </c>
      <c r="AB12" s="71">
        <v>100</v>
      </c>
      <c r="AC12" s="105">
        <f t="shared" si="9"/>
        <v>210</v>
      </c>
      <c r="AE12" s="182"/>
      <c r="AF12" s="886">
        <f t="shared" si="5"/>
        <v>0</v>
      </c>
      <c r="AG12" s="811"/>
      <c r="AH12" s="697"/>
      <c r="AI12" s="727"/>
      <c r="AJ12" s="1165">
        <f>AH12</f>
        <v>0</v>
      </c>
      <c r="AK12" s="1166"/>
      <c r="AL12" s="1167"/>
      <c r="AM12" s="1163">
        <f t="shared" si="10"/>
        <v>0</v>
      </c>
      <c r="AN12" s="729"/>
      <c r="AO12" s="182"/>
      <c r="AP12" s="886">
        <f t="shared" si="6"/>
        <v>22</v>
      </c>
      <c r="AQ12" s="811">
        <v>2</v>
      </c>
      <c r="AR12" s="697">
        <v>20</v>
      </c>
      <c r="AS12" s="727">
        <v>44911</v>
      </c>
      <c r="AT12" s="697">
        <f>AR12</f>
        <v>20</v>
      </c>
      <c r="AU12" s="695" t="s">
        <v>726</v>
      </c>
      <c r="AV12" s="696">
        <v>115</v>
      </c>
      <c r="AW12" s="731">
        <f t="shared" si="11"/>
        <v>220</v>
      </c>
    </row>
    <row r="13" spans="1:49" x14ac:dyDescent="0.25">
      <c r="A13" s="82" t="s">
        <v>33</v>
      </c>
      <c r="B13" s="83">
        <f t="shared" si="0"/>
        <v>10</v>
      </c>
      <c r="C13" s="62">
        <v>1</v>
      </c>
      <c r="D13" s="69">
        <v>10</v>
      </c>
      <c r="E13" s="202">
        <v>44881</v>
      </c>
      <c r="F13" s="69">
        <f t="shared" si="1"/>
        <v>10</v>
      </c>
      <c r="G13" s="70" t="s">
        <v>278</v>
      </c>
      <c r="H13" s="71">
        <v>100</v>
      </c>
      <c r="I13" s="105">
        <f t="shared" si="7"/>
        <v>100</v>
      </c>
      <c r="K13" s="82" t="s">
        <v>33</v>
      </c>
      <c r="L13" s="83">
        <f t="shared" si="2"/>
        <v>20</v>
      </c>
      <c r="M13" s="15">
        <v>1</v>
      </c>
      <c r="N13" s="829">
        <v>10</v>
      </c>
      <c r="O13" s="830">
        <v>44867</v>
      </c>
      <c r="P13" s="829">
        <f>N13</f>
        <v>10</v>
      </c>
      <c r="Q13" s="831" t="s">
        <v>238</v>
      </c>
      <c r="R13" s="832">
        <v>115</v>
      </c>
      <c r="S13" s="105">
        <f t="shared" si="8"/>
        <v>200</v>
      </c>
      <c r="U13" s="82" t="s">
        <v>33</v>
      </c>
      <c r="V13" s="83">
        <f t="shared" si="3"/>
        <v>20</v>
      </c>
      <c r="W13" s="62">
        <v>1</v>
      </c>
      <c r="X13" s="69">
        <v>10</v>
      </c>
      <c r="Y13" s="202">
        <v>44919</v>
      </c>
      <c r="Z13" s="69">
        <f t="shared" si="4"/>
        <v>10</v>
      </c>
      <c r="AA13" s="70" t="s">
        <v>822</v>
      </c>
      <c r="AB13" s="71">
        <v>100</v>
      </c>
      <c r="AC13" s="105">
        <f t="shared" si="9"/>
        <v>200</v>
      </c>
      <c r="AE13" s="82" t="s">
        <v>33</v>
      </c>
      <c r="AF13" s="886">
        <f t="shared" si="5"/>
        <v>0</v>
      </c>
      <c r="AG13" s="811"/>
      <c r="AH13" s="697"/>
      <c r="AI13" s="727"/>
      <c r="AJ13" s="1165">
        <f>AH13</f>
        <v>0</v>
      </c>
      <c r="AK13" s="1166"/>
      <c r="AL13" s="1167"/>
      <c r="AM13" s="1163">
        <f t="shared" si="10"/>
        <v>0</v>
      </c>
      <c r="AN13" s="729"/>
      <c r="AO13" s="82" t="s">
        <v>33</v>
      </c>
      <c r="AP13" s="886">
        <f t="shared" si="6"/>
        <v>21</v>
      </c>
      <c r="AQ13" s="811">
        <v>1</v>
      </c>
      <c r="AR13" s="697">
        <v>10</v>
      </c>
      <c r="AS13" s="727">
        <v>44914</v>
      </c>
      <c r="AT13" s="697">
        <f>AR13</f>
        <v>10</v>
      </c>
      <c r="AU13" s="695" t="s">
        <v>753</v>
      </c>
      <c r="AV13" s="696">
        <v>115</v>
      </c>
      <c r="AW13" s="731">
        <f t="shared" si="11"/>
        <v>210</v>
      </c>
    </row>
    <row r="14" spans="1:49" x14ac:dyDescent="0.25">
      <c r="A14" s="73"/>
      <c r="B14" s="83">
        <f t="shared" si="0"/>
        <v>9</v>
      </c>
      <c r="C14" s="62">
        <v>1</v>
      </c>
      <c r="D14" s="69">
        <v>10</v>
      </c>
      <c r="E14" s="202">
        <v>44884</v>
      </c>
      <c r="F14" s="69">
        <f t="shared" si="1"/>
        <v>10</v>
      </c>
      <c r="G14" s="70" t="s">
        <v>290</v>
      </c>
      <c r="H14" s="71">
        <v>100</v>
      </c>
      <c r="I14" s="105">
        <f t="shared" si="7"/>
        <v>90</v>
      </c>
      <c r="K14" s="73"/>
      <c r="L14" s="83">
        <f t="shared" si="2"/>
        <v>19</v>
      </c>
      <c r="M14" s="15">
        <v>1</v>
      </c>
      <c r="N14" s="829">
        <v>10</v>
      </c>
      <c r="O14" s="830">
        <v>44868</v>
      </c>
      <c r="P14" s="829">
        <f t="shared" ref="P14:P76" si="12">N14</f>
        <v>10</v>
      </c>
      <c r="Q14" s="831" t="s">
        <v>240</v>
      </c>
      <c r="R14" s="832">
        <v>115</v>
      </c>
      <c r="S14" s="105">
        <f t="shared" si="8"/>
        <v>190</v>
      </c>
      <c r="U14" s="73"/>
      <c r="V14" s="83">
        <f t="shared" si="3"/>
        <v>19</v>
      </c>
      <c r="W14" s="62">
        <v>1</v>
      </c>
      <c r="X14" s="69">
        <v>10</v>
      </c>
      <c r="Y14" s="202">
        <v>44923</v>
      </c>
      <c r="Z14" s="69">
        <f t="shared" si="4"/>
        <v>10</v>
      </c>
      <c r="AA14" s="70" t="s">
        <v>805</v>
      </c>
      <c r="AB14" s="71">
        <v>100</v>
      </c>
      <c r="AC14" s="105">
        <f t="shared" si="9"/>
        <v>190</v>
      </c>
      <c r="AE14" s="73"/>
      <c r="AF14" s="886">
        <f t="shared" si="5"/>
        <v>0</v>
      </c>
      <c r="AG14" s="811"/>
      <c r="AH14" s="697"/>
      <c r="AI14" s="727"/>
      <c r="AJ14" s="1165">
        <f t="shared" ref="AJ14:AJ76" si="13">AH14</f>
        <v>0</v>
      </c>
      <c r="AK14" s="1166"/>
      <c r="AL14" s="1167"/>
      <c r="AM14" s="1163">
        <f t="shared" si="10"/>
        <v>0</v>
      </c>
      <c r="AN14" s="729"/>
      <c r="AO14" s="73"/>
      <c r="AP14" s="886">
        <f t="shared" si="6"/>
        <v>20</v>
      </c>
      <c r="AQ14" s="811">
        <v>1</v>
      </c>
      <c r="AR14" s="697">
        <v>10</v>
      </c>
      <c r="AS14" s="727">
        <v>44915</v>
      </c>
      <c r="AT14" s="697">
        <f t="shared" ref="AT14:AT76" si="14">AR14</f>
        <v>10</v>
      </c>
      <c r="AU14" s="695" t="s">
        <v>763</v>
      </c>
      <c r="AV14" s="696">
        <v>115</v>
      </c>
      <c r="AW14" s="731">
        <f t="shared" si="11"/>
        <v>200</v>
      </c>
    </row>
    <row r="15" spans="1:49" x14ac:dyDescent="0.25">
      <c r="A15" s="73"/>
      <c r="B15" s="83">
        <f t="shared" si="0"/>
        <v>8</v>
      </c>
      <c r="C15" s="62">
        <v>1</v>
      </c>
      <c r="D15" s="69">
        <v>10</v>
      </c>
      <c r="E15" s="202">
        <v>44888</v>
      </c>
      <c r="F15" s="69">
        <f t="shared" si="1"/>
        <v>10</v>
      </c>
      <c r="G15" s="70" t="s">
        <v>297</v>
      </c>
      <c r="H15" s="71">
        <v>100</v>
      </c>
      <c r="I15" s="105">
        <f t="shared" si="7"/>
        <v>80</v>
      </c>
      <c r="K15" s="73" t="s">
        <v>22</v>
      </c>
      <c r="L15" s="83">
        <f t="shared" si="2"/>
        <v>18</v>
      </c>
      <c r="M15" s="15">
        <v>1</v>
      </c>
      <c r="N15" s="829">
        <v>10</v>
      </c>
      <c r="O15" s="830">
        <v>44869</v>
      </c>
      <c r="P15" s="829">
        <f t="shared" si="12"/>
        <v>10</v>
      </c>
      <c r="Q15" s="831" t="s">
        <v>241</v>
      </c>
      <c r="R15" s="832">
        <v>115</v>
      </c>
      <c r="S15" s="105">
        <f t="shared" si="8"/>
        <v>180</v>
      </c>
      <c r="U15" s="73"/>
      <c r="V15" s="83">
        <f t="shared" si="3"/>
        <v>18</v>
      </c>
      <c r="W15" s="62">
        <v>1</v>
      </c>
      <c r="X15" s="69">
        <v>10</v>
      </c>
      <c r="Y15" s="202">
        <v>44924</v>
      </c>
      <c r="Z15" s="69">
        <f t="shared" si="4"/>
        <v>10</v>
      </c>
      <c r="AA15" s="70" t="s">
        <v>849</v>
      </c>
      <c r="AB15" s="71">
        <v>100</v>
      </c>
      <c r="AC15" s="105">
        <f t="shared" si="9"/>
        <v>180</v>
      </c>
      <c r="AE15" s="73" t="s">
        <v>22</v>
      </c>
      <c r="AF15" s="886">
        <f t="shared" si="5"/>
        <v>0</v>
      </c>
      <c r="AG15" s="811"/>
      <c r="AH15" s="697"/>
      <c r="AI15" s="727"/>
      <c r="AJ15" s="697">
        <f t="shared" si="13"/>
        <v>0</v>
      </c>
      <c r="AK15" s="695"/>
      <c r="AL15" s="696"/>
      <c r="AM15" s="731">
        <f t="shared" si="10"/>
        <v>0</v>
      </c>
      <c r="AN15" s="729"/>
      <c r="AO15" s="73" t="s">
        <v>22</v>
      </c>
      <c r="AP15" s="886">
        <f t="shared" si="6"/>
        <v>18</v>
      </c>
      <c r="AQ15" s="811">
        <v>2</v>
      </c>
      <c r="AR15" s="697">
        <v>20</v>
      </c>
      <c r="AS15" s="727">
        <v>44918</v>
      </c>
      <c r="AT15" s="697">
        <f t="shared" si="14"/>
        <v>20</v>
      </c>
      <c r="AU15" s="695" t="s">
        <v>808</v>
      </c>
      <c r="AV15" s="696">
        <v>115</v>
      </c>
      <c r="AW15" s="731">
        <f t="shared" si="11"/>
        <v>180</v>
      </c>
    </row>
    <row r="16" spans="1:49" x14ac:dyDescent="0.25">
      <c r="B16" s="83">
        <f t="shared" si="0"/>
        <v>7</v>
      </c>
      <c r="C16" s="73">
        <v>1</v>
      </c>
      <c r="D16" s="69">
        <v>10</v>
      </c>
      <c r="E16" s="202">
        <v>44889</v>
      </c>
      <c r="F16" s="69">
        <f t="shared" si="1"/>
        <v>10</v>
      </c>
      <c r="G16" s="70" t="s">
        <v>302</v>
      </c>
      <c r="H16" s="71">
        <v>100</v>
      </c>
      <c r="I16" s="105">
        <f t="shared" si="7"/>
        <v>70</v>
      </c>
      <c r="L16" s="83">
        <f t="shared" si="2"/>
        <v>17</v>
      </c>
      <c r="M16" s="15">
        <v>1</v>
      </c>
      <c r="N16" s="829">
        <v>10</v>
      </c>
      <c r="O16" s="830">
        <v>44872</v>
      </c>
      <c r="P16" s="829">
        <f t="shared" si="12"/>
        <v>10</v>
      </c>
      <c r="Q16" s="831" t="s">
        <v>249</v>
      </c>
      <c r="R16" s="832">
        <v>115</v>
      </c>
      <c r="S16" s="105">
        <f t="shared" si="8"/>
        <v>170</v>
      </c>
      <c r="V16" s="83">
        <f t="shared" si="3"/>
        <v>16</v>
      </c>
      <c r="W16" s="73">
        <v>2</v>
      </c>
      <c r="X16" s="69">
        <v>20</v>
      </c>
      <c r="Y16" s="202">
        <v>44925</v>
      </c>
      <c r="Z16" s="69">
        <f t="shared" si="4"/>
        <v>20</v>
      </c>
      <c r="AA16" s="70" t="s">
        <v>854</v>
      </c>
      <c r="AB16" s="71">
        <v>100</v>
      </c>
      <c r="AC16" s="105">
        <f t="shared" si="9"/>
        <v>160</v>
      </c>
      <c r="AF16" s="886">
        <f t="shared" si="5"/>
        <v>0</v>
      </c>
      <c r="AG16" s="811"/>
      <c r="AH16" s="697"/>
      <c r="AI16" s="727"/>
      <c r="AJ16" s="697">
        <f t="shared" si="13"/>
        <v>0</v>
      </c>
      <c r="AK16" s="695"/>
      <c r="AL16" s="696"/>
      <c r="AM16" s="731">
        <f t="shared" si="10"/>
        <v>0</v>
      </c>
      <c r="AN16" s="729"/>
      <c r="AP16" s="886">
        <f t="shared" si="6"/>
        <v>17</v>
      </c>
      <c r="AQ16" s="811">
        <v>1</v>
      </c>
      <c r="AR16" s="697">
        <v>10</v>
      </c>
      <c r="AS16" s="727">
        <v>44919</v>
      </c>
      <c r="AT16" s="697">
        <f t="shared" si="14"/>
        <v>10</v>
      </c>
      <c r="AU16" s="695" t="s">
        <v>822</v>
      </c>
      <c r="AV16" s="696">
        <v>115</v>
      </c>
      <c r="AW16" s="731">
        <f t="shared" si="11"/>
        <v>170</v>
      </c>
    </row>
    <row r="17" spans="1:49" x14ac:dyDescent="0.25">
      <c r="B17" s="815">
        <f t="shared" si="0"/>
        <v>5</v>
      </c>
      <c r="C17" s="73">
        <v>2</v>
      </c>
      <c r="D17" s="69">
        <v>20</v>
      </c>
      <c r="E17" s="202">
        <v>44891</v>
      </c>
      <c r="F17" s="69">
        <f t="shared" si="1"/>
        <v>20</v>
      </c>
      <c r="G17" s="70" t="s">
        <v>313</v>
      </c>
      <c r="H17" s="71">
        <v>100</v>
      </c>
      <c r="I17" s="814">
        <f t="shared" si="7"/>
        <v>50</v>
      </c>
      <c r="L17" s="83">
        <f t="shared" si="2"/>
        <v>16</v>
      </c>
      <c r="M17" s="15">
        <v>1</v>
      </c>
      <c r="N17" s="829">
        <v>10</v>
      </c>
      <c r="O17" s="830">
        <v>44873</v>
      </c>
      <c r="P17" s="829">
        <f t="shared" si="12"/>
        <v>10</v>
      </c>
      <c r="Q17" s="831" t="s">
        <v>250</v>
      </c>
      <c r="R17" s="832">
        <v>115</v>
      </c>
      <c r="S17" s="105">
        <f t="shared" si="8"/>
        <v>160</v>
      </c>
      <c r="V17" s="886">
        <f t="shared" si="3"/>
        <v>13</v>
      </c>
      <c r="W17" s="709">
        <v>3</v>
      </c>
      <c r="X17" s="697">
        <v>30</v>
      </c>
      <c r="Y17" s="727">
        <v>44926</v>
      </c>
      <c r="Z17" s="697">
        <f t="shared" si="4"/>
        <v>30</v>
      </c>
      <c r="AA17" s="695" t="s">
        <v>858</v>
      </c>
      <c r="AB17" s="696">
        <v>100</v>
      </c>
      <c r="AC17" s="731">
        <f t="shared" si="9"/>
        <v>130</v>
      </c>
      <c r="AF17" s="886">
        <f t="shared" si="5"/>
        <v>0</v>
      </c>
      <c r="AG17" s="811"/>
      <c r="AH17" s="697"/>
      <c r="AI17" s="727"/>
      <c r="AJ17" s="697">
        <f t="shared" si="13"/>
        <v>0</v>
      </c>
      <c r="AK17" s="695"/>
      <c r="AL17" s="696"/>
      <c r="AM17" s="731">
        <f t="shared" si="10"/>
        <v>0</v>
      </c>
      <c r="AN17" s="729"/>
      <c r="AP17" s="886">
        <f t="shared" si="6"/>
        <v>16</v>
      </c>
      <c r="AQ17" s="811">
        <v>1</v>
      </c>
      <c r="AR17" s="697">
        <v>10</v>
      </c>
      <c r="AS17" s="727">
        <v>44923</v>
      </c>
      <c r="AT17" s="697">
        <f t="shared" si="14"/>
        <v>10</v>
      </c>
      <c r="AU17" s="695" t="s">
        <v>805</v>
      </c>
      <c r="AV17" s="696">
        <v>115</v>
      </c>
      <c r="AW17" s="731">
        <f t="shared" si="11"/>
        <v>160</v>
      </c>
    </row>
    <row r="18" spans="1:49" x14ac:dyDescent="0.25">
      <c r="A18" s="122"/>
      <c r="B18" s="83">
        <f t="shared" si="0"/>
        <v>4</v>
      </c>
      <c r="C18" s="73">
        <v>1</v>
      </c>
      <c r="D18" s="534">
        <v>10</v>
      </c>
      <c r="E18" s="726">
        <v>44895</v>
      </c>
      <c r="F18" s="534">
        <f t="shared" si="1"/>
        <v>10</v>
      </c>
      <c r="G18" s="329" t="s">
        <v>577</v>
      </c>
      <c r="H18" s="330">
        <v>100</v>
      </c>
      <c r="I18" s="736">
        <f t="shared" si="7"/>
        <v>40</v>
      </c>
      <c r="K18" s="122"/>
      <c r="L18" s="83">
        <f t="shared" si="2"/>
        <v>15</v>
      </c>
      <c r="M18" s="15">
        <v>1</v>
      </c>
      <c r="N18" s="829">
        <v>10</v>
      </c>
      <c r="O18" s="830">
        <v>44875</v>
      </c>
      <c r="P18" s="829">
        <f t="shared" si="12"/>
        <v>10</v>
      </c>
      <c r="Q18" s="831" t="s">
        <v>260</v>
      </c>
      <c r="R18" s="832">
        <v>115</v>
      </c>
      <c r="S18" s="105">
        <f t="shared" si="8"/>
        <v>150</v>
      </c>
      <c r="U18" s="122"/>
      <c r="V18" s="886">
        <f t="shared" si="3"/>
        <v>10</v>
      </c>
      <c r="W18" s="709">
        <v>3</v>
      </c>
      <c r="X18" s="697">
        <v>30</v>
      </c>
      <c r="Y18" s="727">
        <v>44926</v>
      </c>
      <c r="Z18" s="697">
        <f t="shared" si="4"/>
        <v>30</v>
      </c>
      <c r="AA18" s="695" t="s">
        <v>862</v>
      </c>
      <c r="AB18" s="696">
        <v>100</v>
      </c>
      <c r="AC18" s="731">
        <f t="shared" si="9"/>
        <v>100</v>
      </c>
      <c r="AE18" s="122"/>
      <c r="AF18" s="886">
        <f t="shared" si="5"/>
        <v>0</v>
      </c>
      <c r="AG18" s="811"/>
      <c r="AH18" s="697"/>
      <c r="AI18" s="727"/>
      <c r="AJ18" s="697">
        <f t="shared" si="13"/>
        <v>0</v>
      </c>
      <c r="AK18" s="695"/>
      <c r="AL18" s="696"/>
      <c r="AM18" s="731">
        <f t="shared" si="10"/>
        <v>0</v>
      </c>
      <c r="AN18" s="729"/>
      <c r="AO18" s="122"/>
      <c r="AP18" s="886">
        <f t="shared" si="6"/>
        <v>15</v>
      </c>
      <c r="AQ18" s="811">
        <v>1</v>
      </c>
      <c r="AR18" s="697">
        <v>10</v>
      </c>
      <c r="AS18" s="727">
        <v>44924</v>
      </c>
      <c r="AT18" s="697">
        <f t="shared" si="14"/>
        <v>10</v>
      </c>
      <c r="AU18" s="695" t="s">
        <v>849</v>
      </c>
      <c r="AV18" s="696">
        <v>115</v>
      </c>
      <c r="AW18" s="731">
        <f t="shared" si="11"/>
        <v>150</v>
      </c>
    </row>
    <row r="19" spans="1:49" x14ac:dyDescent="0.25">
      <c r="A19" s="122"/>
      <c r="B19" s="83">
        <f t="shared" si="0"/>
        <v>3</v>
      </c>
      <c r="C19" s="15">
        <v>1</v>
      </c>
      <c r="D19" s="534">
        <v>10</v>
      </c>
      <c r="E19" s="726">
        <v>44898</v>
      </c>
      <c r="F19" s="534">
        <f t="shared" si="1"/>
        <v>10</v>
      </c>
      <c r="G19" s="329" t="s">
        <v>607</v>
      </c>
      <c r="H19" s="330">
        <v>100</v>
      </c>
      <c r="I19" s="736">
        <f t="shared" si="7"/>
        <v>30</v>
      </c>
      <c r="K19" s="122"/>
      <c r="L19" s="83">
        <f t="shared" si="2"/>
        <v>14</v>
      </c>
      <c r="M19" s="15">
        <v>1</v>
      </c>
      <c r="N19" s="829">
        <v>10</v>
      </c>
      <c r="O19" s="830">
        <v>44877</v>
      </c>
      <c r="P19" s="829">
        <f t="shared" si="12"/>
        <v>10</v>
      </c>
      <c r="Q19" s="831" t="s">
        <v>265</v>
      </c>
      <c r="R19" s="832">
        <v>115</v>
      </c>
      <c r="S19" s="105">
        <f t="shared" si="8"/>
        <v>140</v>
      </c>
      <c r="U19" s="122"/>
      <c r="V19" s="83">
        <f t="shared" si="3"/>
        <v>9</v>
      </c>
      <c r="W19" s="15">
        <v>1</v>
      </c>
      <c r="X19" s="69">
        <v>10</v>
      </c>
      <c r="Y19" s="202">
        <v>44930</v>
      </c>
      <c r="Z19" s="69">
        <f t="shared" si="4"/>
        <v>10</v>
      </c>
      <c r="AA19" s="70" t="s">
        <v>876</v>
      </c>
      <c r="AB19" s="71">
        <v>100</v>
      </c>
      <c r="AC19" s="105">
        <f t="shared" si="9"/>
        <v>90</v>
      </c>
      <c r="AE19" s="122"/>
      <c r="AF19" s="886">
        <f t="shared" si="5"/>
        <v>0</v>
      </c>
      <c r="AG19" s="811"/>
      <c r="AH19" s="697"/>
      <c r="AI19" s="727"/>
      <c r="AJ19" s="697">
        <f t="shared" si="13"/>
        <v>0</v>
      </c>
      <c r="AK19" s="695"/>
      <c r="AL19" s="696"/>
      <c r="AM19" s="731">
        <f t="shared" si="10"/>
        <v>0</v>
      </c>
      <c r="AN19" s="729"/>
      <c r="AO19" s="122"/>
      <c r="AP19" s="886">
        <f t="shared" si="6"/>
        <v>13</v>
      </c>
      <c r="AQ19" s="811">
        <v>2</v>
      </c>
      <c r="AR19" s="697">
        <v>20</v>
      </c>
      <c r="AS19" s="727">
        <v>44925</v>
      </c>
      <c r="AT19" s="697">
        <f t="shared" si="14"/>
        <v>20</v>
      </c>
      <c r="AU19" s="695" t="s">
        <v>854</v>
      </c>
      <c r="AV19" s="696">
        <v>115</v>
      </c>
      <c r="AW19" s="731">
        <f t="shared" si="11"/>
        <v>130</v>
      </c>
    </row>
    <row r="20" spans="1:49" x14ac:dyDescent="0.25">
      <c r="A20" s="122"/>
      <c r="B20" s="83">
        <f t="shared" si="0"/>
        <v>2</v>
      </c>
      <c r="C20" s="15">
        <v>1</v>
      </c>
      <c r="D20" s="534">
        <v>10</v>
      </c>
      <c r="E20" s="726">
        <v>44900</v>
      </c>
      <c r="F20" s="534">
        <f t="shared" si="1"/>
        <v>10</v>
      </c>
      <c r="G20" s="329" t="s">
        <v>611</v>
      </c>
      <c r="H20" s="330">
        <v>100</v>
      </c>
      <c r="I20" s="736">
        <f t="shared" si="7"/>
        <v>20</v>
      </c>
      <c r="K20" s="122"/>
      <c r="L20" s="83">
        <f t="shared" si="2"/>
        <v>13</v>
      </c>
      <c r="M20" s="15">
        <v>1</v>
      </c>
      <c r="N20" s="829">
        <v>10</v>
      </c>
      <c r="O20" s="830">
        <v>44879</v>
      </c>
      <c r="P20" s="829">
        <f t="shared" si="12"/>
        <v>10</v>
      </c>
      <c r="Q20" s="831" t="s">
        <v>272</v>
      </c>
      <c r="R20" s="832">
        <v>115</v>
      </c>
      <c r="S20" s="105">
        <f t="shared" si="8"/>
        <v>130</v>
      </c>
      <c r="U20" s="122"/>
      <c r="V20" s="83">
        <f t="shared" si="3"/>
        <v>8</v>
      </c>
      <c r="W20" s="15">
        <v>1</v>
      </c>
      <c r="X20" s="69">
        <v>10</v>
      </c>
      <c r="Y20" s="202">
        <v>44933</v>
      </c>
      <c r="Z20" s="69">
        <f t="shared" si="4"/>
        <v>10</v>
      </c>
      <c r="AA20" s="70" t="s">
        <v>910</v>
      </c>
      <c r="AB20" s="71">
        <v>100</v>
      </c>
      <c r="AC20" s="105">
        <f t="shared" si="9"/>
        <v>80</v>
      </c>
      <c r="AE20" s="122"/>
      <c r="AF20" s="886">
        <f t="shared" si="5"/>
        <v>0</v>
      </c>
      <c r="AG20" s="811"/>
      <c r="AH20" s="697"/>
      <c r="AI20" s="727"/>
      <c r="AJ20" s="697">
        <f t="shared" si="13"/>
        <v>0</v>
      </c>
      <c r="AK20" s="695"/>
      <c r="AL20" s="696"/>
      <c r="AM20" s="731">
        <f t="shared" si="10"/>
        <v>0</v>
      </c>
      <c r="AN20" s="729"/>
      <c r="AO20" s="122"/>
      <c r="AP20" s="886">
        <f t="shared" si="6"/>
        <v>10</v>
      </c>
      <c r="AQ20" s="811">
        <v>3</v>
      </c>
      <c r="AR20" s="697">
        <v>30</v>
      </c>
      <c r="AS20" s="727">
        <v>44926</v>
      </c>
      <c r="AT20" s="697">
        <f t="shared" si="14"/>
        <v>30</v>
      </c>
      <c r="AU20" s="695" t="s">
        <v>858</v>
      </c>
      <c r="AV20" s="696">
        <v>115</v>
      </c>
      <c r="AW20" s="731">
        <f t="shared" si="11"/>
        <v>100</v>
      </c>
    </row>
    <row r="21" spans="1:49" x14ac:dyDescent="0.25">
      <c r="A21" s="122"/>
      <c r="B21" s="83">
        <f t="shared" si="0"/>
        <v>1</v>
      </c>
      <c r="C21" s="15">
        <v>1</v>
      </c>
      <c r="D21" s="534">
        <v>10</v>
      </c>
      <c r="E21" s="726">
        <v>44901</v>
      </c>
      <c r="F21" s="534">
        <f t="shared" si="1"/>
        <v>10</v>
      </c>
      <c r="G21" s="329" t="s">
        <v>622</v>
      </c>
      <c r="H21" s="330">
        <v>100</v>
      </c>
      <c r="I21" s="736">
        <f t="shared" si="7"/>
        <v>10</v>
      </c>
      <c r="K21" s="122"/>
      <c r="L21" s="83">
        <f t="shared" si="2"/>
        <v>12</v>
      </c>
      <c r="M21" s="15">
        <v>1</v>
      </c>
      <c r="N21" s="829">
        <v>10</v>
      </c>
      <c r="O21" s="830">
        <v>44880</v>
      </c>
      <c r="P21" s="829">
        <f t="shared" si="12"/>
        <v>10</v>
      </c>
      <c r="Q21" s="831" t="s">
        <v>276</v>
      </c>
      <c r="R21" s="832">
        <v>115</v>
      </c>
      <c r="S21" s="105">
        <f t="shared" si="8"/>
        <v>120</v>
      </c>
      <c r="U21" s="122"/>
      <c r="V21" s="83">
        <f t="shared" si="3"/>
        <v>8</v>
      </c>
      <c r="W21" s="15"/>
      <c r="X21" s="69"/>
      <c r="Y21" s="202"/>
      <c r="Z21" s="69">
        <f t="shared" si="4"/>
        <v>0</v>
      </c>
      <c r="AA21" s="70"/>
      <c r="AB21" s="71"/>
      <c r="AC21" s="105">
        <f t="shared" si="9"/>
        <v>80</v>
      </c>
      <c r="AE21" s="122"/>
      <c r="AF21" s="886">
        <f t="shared" si="5"/>
        <v>0</v>
      </c>
      <c r="AG21" s="811"/>
      <c r="AH21" s="697"/>
      <c r="AI21" s="727"/>
      <c r="AJ21" s="697">
        <f t="shared" si="13"/>
        <v>0</v>
      </c>
      <c r="AK21" s="695"/>
      <c r="AL21" s="696"/>
      <c r="AM21" s="731">
        <f t="shared" si="10"/>
        <v>0</v>
      </c>
      <c r="AN21" s="729"/>
      <c r="AO21" s="122"/>
      <c r="AP21" s="886">
        <f t="shared" si="6"/>
        <v>7</v>
      </c>
      <c r="AQ21" s="811">
        <v>3</v>
      </c>
      <c r="AR21" s="697">
        <v>30</v>
      </c>
      <c r="AS21" s="727">
        <v>44926</v>
      </c>
      <c r="AT21" s="697">
        <f t="shared" si="14"/>
        <v>30</v>
      </c>
      <c r="AU21" s="695" t="s">
        <v>862</v>
      </c>
      <c r="AV21" s="696">
        <v>115</v>
      </c>
      <c r="AW21" s="731">
        <f t="shared" si="11"/>
        <v>70</v>
      </c>
    </row>
    <row r="22" spans="1:49" x14ac:dyDescent="0.25">
      <c r="A22" s="122"/>
      <c r="B22" s="232">
        <f t="shared" si="0"/>
        <v>0</v>
      </c>
      <c r="C22" s="15">
        <v>1</v>
      </c>
      <c r="D22" s="534">
        <v>10</v>
      </c>
      <c r="E22" s="726">
        <v>44905</v>
      </c>
      <c r="F22" s="534">
        <f t="shared" si="1"/>
        <v>10</v>
      </c>
      <c r="G22" s="329" t="s">
        <v>666</v>
      </c>
      <c r="H22" s="330">
        <v>100</v>
      </c>
      <c r="I22" s="736">
        <f t="shared" si="7"/>
        <v>0</v>
      </c>
      <c r="K22" s="122"/>
      <c r="L22" s="232">
        <f t="shared" si="2"/>
        <v>11</v>
      </c>
      <c r="M22" s="15">
        <v>1</v>
      </c>
      <c r="N22" s="829">
        <v>10</v>
      </c>
      <c r="O22" s="830">
        <v>44881</v>
      </c>
      <c r="P22" s="829">
        <f t="shared" si="12"/>
        <v>10</v>
      </c>
      <c r="Q22" s="831" t="s">
        <v>278</v>
      </c>
      <c r="R22" s="832">
        <v>115</v>
      </c>
      <c r="S22" s="105">
        <f t="shared" si="8"/>
        <v>110</v>
      </c>
      <c r="U22" s="122"/>
      <c r="V22" s="232">
        <f t="shared" si="3"/>
        <v>8</v>
      </c>
      <c r="W22" s="15"/>
      <c r="X22" s="69"/>
      <c r="Y22" s="202"/>
      <c r="Z22" s="69">
        <f t="shared" si="4"/>
        <v>0</v>
      </c>
      <c r="AA22" s="70"/>
      <c r="AB22" s="71"/>
      <c r="AC22" s="105">
        <f t="shared" si="9"/>
        <v>80</v>
      </c>
      <c r="AE22" s="122"/>
      <c r="AF22" s="1044">
        <f t="shared" si="5"/>
        <v>0</v>
      </c>
      <c r="AG22" s="811"/>
      <c r="AH22" s="697"/>
      <c r="AI22" s="727"/>
      <c r="AJ22" s="697">
        <f t="shared" si="13"/>
        <v>0</v>
      </c>
      <c r="AK22" s="695"/>
      <c r="AL22" s="696"/>
      <c r="AM22" s="731">
        <f t="shared" si="10"/>
        <v>0</v>
      </c>
      <c r="AN22" s="729"/>
      <c r="AO22" s="122"/>
      <c r="AP22" s="1044">
        <f t="shared" si="6"/>
        <v>6</v>
      </c>
      <c r="AQ22" s="811">
        <v>1</v>
      </c>
      <c r="AR22" s="697">
        <v>10</v>
      </c>
      <c r="AS22" s="727">
        <v>44930</v>
      </c>
      <c r="AT22" s="697">
        <f t="shared" si="14"/>
        <v>10</v>
      </c>
      <c r="AU22" s="695" t="s">
        <v>876</v>
      </c>
      <c r="AV22" s="696">
        <v>115</v>
      </c>
      <c r="AW22" s="731">
        <f t="shared" si="11"/>
        <v>60</v>
      </c>
    </row>
    <row r="23" spans="1:49" x14ac:dyDescent="0.25">
      <c r="A23" s="123"/>
      <c r="B23" s="232">
        <f t="shared" si="0"/>
        <v>0</v>
      </c>
      <c r="C23" s="15"/>
      <c r="D23" s="534"/>
      <c r="E23" s="726"/>
      <c r="F23" s="1160">
        <f t="shared" si="1"/>
        <v>0</v>
      </c>
      <c r="G23" s="1161"/>
      <c r="H23" s="1162"/>
      <c r="I23" s="1183">
        <f t="shared" si="7"/>
        <v>0</v>
      </c>
      <c r="K23" s="123"/>
      <c r="L23" s="232">
        <f t="shared" si="2"/>
        <v>10</v>
      </c>
      <c r="M23" s="15">
        <v>1</v>
      </c>
      <c r="N23" s="829">
        <v>10</v>
      </c>
      <c r="O23" s="830">
        <v>44884</v>
      </c>
      <c r="P23" s="829">
        <f t="shared" si="12"/>
        <v>10</v>
      </c>
      <c r="Q23" s="831" t="s">
        <v>290</v>
      </c>
      <c r="R23" s="832">
        <v>115</v>
      </c>
      <c r="S23" s="105">
        <f t="shared" si="8"/>
        <v>100</v>
      </c>
      <c r="U23" s="123"/>
      <c r="V23" s="232">
        <f t="shared" si="3"/>
        <v>8</v>
      </c>
      <c r="W23" s="15"/>
      <c r="X23" s="69"/>
      <c r="Y23" s="202"/>
      <c r="Z23" s="69">
        <f t="shared" si="4"/>
        <v>0</v>
      </c>
      <c r="AA23" s="70"/>
      <c r="AB23" s="71"/>
      <c r="AC23" s="105">
        <f t="shared" si="9"/>
        <v>80</v>
      </c>
      <c r="AE23" s="123"/>
      <c r="AF23" s="1044">
        <f t="shared" si="5"/>
        <v>0</v>
      </c>
      <c r="AG23" s="811"/>
      <c r="AH23" s="697"/>
      <c r="AI23" s="727"/>
      <c r="AJ23" s="697">
        <f t="shared" si="13"/>
        <v>0</v>
      </c>
      <c r="AK23" s="695"/>
      <c r="AL23" s="696"/>
      <c r="AM23" s="731">
        <f t="shared" si="10"/>
        <v>0</v>
      </c>
      <c r="AN23" s="729"/>
      <c r="AO23" s="123"/>
      <c r="AP23" s="1044">
        <f t="shared" si="6"/>
        <v>5</v>
      </c>
      <c r="AQ23" s="811">
        <v>1</v>
      </c>
      <c r="AR23" s="697">
        <v>10</v>
      </c>
      <c r="AS23" s="727">
        <v>44933</v>
      </c>
      <c r="AT23" s="697">
        <f t="shared" si="14"/>
        <v>10</v>
      </c>
      <c r="AU23" s="695" t="s">
        <v>910</v>
      </c>
      <c r="AV23" s="696">
        <v>115</v>
      </c>
      <c r="AW23" s="731">
        <f t="shared" si="11"/>
        <v>50</v>
      </c>
    </row>
    <row r="24" spans="1:49" x14ac:dyDescent="0.25">
      <c r="A24" s="122"/>
      <c r="B24" s="232">
        <f t="shared" si="0"/>
        <v>0</v>
      </c>
      <c r="C24" s="15"/>
      <c r="D24" s="534"/>
      <c r="E24" s="726"/>
      <c r="F24" s="1160">
        <f t="shared" si="1"/>
        <v>0</v>
      </c>
      <c r="G24" s="1161"/>
      <c r="H24" s="1162"/>
      <c r="I24" s="1183">
        <f t="shared" si="7"/>
        <v>0</v>
      </c>
      <c r="K24" s="122"/>
      <c r="L24" s="232">
        <f t="shared" si="2"/>
        <v>9</v>
      </c>
      <c r="M24" s="15">
        <v>1</v>
      </c>
      <c r="N24" s="829">
        <v>10</v>
      </c>
      <c r="O24" s="830">
        <v>44888</v>
      </c>
      <c r="P24" s="829">
        <f t="shared" si="12"/>
        <v>10</v>
      </c>
      <c r="Q24" s="831" t="s">
        <v>297</v>
      </c>
      <c r="R24" s="832">
        <v>115</v>
      </c>
      <c r="S24" s="105">
        <f t="shared" si="8"/>
        <v>90</v>
      </c>
      <c r="U24" s="122"/>
      <c r="V24" s="232">
        <f t="shared" si="3"/>
        <v>8</v>
      </c>
      <c r="W24" s="15"/>
      <c r="X24" s="69"/>
      <c r="Y24" s="202"/>
      <c r="Z24" s="69">
        <f t="shared" si="4"/>
        <v>0</v>
      </c>
      <c r="AA24" s="70"/>
      <c r="AB24" s="71"/>
      <c r="AC24" s="105">
        <f t="shared" si="9"/>
        <v>80</v>
      </c>
      <c r="AE24" s="122"/>
      <c r="AF24" s="1044">
        <f t="shared" si="5"/>
        <v>0</v>
      </c>
      <c r="AG24" s="811"/>
      <c r="AH24" s="697"/>
      <c r="AI24" s="727"/>
      <c r="AJ24" s="697">
        <f t="shared" si="13"/>
        <v>0</v>
      </c>
      <c r="AK24" s="695"/>
      <c r="AL24" s="696"/>
      <c r="AM24" s="731">
        <f t="shared" si="10"/>
        <v>0</v>
      </c>
      <c r="AN24" s="729"/>
      <c r="AO24" s="122"/>
      <c r="AP24" s="1044">
        <f t="shared" si="6"/>
        <v>5</v>
      </c>
      <c r="AQ24" s="811"/>
      <c r="AR24" s="697"/>
      <c r="AS24" s="727"/>
      <c r="AT24" s="697">
        <f t="shared" si="14"/>
        <v>0</v>
      </c>
      <c r="AU24" s="695"/>
      <c r="AV24" s="696"/>
      <c r="AW24" s="731">
        <f t="shared" si="11"/>
        <v>50</v>
      </c>
    </row>
    <row r="25" spans="1:49" x14ac:dyDescent="0.25">
      <c r="A25" s="122"/>
      <c r="B25" s="232">
        <f t="shared" si="0"/>
        <v>0</v>
      </c>
      <c r="C25" s="15"/>
      <c r="D25" s="534"/>
      <c r="E25" s="726"/>
      <c r="F25" s="1160">
        <f t="shared" si="1"/>
        <v>0</v>
      </c>
      <c r="G25" s="1161"/>
      <c r="H25" s="1162"/>
      <c r="I25" s="1183">
        <f t="shared" si="7"/>
        <v>0</v>
      </c>
      <c r="K25" s="122"/>
      <c r="L25" s="844">
        <f t="shared" si="2"/>
        <v>8</v>
      </c>
      <c r="M25" s="15">
        <v>1</v>
      </c>
      <c r="N25" s="829">
        <v>10</v>
      </c>
      <c r="O25" s="830">
        <v>44889</v>
      </c>
      <c r="P25" s="829">
        <f t="shared" si="12"/>
        <v>10</v>
      </c>
      <c r="Q25" s="831" t="s">
        <v>302</v>
      </c>
      <c r="R25" s="832">
        <v>115</v>
      </c>
      <c r="S25" s="814">
        <f t="shared" si="8"/>
        <v>80</v>
      </c>
      <c r="U25" s="122"/>
      <c r="V25" s="232">
        <f t="shared" si="3"/>
        <v>8</v>
      </c>
      <c r="W25" s="15"/>
      <c r="X25" s="69"/>
      <c r="Y25" s="202"/>
      <c r="Z25" s="69">
        <f t="shared" si="4"/>
        <v>0</v>
      </c>
      <c r="AA25" s="70"/>
      <c r="AB25" s="71"/>
      <c r="AC25" s="105">
        <f t="shared" si="9"/>
        <v>80</v>
      </c>
      <c r="AE25" s="122"/>
      <c r="AF25" s="1044">
        <f t="shared" si="5"/>
        <v>0</v>
      </c>
      <c r="AG25" s="811"/>
      <c r="AH25" s="697"/>
      <c r="AI25" s="727"/>
      <c r="AJ25" s="697">
        <f t="shared" si="13"/>
        <v>0</v>
      </c>
      <c r="AK25" s="695"/>
      <c r="AL25" s="696"/>
      <c r="AM25" s="731">
        <f t="shared" si="10"/>
        <v>0</v>
      </c>
      <c r="AN25" s="729"/>
      <c r="AO25" s="122"/>
      <c r="AP25" s="1044">
        <f t="shared" si="6"/>
        <v>5</v>
      </c>
      <c r="AQ25" s="811"/>
      <c r="AR25" s="697"/>
      <c r="AS25" s="727"/>
      <c r="AT25" s="697">
        <f t="shared" si="14"/>
        <v>0</v>
      </c>
      <c r="AU25" s="695"/>
      <c r="AV25" s="696"/>
      <c r="AW25" s="731">
        <f t="shared" si="11"/>
        <v>50</v>
      </c>
    </row>
    <row r="26" spans="1:49" x14ac:dyDescent="0.25">
      <c r="A26" s="122"/>
      <c r="B26" s="182">
        <f t="shared" si="0"/>
        <v>0</v>
      </c>
      <c r="C26" s="15"/>
      <c r="D26" s="534"/>
      <c r="E26" s="726"/>
      <c r="F26" s="1160">
        <f t="shared" si="1"/>
        <v>0</v>
      </c>
      <c r="G26" s="1161"/>
      <c r="H26" s="1162"/>
      <c r="I26" s="1183">
        <f t="shared" si="7"/>
        <v>0</v>
      </c>
      <c r="K26" s="122"/>
      <c r="L26" s="182">
        <f t="shared" si="2"/>
        <v>7</v>
      </c>
      <c r="M26" s="15">
        <v>1</v>
      </c>
      <c r="N26" s="534">
        <v>10</v>
      </c>
      <c r="O26" s="726">
        <v>44895</v>
      </c>
      <c r="P26" s="534">
        <f t="shared" si="12"/>
        <v>10</v>
      </c>
      <c r="Q26" s="329" t="s">
        <v>577</v>
      </c>
      <c r="R26" s="330">
        <v>115</v>
      </c>
      <c r="S26" s="105">
        <f t="shared" si="8"/>
        <v>70</v>
      </c>
      <c r="U26" s="122"/>
      <c r="V26" s="182">
        <f t="shared" si="3"/>
        <v>8</v>
      </c>
      <c r="W26" s="15"/>
      <c r="X26" s="69"/>
      <c r="Y26" s="202"/>
      <c r="Z26" s="69">
        <f t="shared" si="4"/>
        <v>0</v>
      </c>
      <c r="AA26" s="70"/>
      <c r="AB26" s="71"/>
      <c r="AC26" s="105">
        <f t="shared" si="9"/>
        <v>80</v>
      </c>
      <c r="AE26" s="122"/>
      <c r="AF26" s="878">
        <f t="shared" si="5"/>
        <v>0</v>
      </c>
      <c r="AG26" s="811"/>
      <c r="AH26" s="697"/>
      <c r="AI26" s="727"/>
      <c r="AJ26" s="697">
        <f t="shared" si="13"/>
        <v>0</v>
      </c>
      <c r="AK26" s="695"/>
      <c r="AL26" s="696"/>
      <c r="AM26" s="731">
        <f t="shared" si="10"/>
        <v>0</v>
      </c>
      <c r="AN26" s="729"/>
      <c r="AO26" s="122"/>
      <c r="AP26" s="878">
        <f t="shared" si="6"/>
        <v>5</v>
      </c>
      <c r="AQ26" s="811"/>
      <c r="AR26" s="697"/>
      <c r="AS26" s="727"/>
      <c r="AT26" s="697">
        <f t="shared" si="14"/>
        <v>0</v>
      </c>
      <c r="AU26" s="695"/>
      <c r="AV26" s="696"/>
      <c r="AW26" s="731">
        <f t="shared" si="11"/>
        <v>50</v>
      </c>
    </row>
    <row r="27" spans="1:49" x14ac:dyDescent="0.25">
      <c r="A27" s="122"/>
      <c r="B27" s="232">
        <f t="shared" si="0"/>
        <v>0</v>
      </c>
      <c r="C27" s="15"/>
      <c r="D27" s="534"/>
      <c r="E27" s="726"/>
      <c r="F27" s="534">
        <f t="shared" si="1"/>
        <v>0</v>
      </c>
      <c r="G27" s="329"/>
      <c r="H27" s="330"/>
      <c r="I27" s="736">
        <f t="shared" si="7"/>
        <v>0</v>
      </c>
      <c r="K27" s="122"/>
      <c r="L27" s="232">
        <f t="shared" si="2"/>
        <v>6</v>
      </c>
      <c r="M27" s="15">
        <v>1</v>
      </c>
      <c r="N27" s="534">
        <v>10</v>
      </c>
      <c r="O27" s="726">
        <v>44898</v>
      </c>
      <c r="P27" s="534">
        <f t="shared" si="12"/>
        <v>10</v>
      </c>
      <c r="Q27" s="329" t="s">
        <v>607</v>
      </c>
      <c r="R27" s="330">
        <v>115</v>
      </c>
      <c r="S27" s="105">
        <f t="shared" si="8"/>
        <v>60</v>
      </c>
      <c r="U27" s="122"/>
      <c r="V27" s="232">
        <f t="shared" si="3"/>
        <v>8</v>
      </c>
      <c r="W27" s="15"/>
      <c r="X27" s="69"/>
      <c r="Y27" s="202"/>
      <c r="Z27" s="69">
        <f t="shared" si="4"/>
        <v>0</v>
      </c>
      <c r="AA27" s="70"/>
      <c r="AB27" s="71"/>
      <c r="AC27" s="105">
        <f t="shared" si="9"/>
        <v>80</v>
      </c>
      <c r="AE27" s="122"/>
      <c r="AF27" s="1044">
        <f t="shared" si="5"/>
        <v>0</v>
      </c>
      <c r="AG27" s="811"/>
      <c r="AH27" s="697"/>
      <c r="AI27" s="727"/>
      <c r="AJ27" s="697">
        <f t="shared" si="13"/>
        <v>0</v>
      </c>
      <c r="AK27" s="695"/>
      <c r="AL27" s="696"/>
      <c r="AM27" s="731">
        <f t="shared" si="10"/>
        <v>0</v>
      </c>
      <c r="AN27" s="729"/>
      <c r="AO27" s="122"/>
      <c r="AP27" s="1044">
        <f t="shared" si="6"/>
        <v>5</v>
      </c>
      <c r="AQ27" s="811"/>
      <c r="AR27" s="697"/>
      <c r="AS27" s="727"/>
      <c r="AT27" s="697">
        <f t="shared" si="14"/>
        <v>0</v>
      </c>
      <c r="AU27" s="695"/>
      <c r="AV27" s="696"/>
      <c r="AW27" s="731">
        <f t="shared" si="11"/>
        <v>50</v>
      </c>
    </row>
    <row r="28" spans="1:49" x14ac:dyDescent="0.25">
      <c r="A28" s="122"/>
      <c r="B28" s="182">
        <f t="shared" si="0"/>
        <v>0</v>
      </c>
      <c r="C28" s="15"/>
      <c r="D28" s="534"/>
      <c r="E28" s="726"/>
      <c r="F28" s="534">
        <f t="shared" si="1"/>
        <v>0</v>
      </c>
      <c r="G28" s="329"/>
      <c r="H28" s="330"/>
      <c r="I28" s="736">
        <f t="shared" si="7"/>
        <v>0</v>
      </c>
      <c r="K28" s="122"/>
      <c r="L28" s="182">
        <f t="shared" si="2"/>
        <v>5</v>
      </c>
      <c r="M28" s="15">
        <v>1</v>
      </c>
      <c r="N28" s="534">
        <v>10</v>
      </c>
      <c r="O28" s="726">
        <v>44900</v>
      </c>
      <c r="P28" s="534">
        <f t="shared" si="12"/>
        <v>10</v>
      </c>
      <c r="Q28" s="329" t="s">
        <v>611</v>
      </c>
      <c r="R28" s="330">
        <v>115</v>
      </c>
      <c r="S28" s="105">
        <f t="shared" si="8"/>
        <v>50</v>
      </c>
      <c r="U28" s="122"/>
      <c r="V28" s="182">
        <f t="shared" si="3"/>
        <v>8</v>
      </c>
      <c r="W28" s="15"/>
      <c r="X28" s="69"/>
      <c r="Y28" s="202"/>
      <c r="Z28" s="69">
        <f t="shared" si="4"/>
        <v>0</v>
      </c>
      <c r="AA28" s="70"/>
      <c r="AB28" s="71"/>
      <c r="AC28" s="105">
        <f t="shared" si="9"/>
        <v>80</v>
      </c>
      <c r="AE28" s="122"/>
      <c r="AF28" s="878">
        <f t="shared" si="5"/>
        <v>0</v>
      </c>
      <c r="AG28" s="811"/>
      <c r="AH28" s="697"/>
      <c r="AI28" s="727"/>
      <c r="AJ28" s="697">
        <f t="shared" si="13"/>
        <v>0</v>
      </c>
      <c r="AK28" s="695"/>
      <c r="AL28" s="696"/>
      <c r="AM28" s="731">
        <f t="shared" si="10"/>
        <v>0</v>
      </c>
      <c r="AN28" s="729"/>
      <c r="AO28" s="122"/>
      <c r="AP28" s="878">
        <f t="shared" si="6"/>
        <v>5</v>
      </c>
      <c r="AQ28" s="811"/>
      <c r="AR28" s="697"/>
      <c r="AS28" s="727"/>
      <c r="AT28" s="697">
        <f t="shared" si="14"/>
        <v>0</v>
      </c>
      <c r="AU28" s="695"/>
      <c r="AV28" s="696"/>
      <c r="AW28" s="731">
        <f t="shared" si="11"/>
        <v>50</v>
      </c>
    </row>
    <row r="29" spans="1:49" x14ac:dyDescent="0.25">
      <c r="A29" s="122"/>
      <c r="B29" s="232">
        <f t="shared" si="0"/>
        <v>0</v>
      </c>
      <c r="C29" s="15"/>
      <c r="D29" s="534"/>
      <c r="E29" s="726"/>
      <c r="F29" s="534">
        <f t="shared" si="1"/>
        <v>0</v>
      </c>
      <c r="G29" s="329"/>
      <c r="H29" s="330"/>
      <c r="I29" s="736">
        <f t="shared" si="7"/>
        <v>0</v>
      </c>
      <c r="K29" s="122"/>
      <c r="L29" s="232">
        <f t="shared" si="2"/>
        <v>4</v>
      </c>
      <c r="M29" s="15">
        <v>1</v>
      </c>
      <c r="N29" s="534">
        <v>10</v>
      </c>
      <c r="O29" s="726">
        <v>44901</v>
      </c>
      <c r="P29" s="534">
        <f t="shared" si="12"/>
        <v>10</v>
      </c>
      <c r="Q29" s="329" t="s">
        <v>622</v>
      </c>
      <c r="R29" s="330">
        <v>115</v>
      </c>
      <c r="S29" s="105">
        <f t="shared" si="8"/>
        <v>40</v>
      </c>
      <c r="U29" s="122"/>
      <c r="V29" s="232">
        <f t="shared" si="3"/>
        <v>8</v>
      </c>
      <c r="W29" s="15"/>
      <c r="X29" s="69"/>
      <c r="Y29" s="202"/>
      <c r="Z29" s="69">
        <f t="shared" si="4"/>
        <v>0</v>
      </c>
      <c r="AA29" s="70"/>
      <c r="AB29" s="71"/>
      <c r="AC29" s="105">
        <f t="shared" si="9"/>
        <v>80</v>
      </c>
      <c r="AE29" s="122"/>
      <c r="AF29" s="232">
        <f t="shared" si="5"/>
        <v>0</v>
      </c>
      <c r="AG29" s="15"/>
      <c r="AH29" s="69"/>
      <c r="AI29" s="202"/>
      <c r="AJ29" s="69">
        <f t="shared" si="13"/>
        <v>0</v>
      </c>
      <c r="AK29" s="70"/>
      <c r="AL29" s="71"/>
      <c r="AM29" s="105">
        <f t="shared" si="10"/>
        <v>0</v>
      </c>
      <c r="AO29" s="122"/>
      <c r="AP29" s="232">
        <f t="shared" si="6"/>
        <v>5</v>
      </c>
      <c r="AQ29" s="15"/>
      <c r="AR29" s="69"/>
      <c r="AS29" s="202"/>
      <c r="AT29" s="69">
        <f t="shared" si="14"/>
        <v>0</v>
      </c>
      <c r="AU29" s="70"/>
      <c r="AV29" s="71"/>
      <c r="AW29" s="105">
        <f t="shared" si="11"/>
        <v>50</v>
      </c>
    </row>
    <row r="30" spans="1:49" x14ac:dyDescent="0.25">
      <c r="A30" s="122"/>
      <c r="B30" s="232">
        <f t="shared" si="0"/>
        <v>0</v>
      </c>
      <c r="C30" s="15"/>
      <c r="D30" s="534"/>
      <c r="E30" s="726"/>
      <c r="F30" s="534">
        <f t="shared" si="1"/>
        <v>0</v>
      </c>
      <c r="G30" s="329"/>
      <c r="H30" s="330"/>
      <c r="I30" s="736">
        <f t="shared" si="7"/>
        <v>0</v>
      </c>
      <c r="K30" s="122"/>
      <c r="L30" s="232">
        <f t="shared" si="2"/>
        <v>3</v>
      </c>
      <c r="M30" s="15">
        <v>1</v>
      </c>
      <c r="N30" s="534">
        <v>10</v>
      </c>
      <c r="O30" s="726">
        <v>44903</v>
      </c>
      <c r="P30" s="534">
        <f t="shared" si="12"/>
        <v>10</v>
      </c>
      <c r="Q30" s="329" t="s">
        <v>640</v>
      </c>
      <c r="R30" s="330">
        <v>115</v>
      </c>
      <c r="S30" s="105">
        <f t="shared" si="8"/>
        <v>30</v>
      </c>
      <c r="U30" s="122"/>
      <c r="V30" s="232">
        <f t="shared" si="3"/>
        <v>8</v>
      </c>
      <c r="W30" s="15"/>
      <c r="X30" s="69"/>
      <c r="Y30" s="202"/>
      <c r="Z30" s="69">
        <f t="shared" si="4"/>
        <v>0</v>
      </c>
      <c r="AA30" s="70"/>
      <c r="AB30" s="71"/>
      <c r="AC30" s="105">
        <f t="shared" si="9"/>
        <v>80</v>
      </c>
      <c r="AE30" s="122"/>
      <c r="AF30" s="232">
        <f t="shared" si="5"/>
        <v>0</v>
      </c>
      <c r="AG30" s="15"/>
      <c r="AH30" s="69"/>
      <c r="AI30" s="202"/>
      <c r="AJ30" s="69">
        <f t="shared" si="13"/>
        <v>0</v>
      </c>
      <c r="AK30" s="70"/>
      <c r="AL30" s="71"/>
      <c r="AM30" s="105">
        <f t="shared" si="10"/>
        <v>0</v>
      </c>
      <c r="AO30" s="122"/>
      <c r="AP30" s="232">
        <f t="shared" si="6"/>
        <v>5</v>
      </c>
      <c r="AQ30" s="15"/>
      <c r="AR30" s="69"/>
      <c r="AS30" s="202"/>
      <c r="AT30" s="69">
        <f t="shared" si="14"/>
        <v>0</v>
      </c>
      <c r="AU30" s="70"/>
      <c r="AV30" s="71"/>
      <c r="AW30" s="105">
        <f t="shared" si="11"/>
        <v>50</v>
      </c>
    </row>
    <row r="31" spans="1:49" x14ac:dyDescent="0.25">
      <c r="A31" s="122"/>
      <c r="B31" s="232">
        <f t="shared" si="0"/>
        <v>0</v>
      </c>
      <c r="C31" s="15"/>
      <c r="D31" s="534"/>
      <c r="E31" s="726"/>
      <c r="F31" s="534">
        <f t="shared" si="1"/>
        <v>0</v>
      </c>
      <c r="G31" s="329"/>
      <c r="H31" s="330"/>
      <c r="I31" s="736">
        <f t="shared" si="7"/>
        <v>0</v>
      </c>
      <c r="K31" s="122"/>
      <c r="L31" s="232">
        <f t="shared" si="2"/>
        <v>2</v>
      </c>
      <c r="M31" s="15">
        <v>1</v>
      </c>
      <c r="N31" s="534">
        <v>10</v>
      </c>
      <c r="O31" s="726">
        <v>44905</v>
      </c>
      <c r="P31" s="534">
        <f t="shared" si="12"/>
        <v>10</v>
      </c>
      <c r="Q31" s="329" t="s">
        <v>666</v>
      </c>
      <c r="R31" s="330">
        <v>115</v>
      </c>
      <c r="S31" s="105">
        <f t="shared" si="8"/>
        <v>20</v>
      </c>
      <c r="U31" s="122"/>
      <c r="V31" s="232">
        <f t="shared" si="3"/>
        <v>8</v>
      </c>
      <c r="W31" s="15"/>
      <c r="X31" s="534"/>
      <c r="Y31" s="726"/>
      <c r="Z31" s="534">
        <f t="shared" si="4"/>
        <v>0</v>
      </c>
      <c r="AA31" s="329"/>
      <c r="AB31" s="330"/>
      <c r="AC31" s="736">
        <f t="shared" si="9"/>
        <v>80</v>
      </c>
      <c r="AE31" s="122"/>
      <c r="AF31" s="232">
        <f t="shared" si="5"/>
        <v>0</v>
      </c>
      <c r="AG31" s="15"/>
      <c r="AH31" s="69"/>
      <c r="AI31" s="202"/>
      <c r="AJ31" s="69">
        <f t="shared" si="13"/>
        <v>0</v>
      </c>
      <c r="AK31" s="70"/>
      <c r="AL31" s="71"/>
      <c r="AM31" s="105">
        <f t="shared" si="10"/>
        <v>0</v>
      </c>
      <c r="AO31" s="122"/>
      <c r="AP31" s="232">
        <f t="shared" si="6"/>
        <v>5</v>
      </c>
      <c r="AQ31" s="15"/>
      <c r="AR31" s="69"/>
      <c r="AS31" s="202"/>
      <c r="AT31" s="69">
        <f t="shared" si="14"/>
        <v>0</v>
      </c>
      <c r="AU31" s="70"/>
      <c r="AV31" s="71"/>
      <c r="AW31" s="105">
        <f t="shared" si="11"/>
        <v>50</v>
      </c>
    </row>
    <row r="32" spans="1:49" x14ac:dyDescent="0.25">
      <c r="A32" s="122"/>
      <c r="B32" s="232">
        <f t="shared" si="0"/>
        <v>0</v>
      </c>
      <c r="C32" s="15"/>
      <c r="D32" s="534"/>
      <c r="E32" s="726"/>
      <c r="F32" s="534">
        <f t="shared" si="1"/>
        <v>0</v>
      </c>
      <c r="G32" s="329"/>
      <c r="H32" s="330"/>
      <c r="I32" s="736">
        <f t="shared" si="7"/>
        <v>0</v>
      </c>
      <c r="K32" s="122"/>
      <c r="L32" s="232">
        <f t="shared" si="2"/>
        <v>1</v>
      </c>
      <c r="M32" s="15">
        <v>1</v>
      </c>
      <c r="N32" s="534">
        <v>10</v>
      </c>
      <c r="O32" s="726">
        <v>44907</v>
      </c>
      <c r="P32" s="534">
        <f t="shared" si="12"/>
        <v>10</v>
      </c>
      <c r="Q32" s="329" t="s">
        <v>680</v>
      </c>
      <c r="R32" s="330">
        <v>115</v>
      </c>
      <c r="S32" s="105">
        <f t="shared" si="8"/>
        <v>10</v>
      </c>
      <c r="U32" s="122"/>
      <c r="V32" s="232">
        <f t="shared" si="3"/>
        <v>8</v>
      </c>
      <c r="W32" s="15"/>
      <c r="X32" s="534"/>
      <c r="Y32" s="726"/>
      <c r="Z32" s="534">
        <f t="shared" si="4"/>
        <v>0</v>
      </c>
      <c r="AA32" s="329"/>
      <c r="AB32" s="330"/>
      <c r="AC32" s="736">
        <f t="shared" si="9"/>
        <v>80</v>
      </c>
      <c r="AE32" s="122"/>
      <c r="AF32" s="232">
        <f t="shared" si="5"/>
        <v>0</v>
      </c>
      <c r="AG32" s="15"/>
      <c r="AH32" s="69"/>
      <c r="AI32" s="202"/>
      <c r="AJ32" s="69">
        <f t="shared" si="13"/>
        <v>0</v>
      </c>
      <c r="AK32" s="70"/>
      <c r="AL32" s="71"/>
      <c r="AM32" s="105">
        <f t="shared" si="10"/>
        <v>0</v>
      </c>
      <c r="AO32" s="122"/>
      <c r="AP32" s="232">
        <f t="shared" si="6"/>
        <v>5</v>
      </c>
      <c r="AQ32" s="15"/>
      <c r="AR32" s="69"/>
      <c r="AS32" s="202"/>
      <c r="AT32" s="69">
        <f t="shared" si="14"/>
        <v>0</v>
      </c>
      <c r="AU32" s="70"/>
      <c r="AV32" s="71"/>
      <c r="AW32" s="105">
        <f t="shared" si="11"/>
        <v>50</v>
      </c>
    </row>
    <row r="33" spans="1:49" x14ac:dyDescent="0.25">
      <c r="A33" s="122"/>
      <c r="B33" s="232">
        <f t="shared" si="0"/>
        <v>0</v>
      </c>
      <c r="C33" s="15"/>
      <c r="D33" s="534"/>
      <c r="E33" s="726"/>
      <c r="F33" s="534">
        <f t="shared" si="1"/>
        <v>0</v>
      </c>
      <c r="G33" s="329"/>
      <c r="H33" s="330"/>
      <c r="I33" s="736">
        <f t="shared" si="7"/>
        <v>0</v>
      </c>
      <c r="K33" s="122"/>
      <c r="L33" s="232">
        <f t="shared" si="2"/>
        <v>1</v>
      </c>
      <c r="M33" s="15"/>
      <c r="N33" s="534"/>
      <c r="O33" s="726"/>
      <c r="P33" s="534">
        <f t="shared" si="12"/>
        <v>0</v>
      </c>
      <c r="Q33" s="329"/>
      <c r="R33" s="330"/>
      <c r="S33" s="105">
        <f t="shared" si="8"/>
        <v>10</v>
      </c>
      <c r="U33" s="122"/>
      <c r="V33" s="232">
        <f t="shared" si="3"/>
        <v>8</v>
      </c>
      <c r="W33" s="15"/>
      <c r="X33" s="534"/>
      <c r="Y33" s="726"/>
      <c r="Z33" s="534">
        <f t="shared" si="4"/>
        <v>0</v>
      </c>
      <c r="AA33" s="329"/>
      <c r="AB33" s="330"/>
      <c r="AC33" s="736">
        <f t="shared" si="9"/>
        <v>80</v>
      </c>
      <c r="AE33" s="122"/>
      <c r="AF33" s="232">
        <f t="shared" si="5"/>
        <v>0</v>
      </c>
      <c r="AG33" s="15"/>
      <c r="AH33" s="69"/>
      <c r="AI33" s="202"/>
      <c r="AJ33" s="69">
        <f t="shared" si="13"/>
        <v>0</v>
      </c>
      <c r="AK33" s="70"/>
      <c r="AL33" s="71"/>
      <c r="AM33" s="105">
        <f t="shared" si="10"/>
        <v>0</v>
      </c>
      <c r="AO33" s="122"/>
      <c r="AP33" s="232">
        <f t="shared" si="6"/>
        <v>5</v>
      </c>
      <c r="AQ33" s="15"/>
      <c r="AR33" s="69"/>
      <c r="AS33" s="202"/>
      <c r="AT33" s="69">
        <f t="shared" si="14"/>
        <v>0</v>
      </c>
      <c r="AU33" s="70"/>
      <c r="AV33" s="71"/>
      <c r="AW33" s="105">
        <f t="shared" si="11"/>
        <v>50</v>
      </c>
    </row>
    <row r="34" spans="1:49" x14ac:dyDescent="0.25">
      <c r="A34" s="122"/>
      <c r="B34" s="232">
        <f t="shared" si="0"/>
        <v>0</v>
      </c>
      <c r="C34" s="15"/>
      <c r="D34" s="534"/>
      <c r="E34" s="726"/>
      <c r="F34" s="534">
        <f t="shared" si="1"/>
        <v>0</v>
      </c>
      <c r="G34" s="329"/>
      <c r="H34" s="330"/>
      <c r="I34" s="736">
        <f t="shared" si="7"/>
        <v>0</v>
      </c>
      <c r="K34" s="122"/>
      <c r="L34" s="232">
        <f t="shared" si="2"/>
        <v>0</v>
      </c>
      <c r="M34" s="15">
        <v>1</v>
      </c>
      <c r="N34" s="534"/>
      <c r="O34" s="726"/>
      <c r="P34" s="1160">
        <v>10</v>
      </c>
      <c r="Q34" s="1161"/>
      <c r="R34" s="1162"/>
      <c r="S34" s="1163">
        <f t="shared" si="8"/>
        <v>0</v>
      </c>
      <c r="U34" s="122"/>
      <c r="V34" s="232">
        <f t="shared" si="3"/>
        <v>8</v>
      </c>
      <c r="W34" s="15"/>
      <c r="X34" s="534"/>
      <c r="Y34" s="726"/>
      <c r="Z34" s="534">
        <f t="shared" si="4"/>
        <v>0</v>
      </c>
      <c r="AA34" s="329"/>
      <c r="AB34" s="330"/>
      <c r="AC34" s="736">
        <f t="shared" si="9"/>
        <v>80</v>
      </c>
      <c r="AE34" s="122"/>
      <c r="AF34" s="232">
        <f t="shared" si="5"/>
        <v>0</v>
      </c>
      <c r="AG34" s="15"/>
      <c r="AH34" s="69"/>
      <c r="AI34" s="202"/>
      <c r="AJ34" s="69">
        <f t="shared" si="13"/>
        <v>0</v>
      </c>
      <c r="AK34" s="70"/>
      <c r="AL34" s="71"/>
      <c r="AM34" s="105">
        <f t="shared" si="10"/>
        <v>0</v>
      </c>
      <c r="AO34" s="122"/>
      <c r="AP34" s="232">
        <f t="shared" si="6"/>
        <v>5</v>
      </c>
      <c r="AQ34" s="15"/>
      <c r="AR34" s="69"/>
      <c r="AS34" s="202"/>
      <c r="AT34" s="69">
        <f t="shared" si="14"/>
        <v>0</v>
      </c>
      <c r="AU34" s="70"/>
      <c r="AV34" s="71"/>
      <c r="AW34" s="105">
        <f t="shared" si="11"/>
        <v>50</v>
      </c>
    </row>
    <row r="35" spans="1:49" x14ac:dyDescent="0.25">
      <c r="A35" s="122"/>
      <c r="B35" s="232">
        <f t="shared" si="0"/>
        <v>0</v>
      </c>
      <c r="C35" s="15"/>
      <c r="D35" s="534"/>
      <c r="E35" s="726"/>
      <c r="F35" s="534">
        <f t="shared" si="1"/>
        <v>0</v>
      </c>
      <c r="G35" s="329"/>
      <c r="H35" s="330"/>
      <c r="I35" s="736">
        <f t="shared" si="7"/>
        <v>0</v>
      </c>
      <c r="K35" s="122"/>
      <c r="L35" s="232">
        <f t="shared" si="2"/>
        <v>0</v>
      </c>
      <c r="M35" s="15"/>
      <c r="N35" s="534"/>
      <c r="O35" s="726"/>
      <c r="P35" s="1160">
        <f t="shared" si="12"/>
        <v>0</v>
      </c>
      <c r="Q35" s="1161"/>
      <c r="R35" s="1162"/>
      <c r="S35" s="1163">
        <f t="shared" si="8"/>
        <v>0</v>
      </c>
      <c r="U35" s="122"/>
      <c r="V35" s="232">
        <f t="shared" si="3"/>
        <v>8</v>
      </c>
      <c r="W35" s="15"/>
      <c r="X35" s="534"/>
      <c r="Y35" s="726"/>
      <c r="Z35" s="534">
        <f t="shared" si="4"/>
        <v>0</v>
      </c>
      <c r="AA35" s="329"/>
      <c r="AB35" s="330"/>
      <c r="AC35" s="736">
        <f t="shared" si="9"/>
        <v>80</v>
      </c>
      <c r="AE35" s="122"/>
      <c r="AF35" s="232">
        <f t="shared" si="5"/>
        <v>0</v>
      </c>
      <c r="AG35" s="15"/>
      <c r="AH35" s="69"/>
      <c r="AI35" s="202"/>
      <c r="AJ35" s="69">
        <f t="shared" si="13"/>
        <v>0</v>
      </c>
      <c r="AK35" s="70"/>
      <c r="AL35" s="71"/>
      <c r="AM35" s="105">
        <f t="shared" si="10"/>
        <v>0</v>
      </c>
      <c r="AO35" s="122"/>
      <c r="AP35" s="232">
        <f t="shared" si="6"/>
        <v>5</v>
      </c>
      <c r="AQ35" s="15"/>
      <c r="AR35" s="69"/>
      <c r="AS35" s="202"/>
      <c r="AT35" s="69">
        <f t="shared" si="14"/>
        <v>0</v>
      </c>
      <c r="AU35" s="70"/>
      <c r="AV35" s="71"/>
      <c r="AW35" s="105">
        <f t="shared" si="11"/>
        <v>50</v>
      </c>
    </row>
    <row r="36" spans="1:49" x14ac:dyDescent="0.25">
      <c r="A36" s="122" t="s">
        <v>22</v>
      </c>
      <c r="B36" s="232">
        <f t="shared" si="0"/>
        <v>0</v>
      </c>
      <c r="C36" s="15"/>
      <c r="D36" s="534"/>
      <c r="E36" s="726"/>
      <c r="F36" s="534">
        <f t="shared" si="1"/>
        <v>0</v>
      </c>
      <c r="G36" s="329"/>
      <c r="H36" s="330"/>
      <c r="I36" s="736">
        <f t="shared" si="7"/>
        <v>0</v>
      </c>
      <c r="K36" s="122" t="s">
        <v>22</v>
      </c>
      <c r="L36" s="232">
        <f t="shared" si="2"/>
        <v>0</v>
      </c>
      <c r="M36" s="15"/>
      <c r="N36" s="534"/>
      <c r="O36" s="726"/>
      <c r="P36" s="1160">
        <f t="shared" si="12"/>
        <v>0</v>
      </c>
      <c r="Q36" s="1161"/>
      <c r="R36" s="1162"/>
      <c r="S36" s="1163">
        <f t="shared" si="8"/>
        <v>0</v>
      </c>
      <c r="U36" s="122" t="s">
        <v>22</v>
      </c>
      <c r="V36" s="232">
        <f t="shared" si="3"/>
        <v>8</v>
      </c>
      <c r="W36" s="15"/>
      <c r="X36" s="534"/>
      <c r="Y36" s="726"/>
      <c r="Z36" s="534">
        <f t="shared" si="4"/>
        <v>0</v>
      </c>
      <c r="AA36" s="329"/>
      <c r="AB36" s="330"/>
      <c r="AC36" s="736">
        <f t="shared" si="9"/>
        <v>80</v>
      </c>
      <c r="AE36" s="122" t="s">
        <v>22</v>
      </c>
      <c r="AF36" s="232">
        <f t="shared" si="5"/>
        <v>0</v>
      </c>
      <c r="AG36" s="15"/>
      <c r="AH36" s="69"/>
      <c r="AI36" s="202"/>
      <c r="AJ36" s="69">
        <f t="shared" si="13"/>
        <v>0</v>
      </c>
      <c r="AK36" s="70"/>
      <c r="AL36" s="71"/>
      <c r="AM36" s="105">
        <f t="shared" si="10"/>
        <v>0</v>
      </c>
      <c r="AO36" s="122" t="s">
        <v>22</v>
      </c>
      <c r="AP36" s="232">
        <f t="shared" si="6"/>
        <v>5</v>
      </c>
      <c r="AQ36" s="15"/>
      <c r="AR36" s="69"/>
      <c r="AS36" s="202"/>
      <c r="AT36" s="69">
        <f t="shared" si="14"/>
        <v>0</v>
      </c>
      <c r="AU36" s="70"/>
      <c r="AV36" s="71"/>
      <c r="AW36" s="105">
        <f t="shared" si="11"/>
        <v>50</v>
      </c>
    </row>
    <row r="37" spans="1:49" x14ac:dyDescent="0.25">
      <c r="A37" s="123"/>
      <c r="B37" s="232">
        <f t="shared" si="0"/>
        <v>0</v>
      </c>
      <c r="C37" s="15"/>
      <c r="D37" s="534"/>
      <c r="E37" s="726"/>
      <c r="F37" s="534">
        <f t="shared" si="1"/>
        <v>0</v>
      </c>
      <c r="G37" s="329"/>
      <c r="H37" s="330"/>
      <c r="I37" s="736">
        <f t="shared" si="7"/>
        <v>0</v>
      </c>
      <c r="K37" s="123"/>
      <c r="L37" s="232">
        <f t="shared" si="2"/>
        <v>0</v>
      </c>
      <c r="M37" s="15"/>
      <c r="N37" s="534"/>
      <c r="O37" s="726"/>
      <c r="P37" s="1160">
        <f t="shared" si="12"/>
        <v>0</v>
      </c>
      <c r="Q37" s="1161"/>
      <c r="R37" s="1162"/>
      <c r="S37" s="1163">
        <f t="shared" si="8"/>
        <v>0</v>
      </c>
      <c r="U37" s="123"/>
      <c r="V37" s="232">
        <f t="shared" si="3"/>
        <v>8</v>
      </c>
      <c r="W37" s="15"/>
      <c r="X37" s="534"/>
      <c r="Y37" s="726"/>
      <c r="Z37" s="534">
        <f t="shared" si="4"/>
        <v>0</v>
      </c>
      <c r="AA37" s="329"/>
      <c r="AB37" s="330"/>
      <c r="AC37" s="736">
        <f t="shared" si="9"/>
        <v>80</v>
      </c>
      <c r="AE37" s="123"/>
      <c r="AF37" s="232">
        <f t="shared" si="5"/>
        <v>0</v>
      </c>
      <c r="AG37" s="15"/>
      <c r="AH37" s="69"/>
      <c r="AI37" s="202"/>
      <c r="AJ37" s="69">
        <f t="shared" si="13"/>
        <v>0</v>
      </c>
      <c r="AK37" s="70"/>
      <c r="AL37" s="71"/>
      <c r="AM37" s="105">
        <f t="shared" si="10"/>
        <v>0</v>
      </c>
      <c r="AO37" s="123"/>
      <c r="AP37" s="232">
        <f t="shared" si="6"/>
        <v>5</v>
      </c>
      <c r="AQ37" s="15"/>
      <c r="AR37" s="69"/>
      <c r="AS37" s="202"/>
      <c r="AT37" s="69">
        <f t="shared" si="14"/>
        <v>0</v>
      </c>
      <c r="AU37" s="70"/>
      <c r="AV37" s="71"/>
      <c r="AW37" s="105">
        <f t="shared" si="11"/>
        <v>50</v>
      </c>
    </row>
    <row r="38" spans="1:49" x14ac:dyDescent="0.25">
      <c r="A38" s="122"/>
      <c r="B38" s="232">
        <f t="shared" si="0"/>
        <v>0</v>
      </c>
      <c r="C38" s="15"/>
      <c r="D38" s="534"/>
      <c r="E38" s="726"/>
      <c r="F38" s="534">
        <f t="shared" si="1"/>
        <v>0</v>
      </c>
      <c r="G38" s="329"/>
      <c r="H38" s="330"/>
      <c r="I38" s="736">
        <f t="shared" si="7"/>
        <v>0</v>
      </c>
      <c r="K38" s="122"/>
      <c r="L38" s="232">
        <f t="shared" si="2"/>
        <v>0</v>
      </c>
      <c r="M38" s="15"/>
      <c r="N38" s="534"/>
      <c r="O38" s="726"/>
      <c r="P38" s="534">
        <f t="shared" si="12"/>
        <v>0</v>
      </c>
      <c r="Q38" s="329"/>
      <c r="R38" s="330"/>
      <c r="S38" s="105">
        <f t="shared" si="8"/>
        <v>0</v>
      </c>
      <c r="U38" s="122"/>
      <c r="V38" s="232">
        <f t="shared" si="3"/>
        <v>8</v>
      </c>
      <c r="W38" s="15"/>
      <c r="X38" s="534"/>
      <c r="Y38" s="726"/>
      <c r="Z38" s="534">
        <f t="shared" si="4"/>
        <v>0</v>
      </c>
      <c r="AA38" s="329"/>
      <c r="AB38" s="330"/>
      <c r="AC38" s="736">
        <f t="shared" si="9"/>
        <v>80</v>
      </c>
      <c r="AE38" s="122"/>
      <c r="AF38" s="232">
        <f t="shared" si="5"/>
        <v>0</v>
      </c>
      <c r="AG38" s="15"/>
      <c r="AH38" s="69"/>
      <c r="AI38" s="202"/>
      <c r="AJ38" s="69">
        <f t="shared" si="13"/>
        <v>0</v>
      </c>
      <c r="AK38" s="70"/>
      <c r="AL38" s="71"/>
      <c r="AM38" s="105">
        <f t="shared" si="10"/>
        <v>0</v>
      </c>
      <c r="AO38" s="122"/>
      <c r="AP38" s="232">
        <f t="shared" si="6"/>
        <v>5</v>
      </c>
      <c r="AQ38" s="15"/>
      <c r="AR38" s="69"/>
      <c r="AS38" s="202"/>
      <c r="AT38" s="69">
        <f t="shared" si="14"/>
        <v>0</v>
      </c>
      <c r="AU38" s="70"/>
      <c r="AV38" s="71"/>
      <c r="AW38" s="105">
        <f t="shared" si="11"/>
        <v>50</v>
      </c>
    </row>
    <row r="39" spans="1:49" x14ac:dyDescent="0.25">
      <c r="A39" s="122"/>
      <c r="B39" s="83">
        <f t="shared" si="0"/>
        <v>0</v>
      </c>
      <c r="C39" s="15"/>
      <c r="D39" s="534"/>
      <c r="E39" s="726"/>
      <c r="F39" s="534">
        <f t="shared" si="1"/>
        <v>0</v>
      </c>
      <c r="G39" s="329"/>
      <c r="H39" s="330"/>
      <c r="I39" s="736">
        <f t="shared" si="7"/>
        <v>0</v>
      </c>
      <c r="K39" s="122"/>
      <c r="L39" s="83">
        <f t="shared" si="2"/>
        <v>0</v>
      </c>
      <c r="M39" s="15"/>
      <c r="N39" s="534"/>
      <c r="O39" s="726"/>
      <c r="P39" s="534">
        <f t="shared" si="12"/>
        <v>0</v>
      </c>
      <c r="Q39" s="329"/>
      <c r="R39" s="330"/>
      <c r="S39" s="105">
        <f t="shared" si="8"/>
        <v>0</v>
      </c>
      <c r="U39" s="122"/>
      <c r="V39" s="83">
        <f t="shared" si="3"/>
        <v>8</v>
      </c>
      <c r="W39" s="15"/>
      <c r="X39" s="534"/>
      <c r="Y39" s="726"/>
      <c r="Z39" s="534">
        <f t="shared" si="4"/>
        <v>0</v>
      </c>
      <c r="AA39" s="329"/>
      <c r="AB39" s="330"/>
      <c r="AC39" s="736">
        <f t="shared" si="9"/>
        <v>80</v>
      </c>
      <c r="AE39" s="122"/>
      <c r="AF39" s="83">
        <f t="shared" si="5"/>
        <v>0</v>
      </c>
      <c r="AG39" s="15"/>
      <c r="AH39" s="69"/>
      <c r="AI39" s="202"/>
      <c r="AJ39" s="69">
        <f t="shared" si="13"/>
        <v>0</v>
      </c>
      <c r="AK39" s="70"/>
      <c r="AL39" s="71"/>
      <c r="AM39" s="105">
        <f t="shared" si="10"/>
        <v>0</v>
      </c>
      <c r="AO39" s="122"/>
      <c r="AP39" s="83">
        <f t="shared" si="6"/>
        <v>5</v>
      </c>
      <c r="AQ39" s="15"/>
      <c r="AR39" s="69"/>
      <c r="AS39" s="202"/>
      <c r="AT39" s="69">
        <f t="shared" si="14"/>
        <v>0</v>
      </c>
      <c r="AU39" s="70"/>
      <c r="AV39" s="71"/>
      <c r="AW39" s="105">
        <f t="shared" si="11"/>
        <v>50</v>
      </c>
    </row>
    <row r="40" spans="1:49" x14ac:dyDescent="0.25">
      <c r="A40" s="122"/>
      <c r="B40" s="83">
        <f t="shared" si="0"/>
        <v>0</v>
      </c>
      <c r="C40" s="15"/>
      <c r="D40" s="534"/>
      <c r="E40" s="726"/>
      <c r="F40" s="534">
        <f t="shared" si="1"/>
        <v>0</v>
      </c>
      <c r="G40" s="329"/>
      <c r="H40" s="330"/>
      <c r="I40" s="736">
        <f t="shared" si="7"/>
        <v>0</v>
      </c>
      <c r="K40" s="122"/>
      <c r="L40" s="83">
        <f t="shared" si="2"/>
        <v>0</v>
      </c>
      <c r="M40" s="15"/>
      <c r="N40" s="534"/>
      <c r="O40" s="726"/>
      <c r="P40" s="534">
        <f t="shared" si="12"/>
        <v>0</v>
      </c>
      <c r="Q40" s="329"/>
      <c r="R40" s="330"/>
      <c r="S40" s="105">
        <f t="shared" si="8"/>
        <v>0</v>
      </c>
      <c r="U40" s="122"/>
      <c r="V40" s="83">
        <f t="shared" si="3"/>
        <v>8</v>
      </c>
      <c r="W40" s="15"/>
      <c r="X40" s="534"/>
      <c r="Y40" s="726"/>
      <c r="Z40" s="534">
        <f t="shared" si="4"/>
        <v>0</v>
      </c>
      <c r="AA40" s="329"/>
      <c r="AB40" s="330"/>
      <c r="AC40" s="736">
        <f t="shared" si="9"/>
        <v>80</v>
      </c>
      <c r="AE40" s="122"/>
      <c r="AF40" s="83">
        <f t="shared" si="5"/>
        <v>0</v>
      </c>
      <c r="AG40" s="15"/>
      <c r="AH40" s="69"/>
      <c r="AI40" s="202"/>
      <c r="AJ40" s="69">
        <f t="shared" si="13"/>
        <v>0</v>
      </c>
      <c r="AK40" s="70"/>
      <c r="AL40" s="71"/>
      <c r="AM40" s="105">
        <f t="shared" si="10"/>
        <v>0</v>
      </c>
      <c r="AO40" s="122"/>
      <c r="AP40" s="83">
        <f t="shared" si="6"/>
        <v>5</v>
      </c>
      <c r="AQ40" s="15"/>
      <c r="AR40" s="69"/>
      <c r="AS40" s="202"/>
      <c r="AT40" s="69">
        <f t="shared" si="14"/>
        <v>0</v>
      </c>
      <c r="AU40" s="70"/>
      <c r="AV40" s="71"/>
      <c r="AW40" s="105">
        <f t="shared" si="11"/>
        <v>50</v>
      </c>
    </row>
    <row r="41" spans="1:49" x14ac:dyDescent="0.25">
      <c r="A41" s="122"/>
      <c r="B41" s="83">
        <f t="shared" si="0"/>
        <v>0</v>
      </c>
      <c r="C41" s="15"/>
      <c r="D41" s="534"/>
      <c r="E41" s="726"/>
      <c r="F41" s="534">
        <f t="shared" si="1"/>
        <v>0</v>
      </c>
      <c r="G41" s="329"/>
      <c r="H41" s="330"/>
      <c r="I41" s="736">
        <f t="shared" si="7"/>
        <v>0</v>
      </c>
      <c r="K41" s="122"/>
      <c r="L41" s="83">
        <f t="shared" si="2"/>
        <v>0</v>
      </c>
      <c r="M41" s="15"/>
      <c r="N41" s="534"/>
      <c r="O41" s="726"/>
      <c r="P41" s="534">
        <f t="shared" si="12"/>
        <v>0</v>
      </c>
      <c r="Q41" s="329"/>
      <c r="R41" s="330"/>
      <c r="S41" s="105">
        <f t="shared" si="8"/>
        <v>0</v>
      </c>
      <c r="U41" s="122"/>
      <c r="V41" s="83">
        <f t="shared" si="3"/>
        <v>8</v>
      </c>
      <c r="W41" s="15"/>
      <c r="X41" s="534"/>
      <c r="Y41" s="726"/>
      <c r="Z41" s="534">
        <f t="shared" si="4"/>
        <v>0</v>
      </c>
      <c r="AA41" s="329"/>
      <c r="AB41" s="330"/>
      <c r="AC41" s="736">
        <f t="shared" si="9"/>
        <v>80</v>
      </c>
      <c r="AE41" s="122"/>
      <c r="AF41" s="83">
        <f t="shared" si="5"/>
        <v>0</v>
      </c>
      <c r="AG41" s="15"/>
      <c r="AH41" s="69"/>
      <c r="AI41" s="202"/>
      <c r="AJ41" s="69">
        <f t="shared" si="13"/>
        <v>0</v>
      </c>
      <c r="AK41" s="70"/>
      <c r="AL41" s="71"/>
      <c r="AM41" s="105">
        <f t="shared" si="10"/>
        <v>0</v>
      </c>
      <c r="AO41" s="122"/>
      <c r="AP41" s="83">
        <f t="shared" si="6"/>
        <v>5</v>
      </c>
      <c r="AQ41" s="15"/>
      <c r="AR41" s="69"/>
      <c r="AS41" s="202"/>
      <c r="AT41" s="69">
        <f t="shared" si="14"/>
        <v>0</v>
      </c>
      <c r="AU41" s="70"/>
      <c r="AV41" s="71"/>
      <c r="AW41" s="105">
        <f t="shared" si="11"/>
        <v>50</v>
      </c>
    </row>
    <row r="42" spans="1:49" x14ac:dyDescent="0.25">
      <c r="A42" s="122"/>
      <c r="B42" s="83">
        <f t="shared" si="0"/>
        <v>0</v>
      </c>
      <c r="C42" s="15"/>
      <c r="D42" s="534"/>
      <c r="E42" s="726"/>
      <c r="F42" s="534">
        <f t="shared" si="1"/>
        <v>0</v>
      </c>
      <c r="G42" s="329"/>
      <c r="H42" s="330"/>
      <c r="I42" s="736">
        <f t="shared" si="7"/>
        <v>0</v>
      </c>
      <c r="K42" s="122"/>
      <c r="L42" s="83">
        <f t="shared" si="2"/>
        <v>0</v>
      </c>
      <c r="M42" s="15"/>
      <c r="N42" s="534"/>
      <c r="O42" s="726"/>
      <c r="P42" s="534">
        <f t="shared" si="12"/>
        <v>0</v>
      </c>
      <c r="Q42" s="329"/>
      <c r="R42" s="330"/>
      <c r="S42" s="105">
        <f t="shared" si="8"/>
        <v>0</v>
      </c>
      <c r="U42" s="122"/>
      <c r="V42" s="83">
        <f t="shared" si="3"/>
        <v>8</v>
      </c>
      <c r="W42" s="15"/>
      <c r="X42" s="534"/>
      <c r="Y42" s="726"/>
      <c r="Z42" s="534">
        <f t="shared" si="4"/>
        <v>0</v>
      </c>
      <c r="AA42" s="329"/>
      <c r="AB42" s="330"/>
      <c r="AC42" s="736">
        <f t="shared" si="9"/>
        <v>80</v>
      </c>
      <c r="AE42" s="122"/>
      <c r="AF42" s="83">
        <f t="shared" si="5"/>
        <v>0</v>
      </c>
      <c r="AG42" s="15"/>
      <c r="AH42" s="69"/>
      <c r="AI42" s="202"/>
      <c r="AJ42" s="69">
        <f t="shared" si="13"/>
        <v>0</v>
      </c>
      <c r="AK42" s="70"/>
      <c r="AL42" s="71"/>
      <c r="AM42" s="105">
        <f t="shared" si="10"/>
        <v>0</v>
      </c>
      <c r="AO42" s="122"/>
      <c r="AP42" s="83">
        <f t="shared" si="6"/>
        <v>5</v>
      </c>
      <c r="AQ42" s="15"/>
      <c r="AR42" s="69"/>
      <c r="AS42" s="202"/>
      <c r="AT42" s="69">
        <f t="shared" si="14"/>
        <v>0</v>
      </c>
      <c r="AU42" s="70"/>
      <c r="AV42" s="71"/>
      <c r="AW42" s="105">
        <f t="shared" si="11"/>
        <v>50</v>
      </c>
    </row>
    <row r="43" spans="1:49" x14ac:dyDescent="0.25">
      <c r="A43" s="122"/>
      <c r="B43" s="83">
        <f t="shared" si="0"/>
        <v>0</v>
      </c>
      <c r="C43" s="15"/>
      <c r="D43" s="69"/>
      <c r="E43" s="202"/>
      <c r="F43" s="69">
        <f t="shared" si="1"/>
        <v>0</v>
      </c>
      <c r="G43" s="70"/>
      <c r="H43" s="71"/>
      <c r="I43" s="105">
        <f t="shared" si="7"/>
        <v>0</v>
      </c>
      <c r="K43" s="122"/>
      <c r="L43" s="83">
        <f t="shared" si="2"/>
        <v>0</v>
      </c>
      <c r="M43" s="15"/>
      <c r="N43" s="534"/>
      <c r="O43" s="726"/>
      <c r="P43" s="534">
        <f t="shared" si="12"/>
        <v>0</v>
      </c>
      <c r="Q43" s="329"/>
      <c r="R43" s="330"/>
      <c r="S43" s="105">
        <f t="shared" si="8"/>
        <v>0</v>
      </c>
      <c r="U43" s="122"/>
      <c r="V43" s="83">
        <f t="shared" si="3"/>
        <v>8</v>
      </c>
      <c r="W43" s="15"/>
      <c r="X43" s="69"/>
      <c r="Y43" s="202"/>
      <c r="Z43" s="69">
        <f t="shared" si="4"/>
        <v>0</v>
      </c>
      <c r="AA43" s="70"/>
      <c r="AB43" s="71"/>
      <c r="AC43" s="105">
        <f t="shared" si="9"/>
        <v>80</v>
      </c>
      <c r="AE43" s="122"/>
      <c r="AF43" s="83">
        <f t="shared" si="5"/>
        <v>0</v>
      </c>
      <c r="AG43" s="15"/>
      <c r="AH43" s="69"/>
      <c r="AI43" s="202"/>
      <c r="AJ43" s="69">
        <f t="shared" si="13"/>
        <v>0</v>
      </c>
      <c r="AK43" s="70"/>
      <c r="AL43" s="71"/>
      <c r="AM43" s="105">
        <f t="shared" si="10"/>
        <v>0</v>
      </c>
      <c r="AO43" s="122"/>
      <c r="AP43" s="83">
        <f t="shared" si="6"/>
        <v>5</v>
      </c>
      <c r="AQ43" s="15"/>
      <c r="AR43" s="69"/>
      <c r="AS43" s="202"/>
      <c r="AT43" s="69">
        <f t="shared" si="14"/>
        <v>0</v>
      </c>
      <c r="AU43" s="70"/>
      <c r="AV43" s="71"/>
      <c r="AW43" s="105">
        <f t="shared" si="11"/>
        <v>50</v>
      </c>
    </row>
    <row r="44" spans="1:49" x14ac:dyDescent="0.25">
      <c r="A44" s="122"/>
      <c r="B44" s="83">
        <f t="shared" si="0"/>
        <v>0</v>
      </c>
      <c r="C44" s="15"/>
      <c r="D44" s="69"/>
      <c r="E44" s="202"/>
      <c r="F44" s="69">
        <f t="shared" si="1"/>
        <v>0</v>
      </c>
      <c r="G44" s="70"/>
      <c r="H44" s="71"/>
      <c r="I44" s="105">
        <f t="shared" si="7"/>
        <v>0</v>
      </c>
      <c r="K44" s="122"/>
      <c r="L44" s="83">
        <f t="shared" si="2"/>
        <v>0</v>
      </c>
      <c r="M44" s="15"/>
      <c r="N44" s="534"/>
      <c r="O44" s="726"/>
      <c r="P44" s="534">
        <f t="shared" si="12"/>
        <v>0</v>
      </c>
      <c r="Q44" s="329"/>
      <c r="R44" s="330"/>
      <c r="S44" s="105">
        <f t="shared" si="8"/>
        <v>0</v>
      </c>
      <c r="U44" s="122"/>
      <c r="V44" s="83">
        <f t="shared" si="3"/>
        <v>8</v>
      </c>
      <c r="W44" s="15"/>
      <c r="X44" s="69"/>
      <c r="Y44" s="202"/>
      <c r="Z44" s="69">
        <f t="shared" si="4"/>
        <v>0</v>
      </c>
      <c r="AA44" s="70"/>
      <c r="AB44" s="71"/>
      <c r="AC44" s="105">
        <f t="shared" si="9"/>
        <v>80</v>
      </c>
      <c r="AE44" s="122"/>
      <c r="AF44" s="83">
        <f t="shared" si="5"/>
        <v>0</v>
      </c>
      <c r="AG44" s="15"/>
      <c r="AH44" s="69"/>
      <c r="AI44" s="202"/>
      <c r="AJ44" s="69">
        <f t="shared" si="13"/>
        <v>0</v>
      </c>
      <c r="AK44" s="70"/>
      <c r="AL44" s="71"/>
      <c r="AM44" s="105">
        <f t="shared" si="10"/>
        <v>0</v>
      </c>
      <c r="AO44" s="122"/>
      <c r="AP44" s="83">
        <f t="shared" si="6"/>
        <v>5</v>
      </c>
      <c r="AQ44" s="15"/>
      <c r="AR44" s="69"/>
      <c r="AS44" s="202"/>
      <c r="AT44" s="69">
        <f t="shared" si="14"/>
        <v>0</v>
      </c>
      <c r="AU44" s="70"/>
      <c r="AV44" s="71"/>
      <c r="AW44" s="105">
        <f t="shared" si="11"/>
        <v>50</v>
      </c>
    </row>
    <row r="45" spans="1:49" x14ac:dyDescent="0.25">
      <c r="A45" s="122"/>
      <c r="B45" s="83">
        <f t="shared" si="0"/>
        <v>0</v>
      </c>
      <c r="C45" s="15"/>
      <c r="D45" s="69"/>
      <c r="E45" s="202"/>
      <c r="F45" s="69">
        <f t="shared" si="1"/>
        <v>0</v>
      </c>
      <c r="G45" s="70"/>
      <c r="H45" s="71"/>
      <c r="I45" s="105">
        <f t="shared" si="7"/>
        <v>0</v>
      </c>
      <c r="K45" s="122"/>
      <c r="L45" s="83">
        <f t="shared" si="2"/>
        <v>0</v>
      </c>
      <c r="M45" s="15"/>
      <c r="N45" s="534"/>
      <c r="O45" s="726"/>
      <c r="P45" s="534">
        <f t="shared" si="12"/>
        <v>0</v>
      </c>
      <c r="Q45" s="329"/>
      <c r="R45" s="330"/>
      <c r="S45" s="105">
        <f t="shared" si="8"/>
        <v>0</v>
      </c>
      <c r="U45" s="122"/>
      <c r="V45" s="83">
        <f t="shared" si="3"/>
        <v>8</v>
      </c>
      <c r="W45" s="15"/>
      <c r="X45" s="69"/>
      <c r="Y45" s="202"/>
      <c r="Z45" s="69">
        <f t="shared" si="4"/>
        <v>0</v>
      </c>
      <c r="AA45" s="70"/>
      <c r="AB45" s="71"/>
      <c r="AC45" s="105">
        <f t="shared" si="9"/>
        <v>80</v>
      </c>
      <c r="AE45" s="122"/>
      <c r="AF45" s="83">
        <f t="shared" si="5"/>
        <v>0</v>
      </c>
      <c r="AG45" s="15"/>
      <c r="AH45" s="69"/>
      <c r="AI45" s="202"/>
      <c r="AJ45" s="69">
        <f t="shared" si="13"/>
        <v>0</v>
      </c>
      <c r="AK45" s="70"/>
      <c r="AL45" s="71"/>
      <c r="AM45" s="105">
        <f t="shared" si="10"/>
        <v>0</v>
      </c>
      <c r="AO45" s="122"/>
      <c r="AP45" s="83">
        <f t="shared" si="6"/>
        <v>5</v>
      </c>
      <c r="AQ45" s="15"/>
      <c r="AR45" s="69"/>
      <c r="AS45" s="202"/>
      <c r="AT45" s="69">
        <f t="shared" si="14"/>
        <v>0</v>
      </c>
      <c r="AU45" s="70"/>
      <c r="AV45" s="71"/>
      <c r="AW45" s="105">
        <f t="shared" si="11"/>
        <v>50</v>
      </c>
    </row>
    <row r="46" spans="1:49" x14ac:dyDescent="0.25">
      <c r="A46" s="122"/>
      <c r="B46" s="83">
        <f t="shared" si="0"/>
        <v>0</v>
      </c>
      <c r="C46" s="15"/>
      <c r="D46" s="69"/>
      <c r="E46" s="202"/>
      <c r="F46" s="69">
        <f t="shared" si="1"/>
        <v>0</v>
      </c>
      <c r="G46" s="70"/>
      <c r="H46" s="71"/>
      <c r="I46" s="105">
        <f t="shared" si="7"/>
        <v>0</v>
      </c>
      <c r="K46" s="122"/>
      <c r="L46" s="83">
        <f t="shared" si="2"/>
        <v>0</v>
      </c>
      <c r="M46" s="15"/>
      <c r="N46" s="534"/>
      <c r="O46" s="726"/>
      <c r="P46" s="534">
        <f t="shared" si="12"/>
        <v>0</v>
      </c>
      <c r="Q46" s="329"/>
      <c r="R46" s="330"/>
      <c r="S46" s="105">
        <f t="shared" si="8"/>
        <v>0</v>
      </c>
      <c r="U46" s="122"/>
      <c r="V46" s="83">
        <f t="shared" si="3"/>
        <v>8</v>
      </c>
      <c r="W46" s="15"/>
      <c r="X46" s="69"/>
      <c r="Y46" s="202"/>
      <c r="Z46" s="69">
        <f t="shared" si="4"/>
        <v>0</v>
      </c>
      <c r="AA46" s="70"/>
      <c r="AB46" s="71"/>
      <c r="AC46" s="105">
        <f t="shared" si="9"/>
        <v>80</v>
      </c>
      <c r="AE46" s="122"/>
      <c r="AF46" s="83">
        <f t="shared" si="5"/>
        <v>0</v>
      </c>
      <c r="AG46" s="15"/>
      <c r="AH46" s="69"/>
      <c r="AI46" s="202"/>
      <c r="AJ46" s="69">
        <f t="shared" si="13"/>
        <v>0</v>
      </c>
      <c r="AK46" s="70"/>
      <c r="AL46" s="71"/>
      <c r="AM46" s="105">
        <f t="shared" si="10"/>
        <v>0</v>
      </c>
      <c r="AO46" s="122"/>
      <c r="AP46" s="83">
        <f t="shared" si="6"/>
        <v>5</v>
      </c>
      <c r="AQ46" s="15"/>
      <c r="AR46" s="69"/>
      <c r="AS46" s="202"/>
      <c r="AT46" s="69">
        <f t="shared" si="14"/>
        <v>0</v>
      </c>
      <c r="AU46" s="70"/>
      <c r="AV46" s="71"/>
      <c r="AW46" s="105">
        <f t="shared" si="11"/>
        <v>50</v>
      </c>
    </row>
    <row r="47" spans="1:49" x14ac:dyDescent="0.25">
      <c r="A47" s="122"/>
      <c r="B47" s="83">
        <f t="shared" si="0"/>
        <v>0</v>
      </c>
      <c r="C47" s="15"/>
      <c r="D47" s="69"/>
      <c r="E47" s="202"/>
      <c r="F47" s="69">
        <f t="shared" si="1"/>
        <v>0</v>
      </c>
      <c r="G47" s="70"/>
      <c r="H47" s="71"/>
      <c r="I47" s="105">
        <f t="shared" si="7"/>
        <v>0</v>
      </c>
      <c r="K47" s="122"/>
      <c r="L47" s="83">
        <f t="shared" si="2"/>
        <v>0</v>
      </c>
      <c r="M47" s="15"/>
      <c r="N47" s="534"/>
      <c r="O47" s="726"/>
      <c r="P47" s="534">
        <f t="shared" si="12"/>
        <v>0</v>
      </c>
      <c r="Q47" s="329"/>
      <c r="R47" s="330"/>
      <c r="S47" s="105">
        <f t="shared" si="8"/>
        <v>0</v>
      </c>
      <c r="U47" s="122"/>
      <c r="V47" s="83">
        <f t="shared" si="3"/>
        <v>8</v>
      </c>
      <c r="W47" s="15"/>
      <c r="X47" s="69"/>
      <c r="Y47" s="202"/>
      <c r="Z47" s="69">
        <f t="shared" si="4"/>
        <v>0</v>
      </c>
      <c r="AA47" s="70"/>
      <c r="AB47" s="71"/>
      <c r="AC47" s="105">
        <f t="shared" si="9"/>
        <v>80</v>
      </c>
      <c r="AE47" s="122"/>
      <c r="AF47" s="83">
        <f t="shared" si="5"/>
        <v>0</v>
      </c>
      <c r="AG47" s="15"/>
      <c r="AH47" s="69"/>
      <c r="AI47" s="202"/>
      <c r="AJ47" s="69">
        <f t="shared" si="13"/>
        <v>0</v>
      </c>
      <c r="AK47" s="70"/>
      <c r="AL47" s="71"/>
      <c r="AM47" s="105">
        <f t="shared" si="10"/>
        <v>0</v>
      </c>
      <c r="AO47" s="122"/>
      <c r="AP47" s="83">
        <f t="shared" si="6"/>
        <v>5</v>
      </c>
      <c r="AQ47" s="15"/>
      <c r="AR47" s="69"/>
      <c r="AS47" s="202"/>
      <c r="AT47" s="69">
        <f t="shared" si="14"/>
        <v>0</v>
      </c>
      <c r="AU47" s="70"/>
      <c r="AV47" s="71"/>
      <c r="AW47" s="105">
        <f t="shared" si="11"/>
        <v>50</v>
      </c>
    </row>
    <row r="48" spans="1:49" x14ac:dyDescent="0.25">
      <c r="A48" s="122"/>
      <c r="B48" s="83">
        <f t="shared" si="0"/>
        <v>0</v>
      </c>
      <c r="C48" s="15"/>
      <c r="D48" s="69"/>
      <c r="E48" s="202"/>
      <c r="F48" s="69">
        <f t="shared" si="1"/>
        <v>0</v>
      </c>
      <c r="G48" s="70"/>
      <c r="H48" s="71"/>
      <c r="I48" s="105">
        <f t="shared" si="7"/>
        <v>0</v>
      </c>
      <c r="K48" s="122"/>
      <c r="L48" s="83">
        <f t="shared" si="2"/>
        <v>0</v>
      </c>
      <c r="M48" s="15"/>
      <c r="N48" s="534"/>
      <c r="O48" s="726"/>
      <c r="P48" s="534">
        <f t="shared" si="12"/>
        <v>0</v>
      </c>
      <c r="Q48" s="329"/>
      <c r="R48" s="330"/>
      <c r="S48" s="105">
        <f t="shared" si="8"/>
        <v>0</v>
      </c>
      <c r="U48" s="122"/>
      <c r="V48" s="83">
        <f t="shared" si="3"/>
        <v>8</v>
      </c>
      <c r="W48" s="15"/>
      <c r="X48" s="69"/>
      <c r="Y48" s="202"/>
      <c r="Z48" s="69">
        <f t="shared" si="4"/>
        <v>0</v>
      </c>
      <c r="AA48" s="70"/>
      <c r="AB48" s="71"/>
      <c r="AC48" s="105">
        <f t="shared" si="9"/>
        <v>80</v>
      </c>
      <c r="AE48" s="122"/>
      <c r="AF48" s="83">
        <f t="shared" si="5"/>
        <v>0</v>
      </c>
      <c r="AG48" s="15"/>
      <c r="AH48" s="534"/>
      <c r="AI48" s="726"/>
      <c r="AJ48" s="534">
        <f t="shared" si="13"/>
        <v>0</v>
      </c>
      <c r="AK48" s="329"/>
      <c r="AL48" s="330"/>
      <c r="AM48" s="105">
        <f t="shared" si="10"/>
        <v>0</v>
      </c>
      <c r="AO48" s="122"/>
      <c r="AP48" s="83">
        <f t="shared" si="6"/>
        <v>5</v>
      </c>
      <c r="AQ48" s="15"/>
      <c r="AR48" s="534"/>
      <c r="AS48" s="726"/>
      <c r="AT48" s="534">
        <f t="shared" si="14"/>
        <v>0</v>
      </c>
      <c r="AU48" s="329"/>
      <c r="AV48" s="330"/>
      <c r="AW48" s="105">
        <f t="shared" si="11"/>
        <v>50</v>
      </c>
    </row>
    <row r="49" spans="1:49" x14ac:dyDescent="0.25">
      <c r="A49" s="122"/>
      <c r="B49" s="83">
        <f t="shared" si="0"/>
        <v>0</v>
      </c>
      <c r="C49" s="15"/>
      <c r="D49" s="69"/>
      <c r="E49" s="202"/>
      <c r="F49" s="69">
        <f t="shared" si="1"/>
        <v>0</v>
      </c>
      <c r="G49" s="70"/>
      <c r="H49" s="71"/>
      <c r="I49" s="105">
        <f t="shared" si="7"/>
        <v>0</v>
      </c>
      <c r="K49" s="122"/>
      <c r="L49" s="83">
        <f t="shared" si="2"/>
        <v>0</v>
      </c>
      <c r="M49" s="15"/>
      <c r="N49" s="534"/>
      <c r="O49" s="726"/>
      <c r="P49" s="534">
        <f t="shared" si="12"/>
        <v>0</v>
      </c>
      <c r="Q49" s="329"/>
      <c r="R49" s="330"/>
      <c r="S49" s="105">
        <f t="shared" si="8"/>
        <v>0</v>
      </c>
      <c r="U49" s="122"/>
      <c r="V49" s="83">
        <f t="shared" si="3"/>
        <v>8</v>
      </c>
      <c r="W49" s="15"/>
      <c r="X49" s="69"/>
      <c r="Y49" s="202"/>
      <c r="Z49" s="69">
        <f t="shared" si="4"/>
        <v>0</v>
      </c>
      <c r="AA49" s="70"/>
      <c r="AB49" s="71"/>
      <c r="AC49" s="105">
        <f t="shared" si="9"/>
        <v>80</v>
      </c>
      <c r="AE49" s="122"/>
      <c r="AF49" s="83">
        <f t="shared" si="5"/>
        <v>0</v>
      </c>
      <c r="AG49" s="15"/>
      <c r="AH49" s="534"/>
      <c r="AI49" s="726"/>
      <c r="AJ49" s="534">
        <f t="shared" si="13"/>
        <v>0</v>
      </c>
      <c r="AK49" s="329"/>
      <c r="AL49" s="330"/>
      <c r="AM49" s="105">
        <f t="shared" si="10"/>
        <v>0</v>
      </c>
      <c r="AO49" s="122"/>
      <c r="AP49" s="83">
        <f t="shared" si="6"/>
        <v>5</v>
      </c>
      <c r="AQ49" s="15"/>
      <c r="AR49" s="534"/>
      <c r="AS49" s="726"/>
      <c r="AT49" s="534">
        <f t="shared" si="14"/>
        <v>0</v>
      </c>
      <c r="AU49" s="329"/>
      <c r="AV49" s="330"/>
      <c r="AW49" s="105">
        <f t="shared" si="11"/>
        <v>50</v>
      </c>
    </row>
    <row r="50" spans="1:49" x14ac:dyDescent="0.25">
      <c r="A50" s="122"/>
      <c r="B50" s="83">
        <f t="shared" si="0"/>
        <v>0</v>
      </c>
      <c r="C50" s="15"/>
      <c r="D50" s="69"/>
      <c r="E50" s="202"/>
      <c r="F50" s="69">
        <f t="shared" si="1"/>
        <v>0</v>
      </c>
      <c r="G50" s="70"/>
      <c r="H50" s="71"/>
      <c r="I50" s="105">
        <f t="shared" si="7"/>
        <v>0</v>
      </c>
      <c r="K50" s="122"/>
      <c r="L50" s="83">
        <f t="shared" si="2"/>
        <v>0</v>
      </c>
      <c r="M50" s="15"/>
      <c r="N50" s="534"/>
      <c r="O50" s="726"/>
      <c r="P50" s="534">
        <f t="shared" si="12"/>
        <v>0</v>
      </c>
      <c r="Q50" s="329"/>
      <c r="R50" s="330"/>
      <c r="S50" s="105">
        <f t="shared" si="8"/>
        <v>0</v>
      </c>
      <c r="U50" s="122"/>
      <c r="V50" s="83">
        <f t="shared" si="3"/>
        <v>8</v>
      </c>
      <c r="W50" s="15"/>
      <c r="X50" s="69"/>
      <c r="Y50" s="202"/>
      <c r="Z50" s="69">
        <f t="shared" si="4"/>
        <v>0</v>
      </c>
      <c r="AA50" s="70"/>
      <c r="AB50" s="71"/>
      <c r="AC50" s="105">
        <f t="shared" si="9"/>
        <v>80</v>
      </c>
      <c r="AE50" s="122"/>
      <c r="AF50" s="83">
        <f t="shared" si="5"/>
        <v>0</v>
      </c>
      <c r="AG50" s="15"/>
      <c r="AH50" s="534"/>
      <c r="AI50" s="726"/>
      <c r="AJ50" s="534">
        <f t="shared" si="13"/>
        <v>0</v>
      </c>
      <c r="AK50" s="329"/>
      <c r="AL50" s="330"/>
      <c r="AM50" s="105">
        <f t="shared" si="10"/>
        <v>0</v>
      </c>
      <c r="AO50" s="122"/>
      <c r="AP50" s="83">
        <f t="shared" si="6"/>
        <v>5</v>
      </c>
      <c r="AQ50" s="15"/>
      <c r="AR50" s="534"/>
      <c r="AS50" s="726"/>
      <c r="AT50" s="534">
        <f t="shared" si="14"/>
        <v>0</v>
      </c>
      <c r="AU50" s="329"/>
      <c r="AV50" s="330"/>
      <c r="AW50" s="105">
        <f t="shared" si="11"/>
        <v>50</v>
      </c>
    </row>
    <row r="51" spans="1:49" x14ac:dyDescent="0.25">
      <c r="A51" s="122"/>
      <c r="B51" s="83">
        <f t="shared" si="0"/>
        <v>0</v>
      </c>
      <c r="C51" s="15"/>
      <c r="D51" s="69"/>
      <c r="E51" s="202"/>
      <c r="F51" s="69">
        <f t="shared" si="1"/>
        <v>0</v>
      </c>
      <c r="G51" s="70"/>
      <c r="H51" s="71"/>
      <c r="I51" s="105">
        <f t="shared" si="7"/>
        <v>0</v>
      </c>
      <c r="K51" s="122"/>
      <c r="L51" s="83">
        <f t="shared" si="2"/>
        <v>0</v>
      </c>
      <c r="M51" s="15"/>
      <c r="N51" s="534"/>
      <c r="O51" s="726"/>
      <c r="P51" s="534">
        <f t="shared" si="12"/>
        <v>0</v>
      </c>
      <c r="Q51" s="329"/>
      <c r="R51" s="330"/>
      <c r="S51" s="105">
        <f t="shared" si="8"/>
        <v>0</v>
      </c>
      <c r="U51" s="122"/>
      <c r="V51" s="83">
        <f t="shared" si="3"/>
        <v>8</v>
      </c>
      <c r="W51" s="15"/>
      <c r="X51" s="69"/>
      <c r="Y51" s="202"/>
      <c r="Z51" s="69">
        <f t="shared" si="4"/>
        <v>0</v>
      </c>
      <c r="AA51" s="70"/>
      <c r="AB51" s="71"/>
      <c r="AC51" s="105">
        <f t="shared" si="9"/>
        <v>80</v>
      </c>
      <c r="AE51" s="122"/>
      <c r="AF51" s="83">
        <f t="shared" si="5"/>
        <v>0</v>
      </c>
      <c r="AG51" s="15"/>
      <c r="AH51" s="534"/>
      <c r="AI51" s="726"/>
      <c r="AJ51" s="534">
        <f t="shared" si="13"/>
        <v>0</v>
      </c>
      <c r="AK51" s="329"/>
      <c r="AL51" s="330"/>
      <c r="AM51" s="105">
        <f t="shared" si="10"/>
        <v>0</v>
      </c>
      <c r="AO51" s="122"/>
      <c r="AP51" s="83">
        <f t="shared" si="6"/>
        <v>5</v>
      </c>
      <c r="AQ51" s="15"/>
      <c r="AR51" s="534"/>
      <c r="AS51" s="726"/>
      <c r="AT51" s="534">
        <f t="shared" si="14"/>
        <v>0</v>
      </c>
      <c r="AU51" s="329"/>
      <c r="AV51" s="330"/>
      <c r="AW51" s="105">
        <f t="shared" si="11"/>
        <v>50</v>
      </c>
    </row>
    <row r="52" spans="1:49" x14ac:dyDescent="0.25">
      <c r="A52" s="122"/>
      <c r="B52" s="83">
        <f t="shared" si="0"/>
        <v>0</v>
      </c>
      <c r="C52" s="15"/>
      <c r="D52" s="69"/>
      <c r="E52" s="202"/>
      <c r="F52" s="69">
        <f t="shared" si="1"/>
        <v>0</v>
      </c>
      <c r="G52" s="70"/>
      <c r="H52" s="71"/>
      <c r="I52" s="105">
        <f t="shared" si="7"/>
        <v>0</v>
      </c>
      <c r="K52" s="122"/>
      <c r="L52" s="83">
        <f t="shared" si="2"/>
        <v>0</v>
      </c>
      <c r="M52" s="15"/>
      <c r="N52" s="69"/>
      <c r="O52" s="202"/>
      <c r="P52" s="69">
        <f t="shared" si="12"/>
        <v>0</v>
      </c>
      <c r="Q52" s="70"/>
      <c r="R52" s="71"/>
      <c r="S52" s="105">
        <f t="shared" si="8"/>
        <v>0</v>
      </c>
      <c r="U52" s="122"/>
      <c r="V52" s="83">
        <f t="shared" si="3"/>
        <v>8</v>
      </c>
      <c r="W52" s="15"/>
      <c r="X52" s="69"/>
      <c r="Y52" s="202"/>
      <c r="Z52" s="69">
        <f t="shared" si="4"/>
        <v>0</v>
      </c>
      <c r="AA52" s="70"/>
      <c r="AB52" s="71"/>
      <c r="AC52" s="105">
        <f t="shared" si="9"/>
        <v>80</v>
      </c>
      <c r="AE52" s="122"/>
      <c r="AF52" s="83">
        <f t="shared" si="5"/>
        <v>0</v>
      </c>
      <c r="AG52" s="15"/>
      <c r="AH52" s="69"/>
      <c r="AI52" s="202"/>
      <c r="AJ52" s="69">
        <f t="shared" si="13"/>
        <v>0</v>
      </c>
      <c r="AK52" s="70"/>
      <c r="AL52" s="71"/>
      <c r="AM52" s="105">
        <f t="shared" si="10"/>
        <v>0</v>
      </c>
      <c r="AO52" s="122"/>
      <c r="AP52" s="83">
        <f t="shared" si="6"/>
        <v>5</v>
      </c>
      <c r="AQ52" s="15"/>
      <c r="AR52" s="69"/>
      <c r="AS52" s="202"/>
      <c r="AT52" s="69">
        <f t="shared" si="14"/>
        <v>0</v>
      </c>
      <c r="AU52" s="70"/>
      <c r="AV52" s="71"/>
      <c r="AW52" s="105">
        <f t="shared" si="11"/>
        <v>50</v>
      </c>
    </row>
    <row r="53" spans="1:49" x14ac:dyDescent="0.25">
      <c r="A53" s="122"/>
      <c r="B53" s="83">
        <f t="shared" si="0"/>
        <v>0</v>
      </c>
      <c r="C53" s="15"/>
      <c r="D53" s="69"/>
      <c r="E53" s="202"/>
      <c r="F53" s="69">
        <f t="shared" si="1"/>
        <v>0</v>
      </c>
      <c r="G53" s="70"/>
      <c r="H53" s="71"/>
      <c r="I53" s="105">
        <f t="shared" si="7"/>
        <v>0</v>
      </c>
      <c r="K53" s="122"/>
      <c r="L53" s="83">
        <f t="shared" si="2"/>
        <v>0</v>
      </c>
      <c r="M53" s="15"/>
      <c r="N53" s="69"/>
      <c r="O53" s="202"/>
      <c r="P53" s="69">
        <f t="shared" si="12"/>
        <v>0</v>
      </c>
      <c r="Q53" s="70"/>
      <c r="R53" s="71"/>
      <c r="S53" s="105">
        <f t="shared" si="8"/>
        <v>0</v>
      </c>
      <c r="U53" s="122"/>
      <c r="V53" s="83">
        <f t="shared" si="3"/>
        <v>8</v>
      </c>
      <c r="W53" s="15"/>
      <c r="X53" s="69"/>
      <c r="Y53" s="202"/>
      <c r="Z53" s="69">
        <f t="shared" si="4"/>
        <v>0</v>
      </c>
      <c r="AA53" s="70"/>
      <c r="AB53" s="71"/>
      <c r="AC53" s="105">
        <f t="shared" si="9"/>
        <v>80</v>
      </c>
      <c r="AE53" s="122"/>
      <c r="AF53" s="83">
        <f t="shared" si="5"/>
        <v>0</v>
      </c>
      <c r="AG53" s="15"/>
      <c r="AH53" s="69"/>
      <c r="AI53" s="202"/>
      <c r="AJ53" s="69">
        <f t="shared" si="13"/>
        <v>0</v>
      </c>
      <c r="AK53" s="70"/>
      <c r="AL53" s="71"/>
      <c r="AM53" s="105">
        <f t="shared" si="10"/>
        <v>0</v>
      </c>
      <c r="AO53" s="122"/>
      <c r="AP53" s="83">
        <f t="shared" si="6"/>
        <v>5</v>
      </c>
      <c r="AQ53" s="15"/>
      <c r="AR53" s="69"/>
      <c r="AS53" s="202"/>
      <c r="AT53" s="69">
        <f t="shared" si="14"/>
        <v>0</v>
      </c>
      <c r="AU53" s="70"/>
      <c r="AV53" s="71"/>
      <c r="AW53" s="105">
        <f t="shared" si="11"/>
        <v>50</v>
      </c>
    </row>
    <row r="54" spans="1:49" x14ac:dyDescent="0.25">
      <c r="A54" s="122"/>
      <c r="B54" s="83">
        <f t="shared" si="0"/>
        <v>0</v>
      </c>
      <c r="C54" s="15"/>
      <c r="D54" s="69"/>
      <c r="E54" s="202"/>
      <c r="F54" s="69">
        <f t="shared" si="1"/>
        <v>0</v>
      </c>
      <c r="G54" s="70"/>
      <c r="H54" s="71"/>
      <c r="I54" s="105">
        <f t="shared" si="7"/>
        <v>0</v>
      </c>
      <c r="K54" s="122"/>
      <c r="L54" s="83">
        <f t="shared" si="2"/>
        <v>0</v>
      </c>
      <c r="M54" s="15"/>
      <c r="N54" s="69"/>
      <c r="O54" s="202"/>
      <c r="P54" s="69">
        <f t="shared" si="12"/>
        <v>0</v>
      </c>
      <c r="Q54" s="70"/>
      <c r="R54" s="71"/>
      <c r="S54" s="105">
        <f t="shared" si="8"/>
        <v>0</v>
      </c>
      <c r="U54" s="122"/>
      <c r="V54" s="83">
        <f t="shared" si="3"/>
        <v>8</v>
      </c>
      <c r="W54" s="15"/>
      <c r="X54" s="69"/>
      <c r="Y54" s="202"/>
      <c r="Z54" s="69">
        <f t="shared" si="4"/>
        <v>0</v>
      </c>
      <c r="AA54" s="70"/>
      <c r="AB54" s="71"/>
      <c r="AC54" s="105">
        <f t="shared" si="9"/>
        <v>80</v>
      </c>
      <c r="AE54" s="122"/>
      <c r="AF54" s="83">
        <f t="shared" si="5"/>
        <v>0</v>
      </c>
      <c r="AG54" s="15"/>
      <c r="AH54" s="69"/>
      <c r="AI54" s="202"/>
      <c r="AJ54" s="69">
        <f t="shared" si="13"/>
        <v>0</v>
      </c>
      <c r="AK54" s="70"/>
      <c r="AL54" s="71"/>
      <c r="AM54" s="105">
        <f t="shared" si="10"/>
        <v>0</v>
      </c>
      <c r="AO54" s="122"/>
      <c r="AP54" s="83">
        <f t="shared" si="6"/>
        <v>5</v>
      </c>
      <c r="AQ54" s="15"/>
      <c r="AR54" s="69"/>
      <c r="AS54" s="202"/>
      <c r="AT54" s="69">
        <f t="shared" si="14"/>
        <v>0</v>
      </c>
      <c r="AU54" s="70"/>
      <c r="AV54" s="71"/>
      <c r="AW54" s="105">
        <f t="shared" si="11"/>
        <v>50</v>
      </c>
    </row>
    <row r="55" spans="1:49" x14ac:dyDescent="0.25">
      <c r="A55" s="122"/>
      <c r="B55" s="12">
        <f t="shared" si="0"/>
        <v>0</v>
      </c>
      <c r="C55" s="15"/>
      <c r="D55" s="69"/>
      <c r="E55" s="202"/>
      <c r="F55" s="69">
        <f t="shared" si="1"/>
        <v>0</v>
      </c>
      <c r="G55" s="70"/>
      <c r="H55" s="71"/>
      <c r="I55" s="105">
        <f t="shared" si="7"/>
        <v>0</v>
      </c>
      <c r="K55" s="122"/>
      <c r="L55" s="12">
        <f t="shared" si="2"/>
        <v>0</v>
      </c>
      <c r="M55" s="15"/>
      <c r="N55" s="69"/>
      <c r="O55" s="202"/>
      <c r="P55" s="69">
        <f t="shared" si="12"/>
        <v>0</v>
      </c>
      <c r="Q55" s="70"/>
      <c r="R55" s="71"/>
      <c r="S55" s="105">
        <f t="shared" si="8"/>
        <v>0</v>
      </c>
      <c r="U55" s="122"/>
      <c r="V55" s="12">
        <f t="shared" si="3"/>
        <v>8</v>
      </c>
      <c r="W55" s="15"/>
      <c r="X55" s="69"/>
      <c r="Y55" s="202"/>
      <c r="Z55" s="69">
        <f t="shared" si="4"/>
        <v>0</v>
      </c>
      <c r="AA55" s="70"/>
      <c r="AB55" s="71"/>
      <c r="AC55" s="105">
        <f t="shared" si="9"/>
        <v>80</v>
      </c>
      <c r="AE55" s="122"/>
      <c r="AF55" s="12">
        <f t="shared" si="5"/>
        <v>0</v>
      </c>
      <c r="AG55" s="15"/>
      <c r="AH55" s="69"/>
      <c r="AI55" s="202"/>
      <c r="AJ55" s="69">
        <f t="shared" si="13"/>
        <v>0</v>
      </c>
      <c r="AK55" s="70"/>
      <c r="AL55" s="71"/>
      <c r="AM55" s="105">
        <f t="shared" si="10"/>
        <v>0</v>
      </c>
      <c r="AO55" s="122"/>
      <c r="AP55" s="12">
        <f t="shared" si="6"/>
        <v>5</v>
      </c>
      <c r="AQ55" s="15"/>
      <c r="AR55" s="69"/>
      <c r="AS55" s="202"/>
      <c r="AT55" s="69">
        <f t="shared" si="14"/>
        <v>0</v>
      </c>
      <c r="AU55" s="70"/>
      <c r="AV55" s="71"/>
      <c r="AW55" s="105">
        <f t="shared" si="11"/>
        <v>50</v>
      </c>
    </row>
    <row r="56" spans="1:49" x14ac:dyDescent="0.25">
      <c r="A56" s="122"/>
      <c r="B56" s="12">
        <f t="shared" si="0"/>
        <v>0</v>
      </c>
      <c r="C56" s="15"/>
      <c r="D56" s="69"/>
      <c r="E56" s="202"/>
      <c r="F56" s="69">
        <f t="shared" si="1"/>
        <v>0</v>
      </c>
      <c r="G56" s="70"/>
      <c r="H56" s="71"/>
      <c r="I56" s="105">
        <f t="shared" si="7"/>
        <v>0</v>
      </c>
      <c r="K56" s="122"/>
      <c r="L56" s="12">
        <f t="shared" si="2"/>
        <v>0</v>
      </c>
      <c r="M56" s="15"/>
      <c r="N56" s="69"/>
      <c r="O56" s="202"/>
      <c r="P56" s="69">
        <f t="shared" si="12"/>
        <v>0</v>
      </c>
      <c r="Q56" s="70"/>
      <c r="R56" s="71"/>
      <c r="S56" s="105">
        <f t="shared" si="8"/>
        <v>0</v>
      </c>
      <c r="U56" s="122"/>
      <c r="V56" s="12">
        <f t="shared" si="3"/>
        <v>8</v>
      </c>
      <c r="W56" s="15"/>
      <c r="X56" s="69"/>
      <c r="Y56" s="202"/>
      <c r="Z56" s="69">
        <f t="shared" si="4"/>
        <v>0</v>
      </c>
      <c r="AA56" s="70"/>
      <c r="AB56" s="71"/>
      <c r="AC56" s="105">
        <f t="shared" si="9"/>
        <v>80</v>
      </c>
      <c r="AE56" s="122"/>
      <c r="AF56" s="12">
        <f t="shared" si="5"/>
        <v>0</v>
      </c>
      <c r="AG56" s="15"/>
      <c r="AH56" s="69"/>
      <c r="AI56" s="202"/>
      <c r="AJ56" s="69">
        <f t="shared" si="13"/>
        <v>0</v>
      </c>
      <c r="AK56" s="70"/>
      <c r="AL56" s="71"/>
      <c r="AM56" s="105">
        <f t="shared" si="10"/>
        <v>0</v>
      </c>
      <c r="AO56" s="122"/>
      <c r="AP56" s="12">
        <f t="shared" si="6"/>
        <v>5</v>
      </c>
      <c r="AQ56" s="15"/>
      <c r="AR56" s="69"/>
      <c r="AS56" s="202"/>
      <c r="AT56" s="69">
        <f t="shared" si="14"/>
        <v>0</v>
      </c>
      <c r="AU56" s="70"/>
      <c r="AV56" s="71"/>
      <c r="AW56" s="105">
        <f t="shared" si="11"/>
        <v>50</v>
      </c>
    </row>
    <row r="57" spans="1:49" x14ac:dyDescent="0.25">
      <c r="A57" s="122"/>
      <c r="B57" s="12">
        <f t="shared" si="0"/>
        <v>0</v>
      </c>
      <c r="C57" s="15"/>
      <c r="D57" s="69"/>
      <c r="E57" s="202"/>
      <c r="F57" s="69">
        <f t="shared" si="1"/>
        <v>0</v>
      </c>
      <c r="G57" s="70"/>
      <c r="H57" s="71"/>
      <c r="I57" s="105">
        <f t="shared" si="7"/>
        <v>0</v>
      </c>
      <c r="K57" s="122"/>
      <c r="L57" s="12">
        <f t="shared" si="2"/>
        <v>0</v>
      </c>
      <c r="M57" s="15"/>
      <c r="N57" s="69"/>
      <c r="O57" s="202"/>
      <c r="P57" s="69">
        <f t="shared" si="12"/>
        <v>0</v>
      </c>
      <c r="Q57" s="70"/>
      <c r="R57" s="71"/>
      <c r="S57" s="105">
        <f t="shared" si="8"/>
        <v>0</v>
      </c>
      <c r="U57" s="122"/>
      <c r="V57" s="12">
        <f t="shared" si="3"/>
        <v>8</v>
      </c>
      <c r="W57" s="15"/>
      <c r="X57" s="69"/>
      <c r="Y57" s="202"/>
      <c r="Z57" s="69">
        <f t="shared" si="4"/>
        <v>0</v>
      </c>
      <c r="AA57" s="70"/>
      <c r="AB57" s="71"/>
      <c r="AC57" s="105">
        <f t="shared" si="9"/>
        <v>80</v>
      </c>
      <c r="AE57" s="122"/>
      <c r="AF57" s="12">
        <f t="shared" si="5"/>
        <v>0</v>
      </c>
      <c r="AG57" s="15"/>
      <c r="AH57" s="69"/>
      <c r="AI57" s="202"/>
      <c r="AJ57" s="69">
        <f t="shared" si="13"/>
        <v>0</v>
      </c>
      <c r="AK57" s="70"/>
      <c r="AL57" s="71"/>
      <c r="AM57" s="105">
        <f t="shared" si="10"/>
        <v>0</v>
      </c>
      <c r="AO57" s="122"/>
      <c r="AP57" s="12">
        <f t="shared" si="6"/>
        <v>5</v>
      </c>
      <c r="AQ57" s="15"/>
      <c r="AR57" s="69"/>
      <c r="AS57" s="202"/>
      <c r="AT57" s="69">
        <f t="shared" si="14"/>
        <v>0</v>
      </c>
      <c r="AU57" s="70"/>
      <c r="AV57" s="71"/>
      <c r="AW57" s="105">
        <f t="shared" si="11"/>
        <v>50</v>
      </c>
    </row>
    <row r="58" spans="1:49" x14ac:dyDescent="0.25">
      <c r="A58" s="122"/>
      <c r="B58" s="12">
        <f t="shared" si="0"/>
        <v>0</v>
      </c>
      <c r="C58" s="15"/>
      <c r="D58" s="69"/>
      <c r="E58" s="202"/>
      <c r="F58" s="69">
        <f t="shared" si="1"/>
        <v>0</v>
      </c>
      <c r="G58" s="70"/>
      <c r="H58" s="71"/>
      <c r="I58" s="105">
        <f t="shared" si="7"/>
        <v>0</v>
      </c>
      <c r="K58" s="122"/>
      <c r="L58" s="12">
        <f t="shared" si="2"/>
        <v>0</v>
      </c>
      <c r="M58" s="15"/>
      <c r="N58" s="69"/>
      <c r="O58" s="202"/>
      <c r="P58" s="69">
        <f t="shared" si="12"/>
        <v>0</v>
      </c>
      <c r="Q58" s="70"/>
      <c r="R58" s="71"/>
      <c r="S58" s="105">
        <f t="shared" si="8"/>
        <v>0</v>
      </c>
      <c r="U58" s="122"/>
      <c r="V58" s="12">
        <f t="shared" si="3"/>
        <v>8</v>
      </c>
      <c r="W58" s="15"/>
      <c r="X58" s="69"/>
      <c r="Y58" s="202"/>
      <c r="Z58" s="69">
        <f t="shared" si="4"/>
        <v>0</v>
      </c>
      <c r="AA58" s="70"/>
      <c r="AB58" s="71"/>
      <c r="AC58" s="105">
        <f t="shared" si="9"/>
        <v>80</v>
      </c>
      <c r="AE58" s="122"/>
      <c r="AF58" s="12">
        <f t="shared" si="5"/>
        <v>0</v>
      </c>
      <c r="AG58" s="15"/>
      <c r="AH58" s="69"/>
      <c r="AI58" s="202"/>
      <c r="AJ58" s="69">
        <f t="shared" si="13"/>
        <v>0</v>
      </c>
      <c r="AK58" s="70"/>
      <c r="AL58" s="71"/>
      <c r="AM58" s="105">
        <f t="shared" si="10"/>
        <v>0</v>
      </c>
      <c r="AO58" s="122"/>
      <c r="AP58" s="12">
        <f t="shared" si="6"/>
        <v>5</v>
      </c>
      <c r="AQ58" s="15"/>
      <c r="AR58" s="69"/>
      <c r="AS58" s="202"/>
      <c r="AT58" s="69">
        <f t="shared" si="14"/>
        <v>0</v>
      </c>
      <c r="AU58" s="70"/>
      <c r="AV58" s="71"/>
      <c r="AW58" s="105">
        <f t="shared" si="11"/>
        <v>50</v>
      </c>
    </row>
    <row r="59" spans="1:49" x14ac:dyDescent="0.25">
      <c r="A59" s="122"/>
      <c r="B59" s="12">
        <f t="shared" si="0"/>
        <v>0</v>
      </c>
      <c r="C59" s="15"/>
      <c r="D59" s="69"/>
      <c r="E59" s="202"/>
      <c r="F59" s="69">
        <f t="shared" si="1"/>
        <v>0</v>
      </c>
      <c r="G59" s="70"/>
      <c r="H59" s="71"/>
      <c r="I59" s="105">
        <f t="shared" si="7"/>
        <v>0</v>
      </c>
      <c r="K59" s="122"/>
      <c r="L59" s="12">
        <f t="shared" si="2"/>
        <v>0</v>
      </c>
      <c r="M59" s="15"/>
      <c r="N59" s="69"/>
      <c r="O59" s="202"/>
      <c r="P59" s="69">
        <f t="shared" si="12"/>
        <v>0</v>
      </c>
      <c r="Q59" s="70"/>
      <c r="R59" s="71"/>
      <c r="S59" s="105">
        <f t="shared" si="8"/>
        <v>0</v>
      </c>
      <c r="U59" s="122"/>
      <c r="V59" s="12">
        <f t="shared" si="3"/>
        <v>8</v>
      </c>
      <c r="W59" s="15"/>
      <c r="X59" s="69"/>
      <c r="Y59" s="202"/>
      <c r="Z59" s="69">
        <f t="shared" si="4"/>
        <v>0</v>
      </c>
      <c r="AA59" s="70"/>
      <c r="AB59" s="71"/>
      <c r="AC59" s="105">
        <f t="shared" si="9"/>
        <v>80</v>
      </c>
      <c r="AE59" s="122"/>
      <c r="AF59" s="12">
        <f t="shared" si="5"/>
        <v>0</v>
      </c>
      <c r="AG59" s="15"/>
      <c r="AH59" s="69"/>
      <c r="AI59" s="202"/>
      <c r="AJ59" s="69">
        <f t="shared" si="13"/>
        <v>0</v>
      </c>
      <c r="AK59" s="70"/>
      <c r="AL59" s="71"/>
      <c r="AM59" s="105">
        <f t="shared" si="10"/>
        <v>0</v>
      </c>
      <c r="AO59" s="122"/>
      <c r="AP59" s="12">
        <f t="shared" si="6"/>
        <v>5</v>
      </c>
      <c r="AQ59" s="15"/>
      <c r="AR59" s="69"/>
      <c r="AS59" s="202"/>
      <c r="AT59" s="69">
        <f t="shared" si="14"/>
        <v>0</v>
      </c>
      <c r="AU59" s="70"/>
      <c r="AV59" s="71"/>
      <c r="AW59" s="105">
        <f t="shared" si="11"/>
        <v>50</v>
      </c>
    </row>
    <row r="60" spans="1:49" x14ac:dyDescent="0.25">
      <c r="A60" s="122"/>
      <c r="B60" s="12">
        <f t="shared" si="0"/>
        <v>0</v>
      </c>
      <c r="C60" s="15"/>
      <c r="D60" s="69"/>
      <c r="E60" s="202"/>
      <c r="F60" s="69">
        <f t="shared" si="1"/>
        <v>0</v>
      </c>
      <c r="G60" s="70"/>
      <c r="H60" s="71"/>
      <c r="I60" s="105">
        <f t="shared" si="7"/>
        <v>0</v>
      </c>
      <c r="K60" s="122"/>
      <c r="L60" s="12">
        <f t="shared" si="2"/>
        <v>0</v>
      </c>
      <c r="M60" s="15"/>
      <c r="N60" s="69"/>
      <c r="O60" s="202"/>
      <c r="P60" s="69">
        <f t="shared" si="12"/>
        <v>0</v>
      </c>
      <c r="Q60" s="70"/>
      <c r="R60" s="71"/>
      <c r="S60" s="105">
        <f t="shared" si="8"/>
        <v>0</v>
      </c>
      <c r="U60" s="122"/>
      <c r="V60" s="12">
        <f t="shared" si="3"/>
        <v>8</v>
      </c>
      <c r="W60" s="15"/>
      <c r="X60" s="69"/>
      <c r="Y60" s="202"/>
      <c r="Z60" s="69">
        <f t="shared" si="4"/>
        <v>0</v>
      </c>
      <c r="AA60" s="70"/>
      <c r="AB60" s="71"/>
      <c r="AC60" s="105">
        <f t="shared" si="9"/>
        <v>80</v>
      </c>
      <c r="AE60" s="122"/>
      <c r="AF60" s="12">
        <f t="shared" si="5"/>
        <v>0</v>
      </c>
      <c r="AG60" s="15"/>
      <c r="AH60" s="69"/>
      <c r="AI60" s="202"/>
      <c r="AJ60" s="69">
        <f t="shared" si="13"/>
        <v>0</v>
      </c>
      <c r="AK60" s="70"/>
      <c r="AL60" s="71"/>
      <c r="AM60" s="105">
        <f t="shared" si="10"/>
        <v>0</v>
      </c>
      <c r="AO60" s="122"/>
      <c r="AP60" s="12">
        <f t="shared" si="6"/>
        <v>5</v>
      </c>
      <c r="AQ60" s="15"/>
      <c r="AR60" s="69"/>
      <c r="AS60" s="202"/>
      <c r="AT60" s="69">
        <f t="shared" si="14"/>
        <v>0</v>
      </c>
      <c r="AU60" s="70"/>
      <c r="AV60" s="71"/>
      <c r="AW60" s="105">
        <f t="shared" si="11"/>
        <v>50</v>
      </c>
    </row>
    <row r="61" spans="1:49" x14ac:dyDescent="0.25">
      <c r="A61" s="122"/>
      <c r="B61" s="12">
        <f t="shared" si="0"/>
        <v>0</v>
      </c>
      <c r="C61" s="15"/>
      <c r="D61" s="69"/>
      <c r="E61" s="202"/>
      <c r="F61" s="69">
        <f t="shared" si="1"/>
        <v>0</v>
      </c>
      <c r="G61" s="70"/>
      <c r="H61" s="71"/>
      <c r="I61" s="105">
        <f t="shared" si="7"/>
        <v>0</v>
      </c>
      <c r="K61" s="122"/>
      <c r="L61" s="12">
        <f t="shared" si="2"/>
        <v>0</v>
      </c>
      <c r="M61" s="15"/>
      <c r="N61" s="69"/>
      <c r="O61" s="202"/>
      <c r="P61" s="69">
        <f t="shared" si="12"/>
        <v>0</v>
      </c>
      <c r="Q61" s="70"/>
      <c r="R61" s="71"/>
      <c r="S61" s="105">
        <f t="shared" si="8"/>
        <v>0</v>
      </c>
      <c r="U61" s="122"/>
      <c r="V61" s="12">
        <f t="shared" si="3"/>
        <v>8</v>
      </c>
      <c r="W61" s="15"/>
      <c r="X61" s="69"/>
      <c r="Y61" s="202"/>
      <c r="Z61" s="69">
        <f t="shared" si="4"/>
        <v>0</v>
      </c>
      <c r="AA61" s="70"/>
      <c r="AB61" s="71"/>
      <c r="AC61" s="105">
        <f t="shared" si="9"/>
        <v>80</v>
      </c>
      <c r="AE61" s="122"/>
      <c r="AF61" s="12">
        <f t="shared" si="5"/>
        <v>0</v>
      </c>
      <c r="AG61" s="15"/>
      <c r="AH61" s="69"/>
      <c r="AI61" s="202"/>
      <c r="AJ61" s="69">
        <f t="shared" si="13"/>
        <v>0</v>
      </c>
      <c r="AK61" s="70"/>
      <c r="AL61" s="71"/>
      <c r="AM61" s="105">
        <f t="shared" si="10"/>
        <v>0</v>
      </c>
      <c r="AO61" s="122"/>
      <c r="AP61" s="12">
        <f t="shared" si="6"/>
        <v>5</v>
      </c>
      <c r="AQ61" s="15"/>
      <c r="AR61" s="69"/>
      <c r="AS61" s="202"/>
      <c r="AT61" s="69">
        <f t="shared" si="14"/>
        <v>0</v>
      </c>
      <c r="AU61" s="70"/>
      <c r="AV61" s="71"/>
      <c r="AW61" s="105">
        <f t="shared" si="11"/>
        <v>50</v>
      </c>
    </row>
    <row r="62" spans="1:49" x14ac:dyDescent="0.25">
      <c r="A62" s="122"/>
      <c r="B62" s="12">
        <f t="shared" si="0"/>
        <v>0</v>
      </c>
      <c r="C62" s="15"/>
      <c r="D62" s="69"/>
      <c r="E62" s="202"/>
      <c r="F62" s="69">
        <f t="shared" si="1"/>
        <v>0</v>
      </c>
      <c r="G62" s="70"/>
      <c r="H62" s="71"/>
      <c r="I62" s="105">
        <f t="shared" si="7"/>
        <v>0</v>
      </c>
      <c r="K62" s="122"/>
      <c r="L62" s="12">
        <f t="shared" si="2"/>
        <v>0</v>
      </c>
      <c r="M62" s="15"/>
      <c r="N62" s="69"/>
      <c r="O62" s="202"/>
      <c r="P62" s="69">
        <f t="shared" si="12"/>
        <v>0</v>
      </c>
      <c r="Q62" s="70"/>
      <c r="R62" s="71"/>
      <c r="S62" s="105">
        <f t="shared" si="8"/>
        <v>0</v>
      </c>
      <c r="U62" s="122"/>
      <c r="V62" s="12">
        <f t="shared" si="3"/>
        <v>8</v>
      </c>
      <c r="W62" s="15"/>
      <c r="X62" s="69"/>
      <c r="Y62" s="202"/>
      <c r="Z62" s="69">
        <f t="shared" si="4"/>
        <v>0</v>
      </c>
      <c r="AA62" s="70"/>
      <c r="AB62" s="71"/>
      <c r="AC62" s="105">
        <f t="shared" si="9"/>
        <v>80</v>
      </c>
      <c r="AE62" s="122"/>
      <c r="AF62" s="12">
        <f t="shared" si="5"/>
        <v>0</v>
      </c>
      <c r="AG62" s="15"/>
      <c r="AH62" s="69"/>
      <c r="AI62" s="202"/>
      <c r="AJ62" s="69">
        <f t="shared" si="13"/>
        <v>0</v>
      </c>
      <c r="AK62" s="70"/>
      <c r="AL62" s="71"/>
      <c r="AM62" s="105">
        <f t="shared" si="10"/>
        <v>0</v>
      </c>
      <c r="AO62" s="122"/>
      <c r="AP62" s="12">
        <f t="shared" si="6"/>
        <v>5</v>
      </c>
      <c r="AQ62" s="15"/>
      <c r="AR62" s="69"/>
      <c r="AS62" s="202"/>
      <c r="AT62" s="69">
        <f t="shared" si="14"/>
        <v>0</v>
      </c>
      <c r="AU62" s="70"/>
      <c r="AV62" s="71"/>
      <c r="AW62" s="105">
        <f t="shared" si="11"/>
        <v>50</v>
      </c>
    </row>
    <row r="63" spans="1:49" x14ac:dyDescent="0.25">
      <c r="A63" s="122"/>
      <c r="B63" s="12">
        <f t="shared" si="0"/>
        <v>0</v>
      </c>
      <c r="C63" s="15"/>
      <c r="D63" s="69"/>
      <c r="E63" s="202"/>
      <c r="F63" s="69">
        <f t="shared" si="1"/>
        <v>0</v>
      </c>
      <c r="G63" s="70"/>
      <c r="H63" s="71"/>
      <c r="I63" s="105">
        <f t="shared" si="7"/>
        <v>0</v>
      </c>
      <c r="K63" s="122"/>
      <c r="L63" s="12">
        <f t="shared" si="2"/>
        <v>0</v>
      </c>
      <c r="M63" s="15"/>
      <c r="N63" s="69"/>
      <c r="O63" s="202"/>
      <c r="P63" s="69">
        <f t="shared" si="12"/>
        <v>0</v>
      </c>
      <c r="Q63" s="70"/>
      <c r="R63" s="71"/>
      <c r="S63" s="105">
        <f t="shared" si="8"/>
        <v>0</v>
      </c>
      <c r="U63" s="122"/>
      <c r="V63" s="12">
        <f t="shared" si="3"/>
        <v>8</v>
      </c>
      <c r="W63" s="15"/>
      <c r="X63" s="69"/>
      <c r="Y63" s="202"/>
      <c r="Z63" s="69">
        <f t="shared" si="4"/>
        <v>0</v>
      </c>
      <c r="AA63" s="70"/>
      <c r="AB63" s="71"/>
      <c r="AC63" s="105">
        <f t="shared" si="9"/>
        <v>80</v>
      </c>
      <c r="AE63" s="122"/>
      <c r="AF63" s="12">
        <f t="shared" si="5"/>
        <v>0</v>
      </c>
      <c r="AG63" s="15"/>
      <c r="AH63" s="69"/>
      <c r="AI63" s="202"/>
      <c r="AJ63" s="69">
        <f t="shared" si="13"/>
        <v>0</v>
      </c>
      <c r="AK63" s="70"/>
      <c r="AL63" s="71"/>
      <c r="AM63" s="105">
        <f t="shared" si="10"/>
        <v>0</v>
      </c>
      <c r="AO63" s="122"/>
      <c r="AP63" s="12">
        <f t="shared" si="6"/>
        <v>5</v>
      </c>
      <c r="AQ63" s="15"/>
      <c r="AR63" s="69"/>
      <c r="AS63" s="202"/>
      <c r="AT63" s="69">
        <f t="shared" si="14"/>
        <v>0</v>
      </c>
      <c r="AU63" s="70"/>
      <c r="AV63" s="71"/>
      <c r="AW63" s="105">
        <f t="shared" si="11"/>
        <v>50</v>
      </c>
    </row>
    <row r="64" spans="1:49" x14ac:dyDescent="0.25">
      <c r="A64" s="122"/>
      <c r="B64" s="12">
        <f t="shared" si="0"/>
        <v>0</v>
      </c>
      <c r="C64" s="15"/>
      <c r="D64" s="69"/>
      <c r="E64" s="202"/>
      <c r="F64" s="69">
        <f t="shared" si="1"/>
        <v>0</v>
      </c>
      <c r="G64" s="70"/>
      <c r="H64" s="71"/>
      <c r="I64" s="105">
        <f t="shared" si="7"/>
        <v>0</v>
      </c>
      <c r="K64" s="122"/>
      <c r="L64" s="12">
        <f t="shared" si="2"/>
        <v>0</v>
      </c>
      <c r="M64" s="15"/>
      <c r="N64" s="69"/>
      <c r="O64" s="202"/>
      <c r="P64" s="69">
        <f t="shared" si="12"/>
        <v>0</v>
      </c>
      <c r="Q64" s="70"/>
      <c r="R64" s="71"/>
      <c r="S64" s="105">
        <f t="shared" si="8"/>
        <v>0</v>
      </c>
      <c r="U64" s="122"/>
      <c r="V64" s="12">
        <f t="shared" si="3"/>
        <v>8</v>
      </c>
      <c r="W64" s="15"/>
      <c r="X64" s="69"/>
      <c r="Y64" s="202"/>
      <c r="Z64" s="69">
        <f t="shared" si="4"/>
        <v>0</v>
      </c>
      <c r="AA64" s="70"/>
      <c r="AB64" s="71"/>
      <c r="AC64" s="105">
        <f t="shared" si="9"/>
        <v>80</v>
      </c>
      <c r="AE64" s="122"/>
      <c r="AF64" s="12">
        <f t="shared" si="5"/>
        <v>0</v>
      </c>
      <c r="AG64" s="15"/>
      <c r="AH64" s="69"/>
      <c r="AI64" s="202"/>
      <c r="AJ64" s="69">
        <f t="shared" si="13"/>
        <v>0</v>
      </c>
      <c r="AK64" s="70"/>
      <c r="AL64" s="71"/>
      <c r="AM64" s="105">
        <f t="shared" si="10"/>
        <v>0</v>
      </c>
      <c r="AO64" s="122"/>
      <c r="AP64" s="12">
        <f t="shared" si="6"/>
        <v>5</v>
      </c>
      <c r="AQ64" s="15"/>
      <c r="AR64" s="69"/>
      <c r="AS64" s="202"/>
      <c r="AT64" s="69">
        <f t="shared" si="14"/>
        <v>0</v>
      </c>
      <c r="AU64" s="70"/>
      <c r="AV64" s="71"/>
      <c r="AW64" s="105">
        <f t="shared" si="11"/>
        <v>50</v>
      </c>
    </row>
    <row r="65" spans="1:49" x14ac:dyDescent="0.25">
      <c r="A65" s="122"/>
      <c r="B65" s="12">
        <f t="shared" si="0"/>
        <v>0</v>
      </c>
      <c r="C65" s="15"/>
      <c r="D65" s="69"/>
      <c r="E65" s="202"/>
      <c r="F65" s="69">
        <f t="shared" si="1"/>
        <v>0</v>
      </c>
      <c r="G65" s="70"/>
      <c r="H65" s="71"/>
      <c r="I65" s="105">
        <f t="shared" si="7"/>
        <v>0</v>
      </c>
      <c r="K65" s="122"/>
      <c r="L65" s="12">
        <f t="shared" si="2"/>
        <v>0</v>
      </c>
      <c r="M65" s="15"/>
      <c r="N65" s="69"/>
      <c r="O65" s="202"/>
      <c r="P65" s="69">
        <f t="shared" si="12"/>
        <v>0</v>
      </c>
      <c r="Q65" s="70"/>
      <c r="R65" s="71"/>
      <c r="S65" s="105">
        <f t="shared" si="8"/>
        <v>0</v>
      </c>
      <c r="U65" s="122"/>
      <c r="V65" s="12">
        <f t="shared" si="3"/>
        <v>8</v>
      </c>
      <c r="W65" s="15"/>
      <c r="X65" s="69"/>
      <c r="Y65" s="202"/>
      <c r="Z65" s="69">
        <f t="shared" si="4"/>
        <v>0</v>
      </c>
      <c r="AA65" s="70"/>
      <c r="AB65" s="71"/>
      <c r="AC65" s="105">
        <f t="shared" si="9"/>
        <v>80</v>
      </c>
      <c r="AE65" s="122"/>
      <c r="AF65" s="12">
        <f t="shared" si="5"/>
        <v>0</v>
      </c>
      <c r="AG65" s="15"/>
      <c r="AH65" s="69"/>
      <c r="AI65" s="202"/>
      <c r="AJ65" s="69">
        <f t="shared" si="13"/>
        <v>0</v>
      </c>
      <c r="AK65" s="70"/>
      <c r="AL65" s="71"/>
      <c r="AM65" s="105">
        <f t="shared" si="10"/>
        <v>0</v>
      </c>
      <c r="AO65" s="122"/>
      <c r="AP65" s="12">
        <f t="shared" si="6"/>
        <v>5</v>
      </c>
      <c r="AQ65" s="15"/>
      <c r="AR65" s="69"/>
      <c r="AS65" s="202"/>
      <c r="AT65" s="69">
        <f t="shared" si="14"/>
        <v>0</v>
      </c>
      <c r="AU65" s="70"/>
      <c r="AV65" s="71"/>
      <c r="AW65" s="105">
        <f t="shared" si="11"/>
        <v>50</v>
      </c>
    </row>
    <row r="66" spans="1:49" x14ac:dyDescent="0.25">
      <c r="A66" s="122"/>
      <c r="B66" s="12">
        <f t="shared" si="0"/>
        <v>0</v>
      </c>
      <c r="C66" s="15"/>
      <c r="D66" s="69"/>
      <c r="E66" s="202"/>
      <c r="F66" s="69">
        <f t="shared" si="1"/>
        <v>0</v>
      </c>
      <c r="G66" s="70"/>
      <c r="H66" s="71"/>
      <c r="I66" s="105">
        <f t="shared" si="7"/>
        <v>0</v>
      </c>
      <c r="K66" s="122"/>
      <c r="L66" s="12">
        <f t="shared" si="2"/>
        <v>0</v>
      </c>
      <c r="M66" s="15"/>
      <c r="N66" s="69"/>
      <c r="O66" s="202"/>
      <c r="P66" s="69">
        <f t="shared" si="12"/>
        <v>0</v>
      </c>
      <c r="Q66" s="70"/>
      <c r="R66" s="71"/>
      <c r="S66" s="105">
        <f t="shared" si="8"/>
        <v>0</v>
      </c>
      <c r="U66" s="122"/>
      <c r="V66" s="12">
        <f t="shared" si="3"/>
        <v>8</v>
      </c>
      <c r="W66" s="15"/>
      <c r="X66" s="69"/>
      <c r="Y66" s="202"/>
      <c r="Z66" s="69">
        <f t="shared" si="4"/>
        <v>0</v>
      </c>
      <c r="AA66" s="70"/>
      <c r="AB66" s="71"/>
      <c r="AC66" s="105">
        <f t="shared" si="9"/>
        <v>80</v>
      </c>
      <c r="AE66" s="122"/>
      <c r="AF66" s="12">
        <f t="shared" si="5"/>
        <v>0</v>
      </c>
      <c r="AG66" s="15"/>
      <c r="AH66" s="69"/>
      <c r="AI66" s="202"/>
      <c r="AJ66" s="69">
        <f t="shared" si="13"/>
        <v>0</v>
      </c>
      <c r="AK66" s="70"/>
      <c r="AL66" s="71"/>
      <c r="AM66" s="105">
        <f t="shared" si="10"/>
        <v>0</v>
      </c>
      <c r="AO66" s="122"/>
      <c r="AP66" s="12">
        <f t="shared" si="6"/>
        <v>5</v>
      </c>
      <c r="AQ66" s="15"/>
      <c r="AR66" s="69"/>
      <c r="AS66" s="202"/>
      <c r="AT66" s="69">
        <f t="shared" si="14"/>
        <v>0</v>
      </c>
      <c r="AU66" s="70"/>
      <c r="AV66" s="71"/>
      <c r="AW66" s="105">
        <f t="shared" si="11"/>
        <v>50</v>
      </c>
    </row>
    <row r="67" spans="1:49" x14ac:dyDescent="0.25">
      <c r="A67" s="122"/>
      <c r="B67" s="12">
        <f t="shared" si="0"/>
        <v>0</v>
      </c>
      <c r="C67" s="15"/>
      <c r="D67" s="69"/>
      <c r="E67" s="202"/>
      <c r="F67" s="69">
        <f t="shared" si="1"/>
        <v>0</v>
      </c>
      <c r="G67" s="70"/>
      <c r="H67" s="71"/>
      <c r="I67" s="105">
        <f t="shared" si="7"/>
        <v>0</v>
      </c>
      <c r="K67" s="122"/>
      <c r="L67" s="12">
        <f t="shared" si="2"/>
        <v>0</v>
      </c>
      <c r="M67" s="15"/>
      <c r="N67" s="69"/>
      <c r="O67" s="202"/>
      <c r="P67" s="69">
        <f t="shared" si="12"/>
        <v>0</v>
      </c>
      <c r="Q67" s="70"/>
      <c r="R67" s="71"/>
      <c r="S67" s="105">
        <f t="shared" si="8"/>
        <v>0</v>
      </c>
      <c r="U67" s="122"/>
      <c r="V67" s="12">
        <f t="shared" si="3"/>
        <v>8</v>
      </c>
      <c r="W67" s="15"/>
      <c r="X67" s="69"/>
      <c r="Y67" s="202"/>
      <c r="Z67" s="69">
        <f t="shared" si="4"/>
        <v>0</v>
      </c>
      <c r="AA67" s="70"/>
      <c r="AB67" s="71"/>
      <c r="AC67" s="105">
        <f t="shared" si="9"/>
        <v>80</v>
      </c>
      <c r="AE67" s="122"/>
      <c r="AF67" s="12">
        <f t="shared" si="5"/>
        <v>0</v>
      </c>
      <c r="AG67" s="15"/>
      <c r="AH67" s="69"/>
      <c r="AI67" s="202"/>
      <c r="AJ67" s="69">
        <f t="shared" si="13"/>
        <v>0</v>
      </c>
      <c r="AK67" s="70"/>
      <c r="AL67" s="71"/>
      <c r="AM67" s="105">
        <f t="shared" si="10"/>
        <v>0</v>
      </c>
      <c r="AO67" s="122"/>
      <c r="AP67" s="12">
        <f t="shared" si="6"/>
        <v>5</v>
      </c>
      <c r="AQ67" s="15"/>
      <c r="AR67" s="69"/>
      <c r="AS67" s="202"/>
      <c r="AT67" s="69">
        <f t="shared" si="14"/>
        <v>0</v>
      </c>
      <c r="AU67" s="70"/>
      <c r="AV67" s="71"/>
      <c r="AW67" s="105">
        <f t="shared" si="11"/>
        <v>50</v>
      </c>
    </row>
    <row r="68" spans="1:49" x14ac:dyDescent="0.25">
      <c r="A68" s="122"/>
      <c r="B68" s="12">
        <f t="shared" si="0"/>
        <v>0</v>
      </c>
      <c r="C68" s="15"/>
      <c r="D68" s="59"/>
      <c r="E68" s="209"/>
      <c r="F68" s="69">
        <f t="shared" si="1"/>
        <v>0</v>
      </c>
      <c r="G68" s="70"/>
      <c r="H68" s="71"/>
      <c r="I68" s="105">
        <f t="shared" si="7"/>
        <v>0</v>
      </c>
      <c r="K68" s="122"/>
      <c r="L68" s="12">
        <f t="shared" si="2"/>
        <v>0</v>
      </c>
      <c r="M68" s="15"/>
      <c r="N68" s="59"/>
      <c r="O68" s="209"/>
      <c r="P68" s="69">
        <f t="shared" si="12"/>
        <v>0</v>
      </c>
      <c r="Q68" s="70"/>
      <c r="R68" s="71"/>
      <c r="S68" s="105">
        <f t="shared" si="8"/>
        <v>0</v>
      </c>
      <c r="U68" s="122"/>
      <c r="V68" s="12">
        <f t="shared" si="3"/>
        <v>8</v>
      </c>
      <c r="W68" s="15"/>
      <c r="X68" s="59"/>
      <c r="Y68" s="209"/>
      <c r="Z68" s="69">
        <f t="shared" si="4"/>
        <v>0</v>
      </c>
      <c r="AA68" s="70"/>
      <c r="AB68" s="71"/>
      <c r="AC68" s="105">
        <f t="shared" si="9"/>
        <v>80</v>
      </c>
      <c r="AE68" s="122"/>
      <c r="AF68" s="12">
        <f t="shared" si="5"/>
        <v>0</v>
      </c>
      <c r="AG68" s="15"/>
      <c r="AH68" s="59"/>
      <c r="AI68" s="209"/>
      <c r="AJ68" s="69">
        <f t="shared" si="13"/>
        <v>0</v>
      </c>
      <c r="AK68" s="70"/>
      <c r="AL68" s="71"/>
      <c r="AM68" s="105">
        <f t="shared" si="10"/>
        <v>0</v>
      </c>
      <c r="AO68" s="122"/>
      <c r="AP68" s="12">
        <f t="shared" si="6"/>
        <v>5</v>
      </c>
      <c r="AQ68" s="15"/>
      <c r="AR68" s="59"/>
      <c r="AS68" s="209"/>
      <c r="AT68" s="69">
        <f t="shared" si="14"/>
        <v>0</v>
      </c>
      <c r="AU68" s="70"/>
      <c r="AV68" s="71"/>
      <c r="AW68" s="105">
        <f t="shared" si="11"/>
        <v>50</v>
      </c>
    </row>
    <row r="69" spans="1:49" x14ac:dyDescent="0.25">
      <c r="A69" s="122"/>
      <c r="B69" s="12">
        <f t="shared" si="0"/>
        <v>0</v>
      </c>
      <c r="C69" s="15"/>
      <c r="D69" s="59"/>
      <c r="E69" s="209"/>
      <c r="F69" s="69">
        <f t="shared" si="1"/>
        <v>0</v>
      </c>
      <c r="G69" s="70"/>
      <c r="H69" s="71"/>
      <c r="I69" s="105">
        <f t="shared" si="7"/>
        <v>0</v>
      </c>
      <c r="K69" s="122"/>
      <c r="L69" s="12">
        <f t="shared" si="2"/>
        <v>0</v>
      </c>
      <c r="M69" s="15"/>
      <c r="N69" s="59"/>
      <c r="O69" s="209"/>
      <c r="P69" s="69">
        <f t="shared" si="12"/>
        <v>0</v>
      </c>
      <c r="Q69" s="70"/>
      <c r="R69" s="71"/>
      <c r="S69" s="105">
        <f t="shared" si="8"/>
        <v>0</v>
      </c>
      <c r="U69" s="122"/>
      <c r="V69" s="12">
        <f t="shared" si="3"/>
        <v>8</v>
      </c>
      <c r="W69" s="15"/>
      <c r="X69" s="59"/>
      <c r="Y69" s="209"/>
      <c r="Z69" s="69">
        <f t="shared" si="4"/>
        <v>0</v>
      </c>
      <c r="AA69" s="70"/>
      <c r="AB69" s="71"/>
      <c r="AC69" s="105">
        <f t="shared" si="9"/>
        <v>80</v>
      </c>
      <c r="AE69" s="122"/>
      <c r="AF69" s="12">
        <f t="shared" si="5"/>
        <v>0</v>
      </c>
      <c r="AG69" s="15"/>
      <c r="AH69" s="59"/>
      <c r="AI69" s="209"/>
      <c r="AJ69" s="69">
        <f t="shared" si="13"/>
        <v>0</v>
      </c>
      <c r="AK69" s="70"/>
      <c r="AL69" s="71"/>
      <c r="AM69" s="105">
        <f t="shared" si="10"/>
        <v>0</v>
      </c>
      <c r="AO69" s="122"/>
      <c r="AP69" s="12">
        <f t="shared" si="6"/>
        <v>5</v>
      </c>
      <c r="AQ69" s="15"/>
      <c r="AR69" s="59"/>
      <c r="AS69" s="209"/>
      <c r="AT69" s="69">
        <f t="shared" si="14"/>
        <v>0</v>
      </c>
      <c r="AU69" s="70"/>
      <c r="AV69" s="71"/>
      <c r="AW69" s="105">
        <f t="shared" si="11"/>
        <v>50</v>
      </c>
    </row>
    <row r="70" spans="1:49" x14ac:dyDescent="0.25">
      <c r="A70" s="122"/>
      <c r="B70" s="12">
        <f t="shared" si="0"/>
        <v>0</v>
      </c>
      <c r="C70" s="15"/>
      <c r="D70" s="59"/>
      <c r="E70" s="209"/>
      <c r="F70" s="69">
        <f t="shared" si="1"/>
        <v>0</v>
      </c>
      <c r="G70" s="70"/>
      <c r="H70" s="71"/>
      <c r="I70" s="105">
        <f t="shared" si="7"/>
        <v>0</v>
      </c>
      <c r="K70" s="122"/>
      <c r="L70" s="12">
        <f t="shared" si="2"/>
        <v>0</v>
      </c>
      <c r="M70" s="15"/>
      <c r="N70" s="59"/>
      <c r="O70" s="209"/>
      <c r="P70" s="69">
        <f t="shared" si="12"/>
        <v>0</v>
      </c>
      <c r="Q70" s="70"/>
      <c r="R70" s="71"/>
      <c r="S70" s="105">
        <f t="shared" si="8"/>
        <v>0</v>
      </c>
      <c r="U70" s="122"/>
      <c r="V70" s="12">
        <f t="shared" si="3"/>
        <v>8</v>
      </c>
      <c r="W70" s="15"/>
      <c r="X70" s="59"/>
      <c r="Y70" s="209"/>
      <c r="Z70" s="69">
        <f t="shared" si="4"/>
        <v>0</v>
      </c>
      <c r="AA70" s="70"/>
      <c r="AB70" s="71"/>
      <c r="AC70" s="105">
        <f t="shared" si="9"/>
        <v>80</v>
      </c>
      <c r="AE70" s="122"/>
      <c r="AF70" s="12">
        <f t="shared" si="5"/>
        <v>0</v>
      </c>
      <c r="AG70" s="15"/>
      <c r="AH70" s="59"/>
      <c r="AI70" s="209"/>
      <c r="AJ70" s="69">
        <f t="shared" si="13"/>
        <v>0</v>
      </c>
      <c r="AK70" s="70"/>
      <c r="AL70" s="71"/>
      <c r="AM70" s="105">
        <f t="shared" si="10"/>
        <v>0</v>
      </c>
      <c r="AO70" s="122"/>
      <c r="AP70" s="12">
        <f t="shared" si="6"/>
        <v>5</v>
      </c>
      <c r="AQ70" s="15"/>
      <c r="AR70" s="59"/>
      <c r="AS70" s="209"/>
      <c r="AT70" s="69">
        <f t="shared" si="14"/>
        <v>0</v>
      </c>
      <c r="AU70" s="70"/>
      <c r="AV70" s="71"/>
      <c r="AW70" s="105">
        <f t="shared" si="11"/>
        <v>50</v>
      </c>
    </row>
    <row r="71" spans="1:49" x14ac:dyDescent="0.25">
      <c r="A71" s="122"/>
      <c r="B71" s="12">
        <f t="shared" si="0"/>
        <v>0</v>
      </c>
      <c r="C71" s="15"/>
      <c r="D71" s="59"/>
      <c r="E71" s="209"/>
      <c r="F71" s="69">
        <f t="shared" si="1"/>
        <v>0</v>
      </c>
      <c r="G71" s="70"/>
      <c r="H71" s="71"/>
      <c r="I71" s="105">
        <f t="shared" si="7"/>
        <v>0</v>
      </c>
      <c r="K71" s="122"/>
      <c r="L71" s="12">
        <f t="shared" si="2"/>
        <v>0</v>
      </c>
      <c r="M71" s="15"/>
      <c r="N71" s="59"/>
      <c r="O71" s="209"/>
      <c r="P71" s="69">
        <f t="shared" si="12"/>
        <v>0</v>
      </c>
      <c r="Q71" s="70"/>
      <c r="R71" s="71"/>
      <c r="S71" s="105">
        <f t="shared" si="8"/>
        <v>0</v>
      </c>
      <c r="U71" s="122"/>
      <c r="V71" s="12">
        <f t="shared" si="3"/>
        <v>8</v>
      </c>
      <c r="W71" s="15"/>
      <c r="X71" s="59"/>
      <c r="Y71" s="209"/>
      <c r="Z71" s="69">
        <f t="shared" si="4"/>
        <v>0</v>
      </c>
      <c r="AA71" s="70"/>
      <c r="AB71" s="71"/>
      <c r="AC71" s="105">
        <f t="shared" si="9"/>
        <v>80</v>
      </c>
      <c r="AE71" s="122"/>
      <c r="AF71" s="12">
        <f t="shared" si="5"/>
        <v>0</v>
      </c>
      <c r="AG71" s="15"/>
      <c r="AH71" s="59"/>
      <c r="AI71" s="209"/>
      <c r="AJ71" s="69">
        <f t="shared" si="13"/>
        <v>0</v>
      </c>
      <c r="AK71" s="70"/>
      <c r="AL71" s="71"/>
      <c r="AM71" s="105">
        <f t="shared" si="10"/>
        <v>0</v>
      </c>
      <c r="AO71" s="122"/>
      <c r="AP71" s="12">
        <f t="shared" si="6"/>
        <v>5</v>
      </c>
      <c r="AQ71" s="15"/>
      <c r="AR71" s="59"/>
      <c r="AS71" s="209"/>
      <c r="AT71" s="69">
        <f t="shared" si="14"/>
        <v>0</v>
      </c>
      <c r="AU71" s="70"/>
      <c r="AV71" s="71"/>
      <c r="AW71" s="105">
        <f t="shared" si="11"/>
        <v>50</v>
      </c>
    </row>
    <row r="72" spans="1:49" x14ac:dyDescent="0.25">
      <c r="A72" s="122"/>
      <c r="B72" s="12">
        <f t="shared" si="0"/>
        <v>0</v>
      </c>
      <c r="C72" s="15"/>
      <c r="D72" s="59"/>
      <c r="E72" s="209"/>
      <c r="F72" s="69">
        <f t="shared" si="1"/>
        <v>0</v>
      </c>
      <c r="G72" s="70"/>
      <c r="H72" s="71"/>
      <c r="I72" s="105">
        <f t="shared" si="7"/>
        <v>0</v>
      </c>
      <c r="K72" s="122"/>
      <c r="L72" s="12">
        <f t="shared" si="2"/>
        <v>0</v>
      </c>
      <c r="M72" s="15"/>
      <c r="N72" s="59"/>
      <c r="O72" s="209"/>
      <c r="P72" s="69">
        <f t="shared" si="12"/>
        <v>0</v>
      </c>
      <c r="Q72" s="70"/>
      <c r="R72" s="71"/>
      <c r="S72" s="105">
        <f t="shared" si="8"/>
        <v>0</v>
      </c>
      <c r="U72" s="122"/>
      <c r="V72" s="12">
        <f t="shared" si="3"/>
        <v>8</v>
      </c>
      <c r="W72" s="15"/>
      <c r="X72" s="59"/>
      <c r="Y72" s="209"/>
      <c r="Z72" s="69">
        <f t="shared" si="4"/>
        <v>0</v>
      </c>
      <c r="AA72" s="70"/>
      <c r="AB72" s="71"/>
      <c r="AC72" s="105">
        <f t="shared" si="9"/>
        <v>80</v>
      </c>
      <c r="AE72" s="122"/>
      <c r="AF72" s="12">
        <f t="shared" si="5"/>
        <v>0</v>
      </c>
      <c r="AG72" s="15"/>
      <c r="AH72" s="59"/>
      <c r="AI72" s="209"/>
      <c r="AJ72" s="69">
        <f t="shared" si="13"/>
        <v>0</v>
      </c>
      <c r="AK72" s="70"/>
      <c r="AL72" s="71"/>
      <c r="AM72" s="105">
        <f t="shared" si="10"/>
        <v>0</v>
      </c>
      <c r="AO72" s="122"/>
      <c r="AP72" s="12">
        <f t="shared" si="6"/>
        <v>5</v>
      </c>
      <c r="AQ72" s="15"/>
      <c r="AR72" s="59"/>
      <c r="AS72" s="209"/>
      <c r="AT72" s="69">
        <f t="shared" si="14"/>
        <v>0</v>
      </c>
      <c r="AU72" s="70"/>
      <c r="AV72" s="71"/>
      <c r="AW72" s="105">
        <f t="shared" si="11"/>
        <v>50</v>
      </c>
    </row>
    <row r="73" spans="1:49" x14ac:dyDescent="0.25">
      <c r="A73" s="122"/>
      <c r="B73" s="12">
        <f t="shared" si="0"/>
        <v>0</v>
      </c>
      <c r="C73" s="15"/>
      <c r="D73" s="59"/>
      <c r="E73" s="209"/>
      <c r="F73" s="69">
        <f t="shared" si="1"/>
        <v>0</v>
      </c>
      <c r="G73" s="70"/>
      <c r="H73" s="71"/>
      <c r="I73" s="105">
        <f t="shared" si="7"/>
        <v>0</v>
      </c>
      <c r="K73" s="122"/>
      <c r="L73" s="12">
        <f t="shared" si="2"/>
        <v>0</v>
      </c>
      <c r="M73" s="15"/>
      <c r="N73" s="59"/>
      <c r="O73" s="209"/>
      <c r="P73" s="69">
        <f t="shared" si="12"/>
        <v>0</v>
      </c>
      <c r="Q73" s="70"/>
      <c r="R73" s="71"/>
      <c r="S73" s="105">
        <f t="shared" si="8"/>
        <v>0</v>
      </c>
      <c r="U73" s="122"/>
      <c r="V73" s="12">
        <f t="shared" si="3"/>
        <v>8</v>
      </c>
      <c r="W73" s="15"/>
      <c r="X73" s="59"/>
      <c r="Y73" s="209"/>
      <c r="Z73" s="69">
        <f t="shared" si="4"/>
        <v>0</v>
      </c>
      <c r="AA73" s="70"/>
      <c r="AB73" s="71"/>
      <c r="AC73" s="105">
        <f t="shared" si="9"/>
        <v>80</v>
      </c>
      <c r="AE73" s="122"/>
      <c r="AF73" s="12">
        <f t="shared" si="5"/>
        <v>0</v>
      </c>
      <c r="AG73" s="15"/>
      <c r="AH73" s="59"/>
      <c r="AI73" s="209"/>
      <c r="AJ73" s="69">
        <f t="shared" si="13"/>
        <v>0</v>
      </c>
      <c r="AK73" s="70"/>
      <c r="AL73" s="71"/>
      <c r="AM73" s="105">
        <f t="shared" si="10"/>
        <v>0</v>
      </c>
      <c r="AO73" s="122"/>
      <c r="AP73" s="12">
        <f t="shared" si="6"/>
        <v>5</v>
      </c>
      <c r="AQ73" s="15"/>
      <c r="AR73" s="59"/>
      <c r="AS73" s="209"/>
      <c r="AT73" s="69">
        <f t="shared" si="14"/>
        <v>0</v>
      </c>
      <c r="AU73" s="70"/>
      <c r="AV73" s="71"/>
      <c r="AW73" s="105">
        <f t="shared" si="11"/>
        <v>50</v>
      </c>
    </row>
    <row r="74" spans="1:49" x14ac:dyDescent="0.25">
      <c r="A74" s="122"/>
      <c r="B74" s="12">
        <f t="shared" ref="B74:B75" si="15">B73-C74</f>
        <v>0</v>
      </c>
      <c r="C74" s="15"/>
      <c r="D74" s="59"/>
      <c r="E74" s="209"/>
      <c r="F74" s="69">
        <f t="shared" ref="F74:F76" si="16">D74</f>
        <v>0</v>
      </c>
      <c r="G74" s="70"/>
      <c r="H74" s="71"/>
      <c r="I74" s="105">
        <f t="shared" si="7"/>
        <v>0</v>
      </c>
      <c r="K74" s="122"/>
      <c r="L74" s="12">
        <f t="shared" ref="L74:L75" si="17">L73-M74</f>
        <v>0</v>
      </c>
      <c r="M74" s="15"/>
      <c r="N74" s="59"/>
      <c r="O74" s="209"/>
      <c r="P74" s="69">
        <f t="shared" si="12"/>
        <v>0</v>
      </c>
      <c r="Q74" s="70"/>
      <c r="R74" s="71"/>
      <c r="S74" s="105">
        <f t="shared" si="8"/>
        <v>0</v>
      </c>
      <c r="U74" s="122"/>
      <c r="V74" s="12">
        <f t="shared" ref="V74:V75" si="18">V73-W74</f>
        <v>8</v>
      </c>
      <c r="W74" s="15"/>
      <c r="X74" s="59"/>
      <c r="Y74" s="209"/>
      <c r="Z74" s="69">
        <f t="shared" ref="Z74:Z76" si="19">X74</f>
        <v>0</v>
      </c>
      <c r="AA74" s="70"/>
      <c r="AB74" s="71"/>
      <c r="AC74" s="105">
        <f t="shared" si="9"/>
        <v>80</v>
      </c>
      <c r="AE74" s="122"/>
      <c r="AF74" s="12">
        <f t="shared" ref="AF74:AF75" si="20">AF73-AG74</f>
        <v>0</v>
      </c>
      <c r="AG74" s="15"/>
      <c r="AH74" s="59"/>
      <c r="AI74" s="209"/>
      <c r="AJ74" s="69">
        <f t="shared" si="13"/>
        <v>0</v>
      </c>
      <c r="AK74" s="70"/>
      <c r="AL74" s="71"/>
      <c r="AM74" s="105">
        <f t="shared" si="10"/>
        <v>0</v>
      </c>
      <c r="AO74" s="122"/>
      <c r="AP74" s="12">
        <f t="shared" ref="AP74:AP75" si="21">AP73-AQ74</f>
        <v>5</v>
      </c>
      <c r="AQ74" s="15"/>
      <c r="AR74" s="59"/>
      <c r="AS74" s="209"/>
      <c r="AT74" s="69">
        <f t="shared" si="14"/>
        <v>0</v>
      </c>
      <c r="AU74" s="70"/>
      <c r="AV74" s="71"/>
      <c r="AW74" s="105">
        <f t="shared" si="11"/>
        <v>50</v>
      </c>
    </row>
    <row r="75" spans="1:49" x14ac:dyDescent="0.25">
      <c r="A75" s="122"/>
      <c r="B75" s="12">
        <f t="shared" si="15"/>
        <v>0</v>
      </c>
      <c r="C75" s="15"/>
      <c r="D75" s="59"/>
      <c r="E75" s="209"/>
      <c r="F75" s="69">
        <f t="shared" si="16"/>
        <v>0</v>
      </c>
      <c r="G75" s="70"/>
      <c r="H75" s="71"/>
      <c r="I75" s="105">
        <f t="shared" ref="I75:I76" si="22">I74-F75</f>
        <v>0</v>
      </c>
      <c r="K75" s="122"/>
      <c r="L75" s="12">
        <f t="shared" si="17"/>
        <v>0</v>
      </c>
      <c r="M75" s="15"/>
      <c r="N75" s="59"/>
      <c r="O75" s="209"/>
      <c r="P75" s="69">
        <f t="shared" si="12"/>
        <v>0</v>
      </c>
      <c r="Q75" s="70"/>
      <c r="R75" s="71"/>
      <c r="S75" s="105">
        <f t="shared" ref="S75:S76" si="23">S74-P75</f>
        <v>0</v>
      </c>
      <c r="U75" s="122"/>
      <c r="V75" s="12">
        <f t="shared" si="18"/>
        <v>8</v>
      </c>
      <c r="W75" s="15"/>
      <c r="X75" s="59"/>
      <c r="Y75" s="209"/>
      <c r="Z75" s="69">
        <f t="shared" si="19"/>
        <v>0</v>
      </c>
      <c r="AA75" s="70"/>
      <c r="AB75" s="71"/>
      <c r="AC75" s="105">
        <f t="shared" ref="AC75:AC76" si="24">AC74-Z75</f>
        <v>80</v>
      </c>
      <c r="AE75" s="122"/>
      <c r="AF75" s="12">
        <f t="shared" si="20"/>
        <v>0</v>
      </c>
      <c r="AG75" s="15"/>
      <c r="AH75" s="59"/>
      <c r="AI75" s="209"/>
      <c r="AJ75" s="69">
        <f t="shared" si="13"/>
        <v>0</v>
      </c>
      <c r="AK75" s="70"/>
      <c r="AL75" s="71"/>
      <c r="AM75" s="105">
        <f t="shared" ref="AM75:AM76" si="25">AM74-AJ75</f>
        <v>0</v>
      </c>
      <c r="AO75" s="122"/>
      <c r="AP75" s="12">
        <f t="shared" si="21"/>
        <v>5</v>
      </c>
      <c r="AQ75" s="15"/>
      <c r="AR75" s="59"/>
      <c r="AS75" s="209"/>
      <c r="AT75" s="69">
        <f t="shared" si="14"/>
        <v>0</v>
      </c>
      <c r="AU75" s="70"/>
      <c r="AV75" s="71"/>
      <c r="AW75" s="105">
        <f t="shared" ref="AW75:AW76" si="26">AW74-AT75</f>
        <v>50</v>
      </c>
    </row>
    <row r="76" spans="1:49" x14ac:dyDescent="0.25">
      <c r="A76" s="122"/>
      <c r="C76" s="15"/>
      <c r="D76" s="59"/>
      <c r="E76" s="209"/>
      <c r="F76" s="69">
        <f t="shared" si="16"/>
        <v>0</v>
      </c>
      <c r="G76" s="70"/>
      <c r="H76" s="71"/>
      <c r="I76" s="105">
        <f t="shared" si="22"/>
        <v>0</v>
      </c>
      <c r="K76" s="122"/>
      <c r="M76" s="15"/>
      <c r="N76" s="59"/>
      <c r="O76" s="209"/>
      <c r="P76" s="69">
        <f t="shared" si="12"/>
        <v>0</v>
      </c>
      <c r="Q76" s="70"/>
      <c r="R76" s="71"/>
      <c r="S76" s="105">
        <f t="shared" si="23"/>
        <v>0</v>
      </c>
      <c r="U76" s="122"/>
      <c r="W76" s="15"/>
      <c r="X76" s="59"/>
      <c r="Y76" s="209"/>
      <c r="Z76" s="69">
        <f t="shared" si="19"/>
        <v>0</v>
      </c>
      <c r="AA76" s="70"/>
      <c r="AB76" s="71"/>
      <c r="AC76" s="105">
        <f t="shared" si="24"/>
        <v>80</v>
      </c>
      <c r="AE76" s="122"/>
      <c r="AG76" s="15"/>
      <c r="AH76" s="59"/>
      <c r="AI76" s="209"/>
      <c r="AJ76" s="69">
        <f t="shared" si="13"/>
        <v>0</v>
      </c>
      <c r="AK76" s="70"/>
      <c r="AL76" s="71"/>
      <c r="AM76" s="105">
        <f t="shared" si="25"/>
        <v>0</v>
      </c>
      <c r="AO76" s="122"/>
      <c r="AQ76" s="15"/>
      <c r="AR76" s="59"/>
      <c r="AS76" s="209"/>
      <c r="AT76" s="69">
        <f t="shared" si="14"/>
        <v>0</v>
      </c>
      <c r="AU76" s="70"/>
      <c r="AV76" s="71"/>
      <c r="AW76" s="105">
        <f t="shared" si="26"/>
        <v>50</v>
      </c>
    </row>
    <row r="77" spans="1:49" ht="15.75" thickBot="1" x14ac:dyDescent="0.3">
      <c r="A77" s="122"/>
      <c r="B77" s="16"/>
      <c r="C77" s="52"/>
      <c r="D77" s="107"/>
      <c r="E77" s="196"/>
      <c r="F77" s="103"/>
      <c r="G77" s="104"/>
      <c r="H77" s="60"/>
      <c r="K77" s="122"/>
      <c r="L77" s="16"/>
      <c r="M77" s="52"/>
      <c r="N77" s="107"/>
      <c r="O77" s="196"/>
      <c r="P77" s="103"/>
      <c r="Q77" s="104"/>
      <c r="R77" s="60"/>
      <c r="U77" s="122"/>
      <c r="V77" s="16"/>
      <c r="W77" s="52"/>
      <c r="X77" s="107"/>
      <c r="Y77" s="196"/>
      <c r="Z77" s="103"/>
      <c r="AA77" s="104"/>
      <c r="AB77" s="60"/>
      <c r="AE77" s="122"/>
      <c r="AF77" s="16"/>
      <c r="AG77" s="52"/>
      <c r="AH77" s="107"/>
      <c r="AI77" s="196"/>
      <c r="AJ77" s="103"/>
      <c r="AK77" s="104"/>
      <c r="AL77" s="60"/>
      <c r="AO77" s="122"/>
      <c r="AP77" s="16"/>
      <c r="AQ77" s="52"/>
      <c r="AR77" s="107"/>
      <c r="AS77" s="196"/>
      <c r="AT77" s="103"/>
      <c r="AU77" s="104"/>
      <c r="AV77" s="60"/>
    </row>
    <row r="78" spans="1:49" x14ac:dyDescent="0.25">
      <c r="C78" s="53">
        <f>SUM(C9:C77)</f>
        <v>15</v>
      </c>
      <c r="D78" s="6">
        <f>SUM(D9:D77)</f>
        <v>150</v>
      </c>
      <c r="F78" s="6">
        <f>SUM(F9:F77)</f>
        <v>150</v>
      </c>
      <c r="M78" s="53">
        <f>SUM(M9:M77)</f>
        <v>25</v>
      </c>
      <c r="N78" s="6">
        <f>SUM(N9:N77)</f>
        <v>240</v>
      </c>
      <c r="P78" s="6">
        <f>SUM(P9:P77)</f>
        <v>250</v>
      </c>
      <c r="W78" s="53">
        <f>SUM(W9:W77)</f>
        <v>17</v>
      </c>
      <c r="X78" s="6">
        <f>SUM(X9:X77)</f>
        <v>170</v>
      </c>
      <c r="Z78" s="6">
        <f>SUM(Z9:Z77)</f>
        <v>170</v>
      </c>
      <c r="AG78" s="53">
        <f>SUM(AG9:AG77)</f>
        <v>1</v>
      </c>
      <c r="AH78" s="6">
        <f>SUM(AH9:AH77)</f>
        <v>20</v>
      </c>
      <c r="AJ78" s="6">
        <f>SUM(AJ9:AJ77)</f>
        <v>20</v>
      </c>
      <c r="AQ78" s="53">
        <f>SUM(AQ9:AQ77)</f>
        <v>26</v>
      </c>
      <c r="AR78" s="6">
        <f>SUM(AR9:AR77)</f>
        <v>260</v>
      </c>
      <c r="AT78" s="6">
        <f>SUM(AT9:AT77)</f>
        <v>260</v>
      </c>
    </row>
    <row r="80" spans="1:49" ht="15.75" thickBot="1" x14ac:dyDescent="0.3"/>
    <row r="81" spans="3:46" ht="15.75" thickBot="1" x14ac:dyDescent="0.3">
      <c r="D81" s="45" t="s">
        <v>4</v>
      </c>
      <c r="E81" s="56">
        <f>F5+F6-C78+F7</f>
        <v>0</v>
      </c>
      <c r="N81" s="45" t="s">
        <v>4</v>
      </c>
      <c r="O81" s="56">
        <f>P5+P6-M78+P7</f>
        <v>0</v>
      </c>
      <c r="X81" s="45" t="s">
        <v>4</v>
      </c>
      <c r="Y81" s="56">
        <f>Z5+Z6-W78+Z7</f>
        <v>8</v>
      </c>
      <c r="AH81" s="45" t="s">
        <v>4</v>
      </c>
      <c r="AI81" s="56">
        <f>AJ5+AJ6-AG78+AJ7</f>
        <v>0</v>
      </c>
      <c r="AR81" s="45" t="s">
        <v>4</v>
      </c>
      <c r="AS81" s="56">
        <f>AT5+AT6-AQ78+AT7</f>
        <v>4</v>
      </c>
    </row>
    <row r="82" spans="3:46" ht="15.75" thickBot="1" x14ac:dyDescent="0.3"/>
    <row r="83" spans="3:46" ht="15.75" thickBot="1" x14ac:dyDescent="0.3">
      <c r="C83" s="1388" t="s">
        <v>11</v>
      </c>
      <c r="D83" s="1389"/>
      <c r="E83" s="57">
        <f>E5+E6-F78+E7</f>
        <v>0</v>
      </c>
      <c r="F83" s="73"/>
      <c r="M83" s="1388" t="s">
        <v>11</v>
      </c>
      <c r="N83" s="1389"/>
      <c r="O83" s="57">
        <f>O5+O6-P78+O7</f>
        <v>0</v>
      </c>
      <c r="P83" s="73"/>
      <c r="W83" s="1388" t="s">
        <v>11</v>
      </c>
      <c r="X83" s="1389"/>
      <c r="Y83" s="57">
        <f>Y5+Y6-Z78+Y7</f>
        <v>80</v>
      </c>
      <c r="Z83" s="73"/>
      <c r="AG83" s="1388" t="s">
        <v>11</v>
      </c>
      <c r="AH83" s="1389"/>
      <c r="AI83" s="57">
        <f>AI5+AI6-AJ78+AI7</f>
        <v>0</v>
      </c>
      <c r="AJ83" s="73"/>
      <c r="AQ83" s="1388" t="s">
        <v>11</v>
      </c>
      <c r="AR83" s="1389"/>
      <c r="AS83" s="57">
        <f>AS5+AS6-AT78+AS7</f>
        <v>40</v>
      </c>
      <c r="AT83" s="73"/>
    </row>
  </sheetData>
  <mergeCells count="20">
    <mergeCell ref="AO1:AU1"/>
    <mergeCell ref="AO5:AO6"/>
    <mergeCell ref="AP5:AP6"/>
    <mergeCell ref="AQ83:AR83"/>
    <mergeCell ref="K1:Q1"/>
    <mergeCell ref="L5:L6"/>
    <mergeCell ref="M83:N83"/>
    <mergeCell ref="K5:K6"/>
    <mergeCell ref="AE1:AK1"/>
    <mergeCell ref="AE5:AE6"/>
    <mergeCell ref="AF5:AF6"/>
    <mergeCell ref="AG83:AH83"/>
    <mergeCell ref="A1:G1"/>
    <mergeCell ref="A5:A6"/>
    <mergeCell ref="B5:B6"/>
    <mergeCell ref="C83:D83"/>
    <mergeCell ref="U1:AA1"/>
    <mergeCell ref="U5:U6"/>
    <mergeCell ref="V5:V6"/>
    <mergeCell ref="W83:X83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U43"/>
  <sheetViews>
    <sheetView topLeftCell="F1" workbookViewId="0">
      <selection activeCell="O23" sqref="O23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2.42578125" bestFit="1" customWidth="1"/>
    <col min="12" max="12" width="31.5703125" customWidth="1"/>
    <col min="13" max="13" width="18.5703125" customWidth="1"/>
    <col min="14" max="14" width="14.42578125" customWidth="1"/>
    <col min="15" max="15" width="14" customWidth="1"/>
    <col min="16" max="17" width="13" customWidth="1"/>
    <col min="20" max="20" width="12.42578125" bestFit="1" customWidth="1"/>
  </cols>
  <sheetData>
    <row r="1" spans="1:21" ht="40.5" x14ac:dyDescent="0.55000000000000004">
      <c r="A1" s="1386" t="s">
        <v>329</v>
      </c>
      <c r="B1" s="1386"/>
      <c r="C1" s="1386"/>
      <c r="D1" s="1386"/>
      <c r="E1" s="1386"/>
      <c r="F1" s="1386"/>
      <c r="G1" s="1386"/>
      <c r="H1" s="11">
        <v>1</v>
      </c>
      <c r="L1" s="1390" t="s">
        <v>509</v>
      </c>
      <c r="M1" s="1390"/>
      <c r="N1" s="1390"/>
      <c r="O1" s="1390"/>
      <c r="P1" s="1390"/>
      <c r="Q1" s="1390"/>
      <c r="R1" s="1390"/>
      <c r="S1" s="11">
        <v>1</v>
      </c>
    </row>
    <row r="2" spans="1:21" ht="15.75" thickBot="1" x14ac:dyDescent="0.3"/>
    <row r="3" spans="1:21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L3" s="8" t="s">
        <v>0</v>
      </c>
      <c r="M3" s="9" t="s">
        <v>1</v>
      </c>
      <c r="N3" s="9" t="s">
        <v>13</v>
      </c>
      <c r="O3" s="9" t="s">
        <v>2</v>
      </c>
      <c r="P3" s="9" t="s">
        <v>3</v>
      </c>
      <c r="Q3" s="9" t="s">
        <v>4</v>
      </c>
      <c r="R3" s="46" t="s">
        <v>12</v>
      </c>
      <c r="S3" s="26" t="s">
        <v>11</v>
      </c>
    </row>
    <row r="4" spans="1:21" ht="15.75" thickTop="1" x14ac:dyDescent="0.25">
      <c r="B4" s="12"/>
      <c r="C4" s="128"/>
      <c r="D4" s="149"/>
      <c r="E4" s="105">
        <v>460.5</v>
      </c>
      <c r="F4" s="73">
        <v>18</v>
      </c>
      <c r="G4" s="73"/>
      <c r="M4" s="12"/>
      <c r="N4" s="128"/>
      <c r="O4" s="149"/>
      <c r="P4" s="105">
        <v>245.2</v>
      </c>
      <c r="Q4" s="73">
        <v>10</v>
      </c>
      <c r="R4" s="73"/>
    </row>
    <row r="5" spans="1:21" ht="15" customHeight="1" x14ac:dyDescent="0.25">
      <c r="A5" s="1391" t="s">
        <v>221</v>
      </c>
      <c r="B5" s="1399" t="s">
        <v>100</v>
      </c>
      <c r="C5" s="199"/>
      <c r="D5" s="149">
        <v>44866</v>
      </c>
      <c r="E5" s="132">
        <v>18544</v>
      </c>
      <c r="F5" s="73">
        <v>650</v>
      </c>
      <c r="G5" s="132">
        <f>F38</f>
        <v>19004.499999999996</v>
      </c>
      <c r="H5" s="138">
        <f>E4+E5-G5+E6+E7</f>
        <v>3.637978807091713E-12</v>
      </c>
      <c r="L5" s="1391" t="s">
        <v>221</v>
      </c>
      <c r="M5" s="1399" t="s">
        <v>100</v>
      </c>
      <c r="N5" s="199"/>
      <c r="O5" s="149">
        <v>44921</v>
      </c>
      <c r="P5" s="132">
        <v>18568</v>
      </c>
      <c r="Q5" s="73">
        <v>620</v>
      </c>
      <c r="R5" s="132">
        <f>Q38</f>
        <v>3615.42</v>
      </c>
      <c r="S5" s="138">
        <f>P4+P5-R5+P6+P7</f>
        <v>15197.78</v>
      </c>
    </row>
    <row r="6" spans="1:21" x14ac:dyDescent="0.25">
      <c r="A6" s="1391"/>
      <c r="B6" s="1399"/>
      <c r="C6" s="199"/>
      <c r="D6" s="149"/>
      <c r="E6" s="105"/>
      <c r="F6" s="73"/>
      <c r="L6" s="1391"/>
      <c r="M6" s="1399"/>
      <c r="N6" s="199"/>
      <c r="O6" s="149"/>
      <c r="P6" s="105"/>
      <c r="Q6" s="73"/>
    </row>
    <row r="7" spans="1:21" ht="15.75" customHeight="1" thickBot="1" x14ac:dyDescent="0.3">
      <c r="B7" s="12"/>
      <c r="C7" s="199"/>
      <c r="D7" s="149"/>
      <c r="E7" s="105"/>
      <c r="F7" s="73"/>
      <c r="M7" s="12"/>
      <c r="N7" s="199"/>
      <c r="O7" s="149"/>
      <c r="P7" s="105"/>
      <c r="Q7" s="73"/>
    </row>
    <row r="8" spans="1:21" ht="16.5" customHeight="1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73" t="s">
        <v>106</v>
      </c>
      <c r="J8" s="826" t="s">
        <v>3</v>
      </c>
      <c r="M8" s="64" t="s">
        <v>7</v>
      </c>
      <c r="N8" s="27" t="s">
        <v>8</v>
      </c>
      <c r="O8" s="30" t="s">
        <v>3</v>
      </c>
      <c r="P8" s="23" t="s">
        <v>2</v>
      </c>
      <c r="Q8" s="9" t="s">
        <v>9</v>
      </c>
      <c r="R8" s="10" t="s">
        <v>16</v>
      </c>
      <c r="S8" s="24"/>
      <c r="T8" s="73" t="s">
        <v>106</v>
      </c>
      <c r="U8" s="826" t="s">
        <v>3</v>
      </c>
    </row>
    <row r="9" spans="1:21" ht="15.75" thickTop="1" x14ac:dyDescent="0.25">
      <c r="A9" s="73"/>
      <c r="B9" s="856">
        <f>F5-C9+F4+F6+F7</f>
        <v>644</v>
      </c>
      <c r="C9" s="15">
        <v>24</v>
      </c>
      <c r="D9" s="92">
        <v>653.4</v>
      </c>
      <c r="E9" s="195">
        <v>44867</v>
      </c>
      <c r="F9" s="69">
        <f t="shared" ref="F9:F10" si="0">D9</f>
        <v>653.4</v>
      </c>
      <c r="G9" s="70" t="s">
        <v>237</v>
      </c>
      <c r="H9" s="71">
        <v>50</v>
      </c>
      <c r="I9" s="857">
        <f>H9*F9</f>
        <v>32670</v>
      </c>
      <c r="J9" s="731">
        <f>E4+E5+E6+E7-F9</f>
        <v>18351.099999999999</v>
      </c>
      <c r="L9" s="73"/>
      <c r="M9" s="856">
        <f>Q5-N9+Q4+Q6+Q7</f>
        <v>600</v>
      </c>
      <c r="N9" s="15">
        <v>30</v>
      </c>
      <c r="O9" s="92">
        <v>999.9</v>
      </c>
      <c r="P9" s="195">
        <v>44922</v>
      </c>
      <c r="Q9" s="69">
        <f t="shared" ref="Q9:Q37" si="1">O9</f>
        <v>999.9</v>
      </c>
      <c r="R9" s="70" t="s">
        <v>833</v>
      </c>
      <c r="S9" s="71">
        <v>52</v>
      </c>
      <c r="T9" s="857">
        <f>S9*Q9</f>
        <v>51994.799999999996</v>
      </c>
      <c r="U9" s="731">
        <f>P4+P5+P6+P7-Q9</f>
        <v>17813.3</v>
      </c>
    </row>
    <row r="10" spans="1:21" x14ac:dyDescent="0.25">
      <c r="B10" s="856">
        <f>B9-C10</f>
        <v>620</v>
      </c>
      <c r="C10" s="15">
        <v>24</v>
      </c>
      <c r="D10" s="92">
        <v>665.2</v>
      </c>
      <c r="E10" s="195">
        <v>44870</v>
      </c>
      <c r="F10" s="69">
        <f t="shared" si="0"/>
        <v>665.2</v>
      </c>
      <c r="G10" s="70" t="s">
        <v>243</v>
      </c>
      <c r="H10" s="71">
        <v>50</v>
      </c>
      <c r="I10" s="858">
        <f t="shared" ref="I10:I37" si="2">H10*F10</f>
        <v>33260</v>
      </c>
      <c r="J10" s="731">
        <f>J9-F10</f>
        <v>17685.899999999998</v>
      </c>
      <c r="M10" s="856">
        <f>M9-N10</f>
        <v>570</v>
      </c>
      <c r="N10" s="15">
        <v>30</v>
      </c>
      <c r="O10" s="92">
        <v>836.1</v>
      </c>
      <c r="P10" s="195">
        <v>44922</v>
      </c>
      <c r="Q10" s="69">
        <f t="shared" si="1"/>
        <v>836.1</v>
      </c>
      <c r="R10" s="70" t="s">
        <v>834</v>
      </c>
      <c r="S10" s="71">
        <v>50</v>
      </c>
      <c r="T10" s="858">
        <f t="shared" ref="T10:T37" si="3">S10*Q10</f>
        <v>41805</v>
      </c>
      <c r="U10" s="731">
        <f>U9-Q10</f>
        <v>16977.2</v>
      </c>
    </row>
    <row r="11" spans="1:21" x14ac:dyDescent="0.25">
      <c r="A11" s="55" t="s">
        <v>32</v>
      </c>
      <c r="B11" s="856">
        <f t="shared" ref="B11:B37" si="4">B10-C11</f>
        <v>596</v>
      </c>
      <c r="C11" s="811">
        <v>24</v>
      </c>
      <c r="D11" s="694">
        <v>666.4</v>
      </c>
      <c r="E11" s="848">
        <v>44873</v>
      </c>
      <c r="F11" s="697">
        <f t="shared" ref="F11:F37" si="5">D11</f>
        <v>666.4</v>
      </c>
      <c r="G11" s="695" t="s">
        <v>251</v>
      </c>
      <c r="H11" s="696">
        <v>50</v>
      </c>
      <c r="I11" s="858">
        <f t="shared" si="2"/>
        <v>33320</v>
      </c>
      <c r="J11" s="731">
        <f t="shared" ref="J11:J12" si="6">J10-F11</f>
        <v>17019.499999999996</v>
      </c>
      <c r="L11" s="55" t="s">
        <v>32</v>
      </c>
      <c r="M11" s="856">
        <f t="shared" ref="M11:M37" si="7">M10-N11</f>
        <v>558</v>
      </c>
      <c r="N11" s="811">
        <v>12</v>
      </c>
      <c r="O11" s="694">
        <v>354.12</v>
      </c>
      <c r="P11" s="848">
        <v>44924</v>
      </c>
      <c r="Q11" s="697">
        <f t="shared" si="1"/>
        <v>354.12</v>
      </c>
      <c r="R11" s="695" t="s">
        <v>849</v>
      </c>
      <c r="S11" s="696">
        <v>50</v>
      </c>
      <c r="T11" s="858">
        <f t="shared" si="3"/>
        <v>17706</v>
      </c>
      <c r="U11" s="731">
        <f t="shared" ref="U11:U12" si="8">U10-Q11</f>
        <v>16623.080000000002</v>
      </c>
    </row>
    <row r="12" spans="1:21" x14ac:dyDescent="0.25">
      <c r="A12" s="85"/>
      <c r="B12" s="856">
        <f t="shared" si="4"/>
        <v>572</v>
      </c>
      <c r="C12" s="811">
        <v>24</v>
      </c>
      <c r="D12" s="694">
        <v>601</v>
      </c>
      <c r="E12" s="848">
        <v>44875</v>
      </c>
      <c r="F12" s="697">
        <f t="shared" si="5"/>
        <v>601</v>
      </c>
      <c r="G12" s="695" t="s">
        <v>260</v>
      </c>
      <c r="H12" s="696">
        <v>50</v>
      </c>
      <c r="I12" s="858">
        <f t="shared" si="2"/>
        <v>30050</v>
      </c>
      <c r="J12" s="731">
        <f t="shared" si="6"/>
        <v>16418.499999999996</v>
      </c>
      <c r="L12" s="85"/>
      <c r="M12" s="856">
        <f t="shared" si="7"/>
        <v>538</v>
      </c>
      <c r="N12" s="811">
        <v>20</v>
      </c>
      <c r="O12" s="694">
        <v>539.1</v>
      </c>
      <c r="P12" s="848">
        <v>44924</v>
      </c>
      <c r="Q12" s="697">
        <f t="shared" si="1"/>
        <v>539.1</v>
      </c>
      <c r="R12" s="695" t="s">
        <v>849</v>
      </c>
      <c r="S12" s="696">
        <v>52</v>
      </c>
      <c r="T12" s="858">
        <f t="shared" si="3"/>
        <v>28033.200000000001</v>
      </c>
      <c r="U12" s="731">
        <f t="shared" si="8"/>
        <v>16083.980000000001</v>
      </c>
    </row>
    <row r="13" spans="1:21" x14ac:dyDescent="0.25">
      <c r="B13" s="856">
        <f t="shared" si="4"/>
        <v>548</v>
      </c>
      <c r="C13" s="811">
        <v>24</v>
      </c>
      <c r="D13" s="694">
        <v>685.1</v>
      </c>
      <c r="E13" s="848">
        <v>44877</v>
      </c>
      <c r="F13" s="697">
        <f t="shared" si="5"/>
        <v>685.1</v>
      </c>
      <c r="G13" s="695" t="s">
        <v>270</v>
      </c>
      <c r="H13" s="696">
        <v>50</v>
      </c>
      <c r="I13" s="858">
        <f t="shared" si="2"/>
        <v>34255</v>
      </c>
      <c r="J13" s="731">
        <f>J12-F13</f>
        <v>15733.399999999996</v>
      </c>
      <c r="M13" s="856">
        <f t="shared" si="7"/>
        <v>508</v>
      </c>
      <c r="N13" s="811">
        <v>30</v>
      </c>
      <c r="O13" s="694">
        <v>886.2</v>
      </c>
      <c r="P13" s="848">
        <v>44929</v>
      </c>
      <c r="Q13" s="697">
        <f t="shared" si="1"/>
        <v>886.2</v>
      </c>
      <c r="R13" s="695" t="s">
        <v>873</v>
      </c>
      <c r="S13" s="696">
        <v>52</v>
      </c>
      <c r="T13" s="858">
        <f t="shared" si="3"/>
        <v>46082.400000000001</v>
      </c>
      <c r="U13" s="731">
        <f>U12-Q13</f>
        <v>15197.78</v>
      </c>
    </row>
    <row r="14" spans="1:21" x14ac:dyDescent="0.25">
      <c r="A14" s="55" t="s">
        <v>33</v>
      </c>
      <c r="B14" s="856">
        <f t="shared" si="4"/>
        <v>524</v>
      </c>
      <c r="C14" s="811">
        <v>24</v>
      </c>
      <c r="D14" s="694">
        <v>701.7</v>
      </c>
      <c r="E14" s="848">
        <v>44879</v>
      </c>
      <c r="F14" s="697">
        <f t="shared" si="5"/>
        <v>701.7</v>
      </c>
      <c r="G14" s="695" t="s">
        <v>271</v>
      </c>
      <c r="H14" s="696">
        <v>50</v>
      </c>
      <c r="I14" s="858">
        <f t="shared" si="2"/>
        <v>35085</v>
      </c>
      <c r="J14" s="731">
        <f t="shared" ref="J14:J37" si="9">J13-F14</f>
        <v>15031.699999999995</v>
      </c>
      <c r="L14" s="55" t="s">
        <v>33</v>
      </c>
      <c r="M14" s="856">
        <f t="shared" si="7"/>
        <v>508</v>
      </c>
      <c r="N14" s="811"/>
      <c r="O14" s="694"/>
      <c r="P14" s="848"/>
      <c r="Q14" s="697">
        <f t="shared" si="1"/>
        <v>0</v>
      </c>
      <c r="R14" s="695"/>
      <c r="S14" s="696"/>
      <c r="T14" s="858">
        <f t="shared" si="3"/>
        <v>0</v>
      </c>
      <c r="U14" s="731">
        <f t="shared" ref="U14:U37" si="10">U13-Q14</f>
        <v>15197.78</v>
      </c>
    </row>
    <row r="15" spans="1:21" x14ac:dyDescent="0.25">
      <c r="A15" s="729"/>
      <c r="B15" s="856">
        <f t="shared" si="4"/>
        <v>500</v>
      </c>
      <c r="C15" s="811">
        <v>24</v>
      </c>
      <c r="D15" s="694">
        <v>739.6</v>
      </c>
      <c r="E15" s="848">
        <v>44881</v>
      </c>
      <c r="F15" s="697">
        <f t="shared" si="5"/>
        <v>739.6</v>
      </c>
      <c r="G15" s="695" t="s">
        <v>278</v>
      </c>
      <c r="H15" s="696">
        <v>50</v>
      </c>
      <c r="I15" s="858">
        <f t="shared" si="2"/>
        <v>36980</v>
      </c>
      <c r="J15" s="731">
        <f t="shared" si="9"/>
        <v>14292.099999999995</v>
      </c>
      <c r="L15" s="729"/>
      <c r="M15" s="856">
        <f t="shared" si="7"/>
        <v>508</v>
      </c>
      <c r="N15" s="811"/>
      <c r="O15" s="694"/>
      <c r="P15" s="848"/>
      <c r="Q15" s="697">
        <f t="shared" si="1"/>
        <v>0</v>
      </c>
      <c r="R15" s="695"/>
      <c r="S15" s="696"/>
      <c r="T15" s="858">
        <f t="shared" si="3"/>
        <v>0</v>
      </c>
      <c r="U15" s="731">
        <f t="shared" si="10"/>
        <v>15197.78</v>
      </c>
    </row>
    <row r="16" spans="1:21" ht="15.75" x14ac:dyDescent="0.25">
      <c r="A16" s="855"/>
      <c r="B16" s="856">
        <f t="shared" si="4"/>
        <v>476</v>
      </c>
      <c r="C16" s="811">
        <v>24</v>
      </c>
      <c r="D16" s="694">
        <v>688.6</v>
      </c>
      <c r="E16" s="848">
        <v>44883</v>
      </c>
      <c r="F16" s="697">
        <f t="shared" si="5"/>
        <v>688.6</v>
      </c>
      <c r="G16" s="695" t="s">
        <v>286</v>
      </c>
      <c r="H16" s="696">
        <v>50</v>
      </c>
      <c r="I16" s="858">
        <f t="shared" si="2"/>
        <v>34430</v>
      </c>
      <c r="J16" s="731">
        <f t="shared" si="9"/>
        <v>13603.499999999995</v>
      </c>
      <c r="L16" s="855"/>
      <c r="M16" s="856">
        <f t="shared" si="7"/>
        <v>508</v>
      </c>
      <c r="N16" s="811"/>
      <c r="O16" s="694"/>
      <c r="P16" s="848"/>
      <c r="Q16" s="697">
        <f t="shared" si="1"/>
        <v>0</v>
      </c>
      <c r="R16" s="695"/>
      <c r="S16" s="696"/>
      <c r="T16" s="858">
        <f t="shared" si="3"/>
        <v>0</v>
      </c>
      <c r="U16" s="731">
        <f t="shared" si="10"/>
        <v>15197.78</v>
      </c>
    </row>
    <row r="17" spans="1:21" ht="15.75" x14ac:dyDescent="0.25">
      <c r="A17" s="855"/>
      <c r="B17" s="856">
        <f t="shared" si="4"/>
        <v>452</v>
      </c>
      <c r="C17" s="811">
        <v>24</v>
      </c>
      <c r="D17" s="694">
        <v>712.8</v>
      </c>
      <c r="E17" s="848">
        <v>44884</v>
      </c>
      <c r="F17" s="697">
        <f t="shared" si="5"/>
        <v>712.8</v>
      </c>
      <c r="G17" s="695" t="s">
        <v>290</v>
      </c>
      <c r="H17" s="696">
        <v>50</v>
      </c>
      <c r="I17" s="858">
        <f t="shared" si="2"/>
        <v>35640</v>
      </c>
      <c r="J17" s="731">
        <f t="shared" si="9"/>
        <v>12890.699999999995</v>
      </c>
      <c r="L17" s="855"/>
      <c r="M17" s="856">
        <f t="shared" si="7"/>
        <v>508</v>
      </c>
      <c r="N17" s="811"/>
      <c r="O17" s="694"/>
      <c r="P17" s="848"/>
      <c r="Q17" s="697">
        <f t="shared" si="1"/>
        <v>0</v>
      </c>
      <c r="R17" s="695"/>
      <c r="S17" s="696"/>
      <c r="T17" s="858">
        <f t="shared" si="3"/>
        <v>0</v>
      </c>
      <c r="U17" s="731">
        <f t="shared" si="10"/>
        <v>15197.78</v>
      </c>
    </row>
    <row r="18" spans="1:21" ht="15.75" x14ac:dyDescent="0.25">
      <c r="A18" s="855"/>
      <c r="B18" s="856">
        <f t="shared" si="4"/>
        <v>428</v>
      </c>
      <c r="C18" s="811">
        <v>24</v>
      </c>
      <c r="D18" s="694">
        <v>714.4</v>
      </c>
      <c r="E18" s="848">
        <v>44888</v>
      </c>
      <c r="F18" s="697">
        <f t="shared" si="5"/>
        <v>714.4</v>
      </c>
      <c r="G18" s="695" t="s">
        <v>295</v>
      </c>
      <c r="H18" s="696">
        <v>50</v>
      </c>
      <c r="I18" s="858">
        <f t="shared" si="2"/>
        <v>35720</v>
      </c>
      <c r="J18" s="731">
        <f t="shared" si="9"/>
        <v>12176.299999999996</v>
      </c>
      <c r="L18" s="855"/>
      <c r="M18" s="856">
        <f t="shared" si="7"/>
        <v>508</v>
      </c>
      <c r="N18" s="811"/>
      <c r="O18" s="694"/>
      <c r="P18" s="848"/>
      <c r="Q18" s="697">
        <f t="shared" si="1"/>
        <v>0</v>
      </c>
      <c r="R18" s="695"/>
      <c r="S18" s="696"/>
      <c r="T18" s="858">
        <f t="shared" si="3"/>
        <v>0</v>
      </c>
      <c r="U18" s="731">
        <f t="shared" si="10"/>
        <v>15197.78</v>
      </c>
    </row>
    <row r="19" spans="1:21" x14ac:dyDescent="0.25">
      <c r="A19" s="729"/>
      <c r="B19" s="813">
        <f t="shared" si="4"/>
        <v>404</v>
      </c>
      <c r="C19" s="811">
        <v>24</v>
      </c>
      <c r="D19" s="694">
        <v>691.4</v>
      </c>
      <c r="E19" s="848">
        <v>44891</v>
      </c>
      <c r="F19" s="697">
        <f t="shared" si="5"/>
        <v>691.4</v>
      </c>
      <c r="G19" s="695" t="s">
        <v>312</v>
      </c>
      <c r="H19" s="696">
        <v>50</v>
      </c>
      <c r="I19" s="858">
        <f t="shared" si="2"/>
        <v>34570</v>
      </c>
      <c r="J19" s="814">
        <f t="shared" si="9"/>
        <v>11484.899999999996</v>
      </c>
      <c r="L19" s="729"/>
      <c r="M19" s="856">
        <f t="shared" si="7"/>
        <v>508</v>
      </c>
      <c r="N19" s="811"/>
      <c r="O19" s="694"/>
      <c r="P19" s="848"/>
      <c r="Q19" s="697">
        <f t="shared" si="1"/>
        <v>0</v>
      </c>
      <c r="R19" s="695"/>
      <c r="S19" s="696"/>
      <c r="T19" s="858">
        <f t="shared" si="3"/>
        <v>0</v>
      </c>
      <c r="U19" s="731">
        <f t="shared" si="10"/>
        <v>15197.78</v>
      </c>
    </row>
    <row r="20" spans="1:21" x14ac:dyDescent="0.25">
      <c r="A20" s="729"/>
      <c r="B20" s="856">
        <f t="shared" si="4"/>
        <v>380</v>
      </c>
      <c r="C20" s="811">
        <v>24</v>
      </c>
      <c r="D20" s="982">
        <v>658.4</v>
      </c>
      <c r="E20" s="983">
        <v>44893</v>
      </c>
      <c r="F20" s="984">
        <f t="shared" si="5"/>
        <v>658.4</v>
      </c>
      <c r="G20" s="985" t="s">
        <v>566</v>
      </c>
      <c r="H20" s="986">
        <v>50</v>
      </c>
      <c r="I20" s="858">
        <f t="shared" si="2"/>
        <v>32920</v>
      </c>
      <c r="J20" s="731">
        <f t="shared" si="9"/>
        <v>10826.499999999996</v>
      </c>
      <c r="L20" s="729"/>
      <c r="M20" s="856">
        <f t="shared" si="7"/>
        <v>508</v>
      </c>
      <c r="N20" s="811"/>
      <c r="O20" s="694"/>
      <c r="P20" s="848"/>
      <c r="Q20" s="697">
        <f t="shared" si="1"/>
        <v>0</v>
      </c>
      <c r="R20" s="695"/>
      <c r="S20" s="986"/>
      <c r="T20" s="858">
        <f t="shared" si="3"/>
        <v>0</v>
      </c>
      <c r="U20" s="731">
        <f t="shared" si="10"/>
        <v>15197.78</v>
      </c>
    </row>
    <row r="21" spans="1:21" x14ac:dyDescent="0.25">
      <c r="B21" s="856">
        <f t="shared" si="4"/>
        <v>356</v>
      </c>
      <c r="C21" s="811">
        <v>24</v>
      </c>
      <c r="D21" s="982">
        <v>708.3</v>
      </c>
      <c r="E21" s="983">
        <v>44895</v>
      </c>
      <c r="F21" s="984">
        <f t="shared" si="5"/>
        <v>708.3</v>
      </c>
      <c r="G21" s="985" t="s">
        <v>577</v>
      </c>
      <c r="H21" s="986">
        <v>50</v>
      </c>
      <c r="I21" s="858">
        <f t="shared" si="2"/>
        <v>35415</v>
      </c>
      <c r="J21" s="731">
        <f t="shared" si="9"/>
        <v>10118.199999999997</v>
      </c>
      <c r="M21" s="856">
        <f t="shared" si="7"/>
        <v>508</v>
      </c>
      <c r="N21" s="811"/>
      <c r="O21" s="694"/>
      <c r="P21" s="848"/>
      <c r="Q21" s="697">
        <f t="shared" si="1"/>
        <v>0</v>
      </c>
      <c r="R21" s="695"/>
      <c r="S21" s="986"/>
      <c r="T21" s="858">
        <f t="shared" si="3"/>
        <v>0</v>
      </c>
      <c r="U21" s="731">
        <f t="shared" si="10"/>
        <v>15197.78</v>
      </c>
    </row>
    <row r="22" spans="1:21" x14ac:dyDescent="0.25">
      <c r="B22" s="856">
        <f t="shared" si="4"/>
        <v>332</v>
      </c>
      <c r="C22" s="811">
        <v>24</v>
      </c>
      <c r="D22" s="982">
        <v>647.70000000000005</v>
      </c>
      <c r="E22" s="983">
        <v>44897</v>
      </c>
      <c r="F22" s="984">
        <f t="shared" si="5"/>
        <v>647.70000000000005</v>
      </c>
      <c r="G22" s="985" t="s">
        <v>596</v>
      </c>
      <c r="H22" s="986">
        <v>50</v>
      </c>
      <c r="I22" s="858">
        <f t="shared" si="2"/>
        <v>32385.000000000004</v>
      </c>
      <c r="J22" s="731">
        <f t="shared" si="9"/>
        <v>9470.4999999999964</v>
      </c>
      <c r="M22" s="856">
        <f t="shared" si="7"/>
        <v>508</v>
      </c>
      <c r="N22" s="811"/>
      <c r="O22" s="694"/>
      <c r="P22" s="848"/>
      <c r="Q22" s="697">
        <f t="shared" si="1"/>
        <v>0</v>
      </c>
      <c r="R22" s="695"/>
      <c r="S22" s="986"/>
      <c r="T22" s="858">
        <f t="shared" si="3"/>
        <v>0</v>
      </c>
      <c r="U22" s="731">
        <f t="shared" si="10"/>
        <v>15197.78</v>
      </c>
    </row>
    <row r="23" spans="1:21" x14ac:dyDescent="0.25">
      <c r="B23" s="856">
        <f t="shared" si="4"/>
        <v>308</v>
      </c>
      <c r="C23" s="811">
        <v>24</v>
      </c>
      <c r="D23" s="982">
        <v>680</v>
      </c>
      <c r="E23" s="983">
        <v>44900</v>
      </c>
      <c r="F23" s="984">
        <f t="shared" si="5"/>
        <v>680</v>
      </c>
      <c r="G23" s="985" t="s">
        <v>615</v>
      </c>
      <c r="H23" s="986">
        <v>50</v>
      </c>
      <c r="I23" s="858">
        <f t="shared" si="2"/>
        <v>34000</v>
      </c>
      <c r="J23" s="731">
        <f t="shared" si="9"/>
        <v>8790.4999999999964</v>
      </c>
      <c r="M23" s="856">
        <f t="shared" si="7"/>
        <v>508</v>
      </c>
      <c r="N23" s="811"/>
      <c r="O23" s="694"/>
      <c r="P23" s="848"/>
      <c r="Q23" s="697">
        <f t="shared" si="1"/>
        <v>0</v>
      </c>
      <c r="R23" s="695"/>
      <c r="S23" s="986"/>
      <c r="T23" s="858">
        <f t="shared" si="3"/>
        <v>0</v>
      </c>
      <c r="U23" s="731">
        <f t="shared" si="10"/>
        <v>15197.78</v>
      </c>
    </row>
    <row r="24" spans="1:21" x14ac:dyDescent="0.25">
      <c r="B24" s="856">
        <f t="shared" si="4"/>
        <v>284</v>
      </c>
      <c r="C24" s="811">
        <v>24</v>
      </c>
      <c r="D24" s="982">
        <v>751.9</v>
      </c>
      <c r="E24" s="983">
        <v>44901</v>
      </c>
      <c r="F24" s="984">
        <f t="shared" si="5"/>
        <v>751.9</v>
      </c>
      <c r="G24" s="985" t="s">
        <v>622</v>
      </c>
      <c r="H24" s="986">
        <v>50</v>
      </c>
      <c r="I24" s="858">
        <f t="shared" si="2"/>
        <v>37595</v>
      </c>
      <c r="J24" s="731">
        <f t="shared" si="9"/>
        <v>8038.5999999999967</v>
      </c>
      <c r="M24" s="856">
        <f t="shared" si="7"/>
        <v>508</v>
      </c>
      <c r="N24" s="811"/>
      <c r="O24" s="694"/>
      <c r="P24" s="848"/>
      <c r="Q24" s="697">
        <f t="shared" si="1"/>
        <v>0</v>
      </c>
      <c r="R24" s="695"/>
      <c r="S24" s="986"/>
      <c r="T24" s="858">
        <f t="shared" si="3"/>
        <v>0</v>
      </c>
      <c r="U24" s="731">
        <f t="shared" si="10"/>
        <v>15197.78</v>
      </c>
    </row>
    <row r="25" spans="1:21" x14ac:dyDescent="0.25">
      <c r="B25" s="856">
        <f t="shared" si="4"/>
        <v>260</v>
      </c>
      <c r="C25" s="811">
        <v>24</v>
      </c>
      <c r="D25" s="982">
        <v>624.5</v>
      </c>
      <c r="E25" s="983">
        <v>44904</v>
      </c>
      <c r="F25" s="984">
        <f t="shared" si="5"/>
        <v>624.5</v>
      </c>
      <c r="G25" s="985" t="s">
        <v>654</v>
      </c>
      <c r="H25" s="986">
        <v>50</v>
      </c>
      <c r="I25" s="858">
        <f t="shared" si="2"/>
        <v>31225</v>
      </c>
      <c r="J25" s="731">
        <f t="shared" si="9"/>
        <v>7414.0999999999967</v>
      </c>
      <c r="M25" s="856">
        <f t="shared" si="7"/>
        <v>508</v>
      </c>
      <c r="N25" s="811"/>
      <c r="O25" s="694"/>
      <c r="P25" s="848"/>
      <c r="Q25" s="697">
        <f t="shared" si="1"/>
        <v>0</v>
      </c>
      <c r="R25" s="695"/>
      <c r="S25" s="986"/>
      <c r="T25" s="858">
        <f t="shared" si="3"/>
        <v>0</v>
      </c>
      <c r="U25" s="731">
        <f t="shared" si="10"/>
        <v>15197.78</v>
      </c>
    </row>
    <row r="26" spans="1:21" x14ac:dyDescent="0.25">
      <c r="B26" s="856">
        <f t="shared" si="4"/>
        <v>160</v>
      </c>
      <c r="C26" s="811">
        <f>24+24+24+24+4</f>
        <v>100</v>
      </c>
      <c r="D26" s="982">
        <f>734.1+724.8+629.8+626.1+116.2</f>
        <v>2830.9999999999995</v>
      </c>
      <c r="E26" s="983">
        <v>44904</v>
      </c>
      <c r="F26" s="984">
        <f t="shared" si="5"/>
        <v>2830.9999999999995</v>
      </c>
      <c r="G26" s="985" t="s">
        <v>663</v>
      </c>
      <c r="H26" s="986">
        <v>52</v>
      </c>
      <c r="I26" s="858">
        <f t="shared" si="2"/>
        <v>147211.99999999997</v>
      </c>
      <c r="J26" s="731">
        <f t="shared" si="9"/>
        <v>4583.0999999999967</v>
      </c>
      <c r="M26" s="856">
        <f t="shared" si="7"/>
        <v>508</v>
      </c>
      <c r="N26" s="811"/>
      <c r="O26" s="694"/>
      <c r="P26" s="848"/>
      <c r="Q26" s="697">
        <f t="shared" si="1"/>
        <v>0</v>
      </c>
      <c r="R26" s="695"/>
      <c r="S26" s="986"/>
      <c r="T26" s="858">
        <f t="shared" si="3"/>
        <v>0</v>
      </c>
      <c r="U26" s="731">
        <f t="shared" si="10"/>
        <v>15197.78</v>
      </c>
    </row>
    <row r="27" spans="1:21" x14ac:dyDescent="0.25">
      <c r="B27" s="856">
        <f t="shared" si="4"/>
        <v>136</v>
      </c>
      <c r="C27" s="811">
        <v>24</v>
      </c>
      <c r="D27" s="982">
        <v>741.9</v>
      </c>
      <c r="E27" s="983">
        <v>44907</v>
      </c>
      <c r="F27" s="984">
        <f t="shared" si="5"/>
        <v>741.9</v>
      </c>
      <c r="G27" s="985" t="s">
        <v>693</v>
      </c>
      <c r="H27" s="986">
        <v>50</v>
      </c>
      <c r="I27" s="858">
        <f t="shared" si="2"/>
        <v>37095</v>
      </c>
      <c r="J27" s="731">
        <f t="shared" si="9"/>
        <v>3841.1999999999966</v>
      </c>
      <c r="M27" s="856">
        <f t="shared" si="7"/>
        <v>508</v>
      </c>
      <c r="N27" s="811"/>
      <c r="O27" s="694"/>
      <c r="P27" s="848"/>
      <c r="Q27" s="697">
        <f t="shared" si="1"/>
        <v>0</v>
      </c>
      <c r="R27" s="695"/>
      <c r="S27" s="986"/>
      <c r="T27" s="858">
        <f t="shared" si="3"/>
        <v>0</v>
      </c>
      <c r="U27" s="731">
        <f t="shared" si="10"/>
        <v>15197.78</v>
      </c>
    </row>
    <row r="28" spans="1:21" x14ac:dyDescent="0.25">
      <c r="B28" s="856">
        <f t="shared" si="4"/>
        <v>112</v>
      </c>
      <c r="C28" s="811">
        <v>24</v>
      </c>
      <c r="D28" s="984">
        <v>653.29999999999995</v>
      </c>
      <c r="E28" s="983">
        <v>44908</v>
      </c>
      <c r="F28" s="984">
        <f t="shared" si="5"/>
        <v>653.29999999999995</v>
      </c>
      <c r="G28" s="985" t="s">
        <v>692</v>
      </c>
      <c r="H28" s="986">
        <v>50</v>
      </c>
      <c r="I28" s="858">
        <f t="shared" si="2"/>
        <v>32664.999999999996</v>
      </c>
      <c r="J28" s="731">
        <f t="shared" si="9"/>
        <v>3187.8999999999969</v>
      </c>
      <c r="M28" s="856">
        <f t="shared" si="7"/>
        <v>508</v>
      </c>
      <c r="N28" s="811"/>
      <c r="O28" s="697"/>
      <c r="P28" s="848"/>
      <c r="Q28" s="697">
        <f t="shared" si="1"/>
        <v>0</v>
      </c>
      <c r="R28" s="695"/>
      <c r="S28" s="986"/>
      <c r="T28" s="858">
        <f t="shared" si="3"/>
        <v>0</v>
      </c>
      <c r="U28" s="731">
        <f t="shared" si="10"/>
        <v>15197.78</v>
      </c>
    </row>
    <row r="29" spans="1:21" x14ac:dyDescent="0.25">
      <c r="B29" s="856">
        <f t="shared" si="4"/>
        <v>88</v>
      </c>
      <c r="C29" s="811">
        <v>24</v>
      </c>
      <c r="D29" s="984">
        <v>678.5</v>
      </c>
      <c r="E29" s="983">
        <v>44910</v>
      </c>
      <c r="F29" s="984">
        <f t="shared" si="5"/>
        <v>678.5</v>
      </c>
      <c r="G29" s="985" t="s">
        <v>719</v>
      </c>
      <c r="H29" s="986">
        <v>50</v>
      </c>
      <c r="I29" s="858">
        <f t="shared" ref="I29:I36" si="11">H29*F29</f>
        <v>33925</v>
      </c>
      <c r="J29" s="731">
        <f t="shared" ref="J29:J36" si="12">J28-F29</f>
        <v>2509.3999999999969</v>
      </c>
      <c r="M29" s="856">
        <f t="shared" si="7"/>
        <v>508</v>
      </c>
      <c r="N29" s="811"/>
      <c r="O29" s="697"/>
      <c r="P29" s="848"/>
      <c r="Q29" s="697">
        <f t="shared" si="1"/>
        <v>0</v>
      </c>
      <c r="R29" s="695"/>
      <c r="S29" s="986"/>
      <c r="T29" s="858">
        <f t="shared" ref="T29:T36" si="13">S29*Q29</f>
        <v>0</v>
      </c>
      <c r="U29" s="731">
        <f t="shared" ref="U29:U36" si="14">U28-Q29</f>
        <v>15197.78</v>
      </c>
    </row>
    <row r="30" spans="1:21" x14ac:dyDescent="0.25">
      <c r="B30" s="856">
        <f t="shared" si="4"/>
        <v>64</v>
      </c>
      <c r="C30" s="811">
        <v>24</v>
      </c>
      <c r="D30" s="984">
        <v>678.8</v>
      </c>
      <c r="E30" s="983">
        <v>44913</v>
      </c>
      <c r="F30" s="984">
        <f t="shared" si="5"/>
        <v>678.8</v>
      </c>
      <c r="G30" s="985" t="s">
        <v>747</v>
      </c>
      <c r="H30" s="986">
        <v>50</v>
      </c>
      <c r="I30" s="858">
        <f t="shared" si="11"/>
        <v>33940</v>
      </c>
      <c r="J30" s="731">
        <f t="shared" si="12"/>
        <v>1830.599999999997</v>
      </c>
      <c r="M30" s="856">
        <f t="shared" si="7"/>
        <v>508</v>
      </c>
      <c r="N30" s="811"/>
      <c r="O30" s="697"/>
      <c r="P30" s="848"/>
      <c r="Q30" s="697">
        <f t="shared" si="1"/>
        <v>0</v>
      </c>
      <c r="R30" s="695"/>
      <c r="S30" s="986"/>
      <c r="T30" s="858">
        <f t="shared" si="13"/>
        <v>0</v>
      </c>
      <c r="U30" s="731">
        <f t="shared" si="14"/>
        <v>15197.78</v>
      </c>
    </row>
    <row r="31" spans="1:21" x14ac:dyDescent="0.25">
      <c r="B31" s="856">
        <f t="shared" si="4"/>
        <v>40</v>
      </c>
      <c r="C31" s="811">
        <v>24</v>
      </c>
      <c r="D31" s="984">
        <v>703.8</v>
      </c>
      <c r="E31" s="983">
        <v>44915</v>
      </c>
      <c r="F31" s="984">
        <f t="shared" si="5"/>
        <v>703.8</v>
      </c>
      <c r="G31" s="985" t="s">
        <v>763</v>
      </c>
      <c r="H31" s="986">
        <v>50</v>
      </c>
      <c r="I31" s="858">
        <f t="shared" si="11"/>
        <v>35190</v>
      </c>
      <c r="J31" s="731">
        <f t="shared" si="12"/>
        <v>1126.799999999997</v>
      </c>
      <c r="M31" s="856">
        <f t="shared" si="7"/>
        <v>508</v>
      </c>
      <c r="N31" s="811"/>
      <c r="O31" s="697"/>
      <c r="P31" s="848"/>
      <c r="Q31" s="697">
        <f t="shared" si="1"/>
        <v>0</v>
      </c>
      <c r="R31" s="695"/>
      <c r="S31" s="986"/>
      <c r="T31" s="858">
        <f t="shared" si="13"/>
        <v>0</v>
      </c>
      <c r="U31" s="731">
        <f t="shared" si="14"/>
        <v>15197.78</v>
      </c>
    </row>
    <row r="32" spans="1:21" x14ac:dyDescent="0.25">
      <c r="B32" s="856">
        <f t="shared" si="4"/>
        <v>10</v>
      </c>
      <c r="C32" s="811">
        <v>30</v>
      </c>
      <c r="D32" s="984">
        <v>881.6</v>
      </c>
      <c r="E32" s="983">
        <v>44922</v>
      </c>
      <c r="F32" s="984">
        <f t="shared" si="5"/>
        <v>881.6</v>
      </c>
      <c r="G32" s="985" t="s">
        <v>833</v>
      </c>
      <c r="H32" s="986">
        <v>52</v>
      </c>
      <c r="I32" s="858">
        <f t="shared" si="11"/>
        <v>45843.200000000004</v>
      </c>
      <c r="J32" s="731">
        <f t="shared" si="12"/>
        <v>245.19999999999698</v>
      </c>
      <c r="M32" s="856">
        <f t="shared" si="7"/>
        <v>508</v>
      </c>
      <c r="N32" s="811"/>
      <c r="O32" s="697"/>
      <c r="P32" s="848"/>
      <c r="Q32" s="697">
        <f t="shared" si="1"/>
        <v>0</v>
      </c>
      <c r="R32" s="695"/>
      <c r="S32" s="986"/>
      <c r="T32" s="858">
        <f t="shared" si="13"/>
        <v>0</v>
      </c>
      <c r="U32" s="731">
        <f t="shared" si="14"/>
        <v>15197.78</v>
      </c>
    </row>
    <row r="33" spans="2:21" x14ac:dyDescent="0.25">
      <c r="B33" s="856">
        <f t="shared" si="4"/>
        <v>10</v>
      </c>
      <c r="C33" s="811"/>
      <c r="D33" s="984"/>
      <c r="E33" s="983"/>
      <c r="F33" s="984">
        <f t="shared" si="5"/>
        <v>0</v>
      </c>
      <c r="G33" s="985"/>
      <c r="H33" s="986"/>
      <c r="I33" s="858">
        <f t="shared" si="11"/>
        <v>0</v>
      </c>
      <c r="J33" s="731">
        <f t="shared" si="12"/>
        <v>245.19999999999698</v>
      </c>
      <c r="M33" s="856">
        <f t="shared" si="7"/>
        <v>508</v>
      </c>
      <c r="N33" s="811"/>
      <c r="O33" s="697"/>
      <c r="P33" s="848"/>
      <c r="Q33" s="697">
        <f t="shared" si="1"/>
        <v>0</v>
      </c>
      <c r="R33" s="695"/>
      <c r="S33" s="986"/>
      <c r="T33" s="858">
        <f t="shared" si="13"/>
        <v>0</v>
      </c>
      <c r="U33" s="731">
        <f t="shared" si="14"/>
        <v>15197.78</v>
      </c>
    </row>
    <row r="34" spans="2:21" x14ac:dyDescent="0.25">
      <c r="B34" s="856">
        <f t="shared" si="4"/>
        <v>10</v>
      </c>
      <c r="C34" s="811"/>
      <c r="D34" s="984"/>
      <c r="E34" s="983"/>
      <c r="F34" s="1160">
        <f t="shared" si="5"/>
        <v>0</v>
      </c>
      <c r="G34" s="1161"/>
      <c r="H34" s="1162"/>
      <c r="I34" s="1194">
        <f t="shared" si="11"/>
        <v>0</v>
      </c>
      <c r="J34" s="1163">
        <f t="shared" si="12"/>
        <v>245.19999999999698</v>
      </c>
      <c r="M34" s="856">
        <f t="shared" si="7"/>
        <v>508</v>
      </c>
      <c r="N34" s="811"/>
      <c r="O34" s="697"/>
      <c r="P34" s="848"/>
      <c r="Q34" s="697">
        <f t="shared" si="1"/>
        <v>0</v>
      </c>
      <c r="R34" s="695"/>
      <c r="S34" s="986"/>
      <c r="T34" s="858">
        <f t="shared" si="13"/>
        <v>0</v>
      </c>
      <c r="U34" s="731">
        <f t="shared" si="14"/>
        <v>15197.78</v>
      </c>
    </row>
    <row r="35" spans="2:21" x14ac:dyDescent="0.25">
      <c r="B35" s="856">
        <f t="shared" si="4"/>
        <v>0</v>
      </c>
      <c r="C35" s="811">
        <v>10</v>
      </c>
      <c r="D35" s="984"/>
      <c r="E35" s="983"/>
      <c r="F35" s="1160">
        <v>245.2</v>
      </c>
      <c r="G35" s="1161"/>
      <c r="H35" s="1162"/>
      <c r="I35" s="1194">
        <f t="shared" si="11"/>
        <v>0</v>
      </c>
      <c r="J35" s="1163">
        <f t="shared" si="12"/>
        <v>-3.0127011996228248E-12</v>
      </c>
      <c r="M35" s="856">
        <f t="shared" si="7"/>
        <v>508</v>
      </c>
      <c r="N35" s="811"/>
      <c r="O35" s="697"/>
      <c r="P35" s="848"/>
      <c r="Q35" s="697">
        <f t="shared" si="1"/>
        <v>0</v>
      </c>
      <c r="R35" s="695"/>
      <c r="S35" s="986"/>
      <c r="T35" s="858">
        <f t="shared" si="13"/>
        <v>0</v>
      </c>
      <c r="U35" s="731">
        <f t="shared" si="14"/>
        <v>15197.78</v>
      </c>
    </row>
    <row r="36" spans="2:21" x14ac:dyDescent="0.25">
      <c r="B36" s="856">
        <f t="shared" si="4"/>
        <v>0</v>
      </c>
      <c r="C36" s="811"/>
      <c r="D36" s="984"/>
      <c r="E36" s="983"/>
      <c r="F36" s="1160">
        <f t="shared" si="5"/>
        <v>0</v>
      </c>
      <c r="G36" s="1161"/>
      <c r="H36" s="1162"/>
      <c r="I36" s="1194">
        <f t="shared" si="11"/>
        <v>0</v>
      </c>
      <c r="J36" s="1163">
        <f t="shared" si="12"/>
        <v>-3.0127011996228248E-12</v>
      </c>
      <c r="M36" s="856">
        <f t="shared" si="7"/>
        <v>508</v>
      </c>
      <c r="N36" s="811"/>
      <c r="O36" s="697"/>
      <c r="P36" s="848"/>
      <c r="Q36" s="697">
        <f t="shared" si="1"/>
        <v>0</v>
      </c>
      <c r="R36" s="695"/>
      <c r="S36" s="986"/>
      <c r="T36" s="858">
        <f t="shared" si="13"/>
        <v>0</v>
      </c>
      <c r="U36" s="731">
        <f t="shared" si="14"/>
        <v>15197.78</v>
      </c>
    </row>
    <row r="37" spans="2:21" ht="15.75" thickBot="1" x14ac:dyDescent="0.3">
      <c r="B37" s="856">
        <f t="shared" si="4"/>
        <v>0</v>
      </c>
      <c r="C37" s="859"/>
      <c r="D37" s="997">
        <f t="shared" ref="D37" si="15">C37*B37</f>
        <v>0</v>
      </c>
      <c r="E37" s="998"/>
      <c r="F37" s="997">
        <f t="shared" si="5"/>
        <v>0</v>
      </c>
      <c r="G37" s="999"/>
      <c r="H37" s="1000"/>
      <c r="I37" s="860">
        <f t="shared" si="2"/>
        <v>0</v>
      </c>
      <c r="J37" s="731">
        <f t="shared" si="9"/>
        <v>-3.0127011996228248E-12</v>
      </c>
      <c r="M37" s="856">
        <f t="shared" si="7"/>
        <v>508</v>
      </c>
      <c r="N37" s="859"/>
      <c r="O37" s="1119">
        <f t="shared" ref="O37" si="16">N37*M37</f>
        <v>0</v>
      </c>
      <c r="P37" s="1120"/>
      <c r="Q37" s="1119">
        <f t="shared" si="1"/>
        <v>0</v>
      </c>
      <c r="R37" s="1121"/>
      <c r="S37" s="1000"/>
      <c r="T37" s="860">
        <f t="shared" si="3"/>
        <v>0</v>
      </c>
      <c r="U37" s="731">
        <f t="shared" si="10"/>
        <v>15197.78</v>
      </c>
    </row>
    <row r="38" spans="2:21" ht="16.5" thickTop="1" x14ac:dyDescent="0.25">
      <c r="B38" s="729"/>
      <c r="C38" s="811">
        <f>SUM(C9:C37)</f>
        <v>668</v>
      </c>
      <c r="D38" s="861">
        <f>SUM(D9:D37)</f>
        <v>18759.299999999996</v>
      </c>
      <c r="E38" s="862"/>
      <c r="F38" s="697">
        <f>SUM(F9:F37)</f>
        <v>19004.499999999996</v>
      </c>
      <c r="G38" s="863"/>
      <c r="H38" s="860"/>
      <c r="I38" s="864">
        <f>SUM(I9:I37)</f>
        <v>945390.2</v>
      </c>
      <c r="J38" s="729"/>
      <c r="M38" s="729"/>
      <c r="N38" s="811">
        <f>SUM(N9:N37)</f>
        <v>122</v>
      </c>
      <c r="O38" s="861">
        <f>SUM(O9:O37)</f>
        <v>3615.42</v>
      </c>
      <c r="P38" s="862"/>
      <c r="Q38" s="697">
        <f>SUM(Q9:Q37)</f>
        <v>3615.42</v>
      </c>
      <c r="R38" s="863"/>
      <c r="S38" s="860"/>
      <c r="T38" s="864">
        <f>SUM(T9:T37)</f>
        <v>185621.4</v>
      </c>
      <c r="U38" s="729"/>
    </row>
    <row r="39" spans="2:21" ht="15.75" thickBot="1" x14ac:dyDescent="0.3">
      <c r="B39" s="729"/>
      <c r="C39" s="811"/>
      <c r="D39" s="865"/>
      <c r="E39" s="862"/>
      <c r="F39" s="865"/>
      <c r="G39" s="863"/>
      <c r="H39" s="860"/>
      <c r="I39" s="729"/>
      <c r="J39" s="729"/>
      <c r="M39" s="729"/>
      <c r="N39" s="811"/>
      <c r="O39" s="865"/>
      <c r="P39" s="862"/>
      <c r="Q39" s="865"/>
      <c r="R39" s="863"/>
      <c r="S39" s="860"/>
      <c r="T39" s="729"/>
      <c r="U39" s="729"/>
    </row>
    <row r="40" spans="2:21" x14ac:dyDescent="0.25">
      <c r="B40" s="729"/>
      <c r="C40" s="866" t="s">
        <v>4</v>
      </c>
      <c r="D40" s="867">
        <f>F4+F5+F6+F7-C38</f>
        <v>0</v>
      </c>
      <c r="E40" s="868"/>
      <c r="F40" s="865"/>
      <c r="G40" s="863"/>
      <c r="H40" s="860"/>
      <c r="I40" s="729"/>
      <c r="J40" s="729"/>
      <c r="M40" s="729"/>
      <c r="N40" s="866" t="s">
        <v>4</v>
      </c>
      <c r="O40" s="867">
        <f>Q4+Q5+Q6+Q7-N38</f>
        <v>508</v>
      </c>
      <c r="P40" s="868"/>
      <c r="Q40" s="865"/>
      <c r="R40" s="863"/>
      <c r="S40" s="860"/>
      <c r="T40" s="729"/>
      <c r="U40" s="729"/>
    </row>
    <row r="41" spans="2:21" x14ac:dyDescent="0.25">
      <c r="B41" s="729"/>
      <c r="C41" s="1440" t="s">
        <v>19</v>
      </c>
      <c r="D41" s="1441"/>
      <c r="E41" s="869">
        <f>E4+E5+E6+E7-F38</f>
        <v>0</v>
      </c>
      <c r="F41" s="865"/>
      <c r="G41" s="865"/>
      <c r="H41" s="860"/>
      <c r="I41" s="729"/>
      <c r="J41" s="729"/>
      <c r="M41" s="729"/>
      <c r="N41" s="1440" t="s">
        <v>19</v>
      </c>
      <c r="O41" s="1441"/>
      <c r="P41" s="869">
        <f>P4+P5+P6+P7-Q38</f>
        <v>15197.78</v>
      </c>
      <c r="Q41" s="865"/>
      <c r="R41" s="865"/>
      <c r="S41" s="860"/>
      <c r="T41" s="729"/>
      <c r="U41" s="729"/>
    </row>
    <row r="42" spans="2:21" ht="15.75" thickBot="1" x14ac:dyDescent="0.3">
      <c r="C42" s="44"/>
      <c r="D42" s="43"/>
      <c r="E42" s="41"/>
      <c r="F42" s="6"/>
      <c r="G42" s="31"/>
      <c r="H42" s="17"/>
      <c r="N42" s="44"/>
      <c r="O42" s="43"/>
      <c r="P42" s="41"/>
      <c r="Q42" s="6"/>
      <c r="R42" s="31"/>
      <c r="S42" s="17"/>
    </row>
    <row r="43" spans="2:21" x14ac:dyDescent="0.25">
      <c r="C43" s="15"/>
      <c r="D43" s="6"/>
      <c r="E43" s="13"/>
      <c r="F43" s="6"/>
      <c r="G43" s="31"/>
      <c r="H43" s="17"/>
      <c r="N43" s="15"/>
      <c r="O43" s="6"/>
      <c r="P43" s="13"/>
      <c r="Q43" s="6"/>
      <c r="R43" s="31"/>
      <c r="S43" s="17"/>
    </row>
  </sheetData>
  <mergeCells count="8">
    <mergeCell ref="A1:G1"/>
    <mergeCell ref="A5:A6"/>
    <mergeCell ref="B5:B6"/>
    <mergeCell ref="C41:D41"/>
    <mergeCell ref="L1:R1"/>
    <mergeCell ref="L5:L6"/>
    <mergeCell ref="M5:M6"/>
    <mergeCell ref="N41:O41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100"/>
  <sheetViews>
    <sheetView workbookViewId="0">
      <selection activeCell="D19" sqref="D19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390"/>
      <c r="B1" s="1390"/>
      <c r="C1" s="1390"/>
      <c r="D1" s="1390"/>
      <c r="E1" s="1390"/>
      <c r="F1" s="1390"/>
      <c r="G1" s="1390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A4" s="75"/>
      <c r="B4" s="144"/>
      <c r="C4" s="224"/>
      <c r="D4" s="118"/>
      <c r="E4" s="492"/>
      <c r="F4" s="239"/>
    </row>
    <row r="5" spans="1:10" ht="16.5" thickBot="1" x14ac:dyDescent="0.3">
      <c r="A5" s="1444"/>
      <c r="B5" s="1446" t="s">
        <v>78</v>
      </c>
      <c r="C5" s="547"/>
      <c r="D5" s="552"/>
      <c r="E5" s="493"/>
      <c r="F5" s="240"/>
      <c r="G5" s="147">
        <f>F97</f>
        <v>0</v>
      </c>
      <c r="H5" s="58">
        <f>E4+E5+E6-G5</f>
        <v>0</v>
      </c>
    </row>
    <row r="6" spans="1:10" ht="16.5" thickTop="1" thickBot="1" x14ac:dyDescent="0.3">
      <c r="A6" s="1445"/>
      <c r="B6" s="1447"/>
      <c r="C6" s="224"/>
      <c r="D6" s="118"/>
      <c r="E6" s="492"/>
      <c r="F6" s="239"/>
      <c r="I6" s="1448" t="s">
        <v>3</v>
      </c>
      <c r="J6" s="1442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449"/>
      <c r="J7" s="1443"/>
    </row>
    <row r="8" spans="1:10" ht="15.75" thickTop="1" x14ac:dyDescent="0.25">
      <c r="A8" s="80" t="s">
        <v>32</v>
      </c>
      <c r="B8" s="83"/>
      <c r="C8" s="15"/>
      <c r="D8" s="174"/>
      <c r="E8" s="245"/>
      <c r="F8" s="69">
        <f t="shared" ref="F8:F13" si="0">D8</f>
        <v>0</v>
      </c>
      <c r="G8" s="70"/>
      <c r="H8" s="128"/>
      <c r="I8" s="208">
        <f>E5+E4-F8+E6</f>
        <v>0</v>
      </c>
      <c r="J8" s="127">
        <f>F4+F5+F6-C8</f>
        <v>0</v>
      </c>
    </row>
    <row r="9" spans="1:10" x14ac:dyDescent="0.25">
      <c r="A9" s="194"/>
      <c r="B9" s="83"/>
      <c r="C9" s="15"/>
      <c r="D9" s="174"/>
      <c r="E9" s="245"/>
      <c r="F9" s="69">
        <f t="shared" si="0"/>
        <v>0</v>
      </c>
      <c r="G9" s="70"/>
      <c r="H9" s="128"/>
      <c r="I9" s="208">
        <f>I8-F9</f>
        <v>0</v>
      </c>
      <c r="J9" s="127">
        <f>J8-C9</f>
        <v>0</v>
      </c>
    </row>
    <row r="10" spans="1:10" x14ac:dyDescent="0.25">
      <c r="A10" s="182"/>
      <c r="B10" s="83"/>
      <c r="C10" s="15"/>
      <c r="D10" s="174"/>
      <c r="E10" s="245"/>
      <c r="F10" s="69">
        <f t="shared" si="0"/>
        <v>0</v>
      </c>
      <c r="G10" s="70"/>
      <c r="H10" s="128"/>
      <c r="I10" s="208">
        <f t="shared" ref="I10:I40" si="1">I9-F10</f>
        <v>0</v>
      </c>
      <c r="J10" s="127">
        <f t="shared" ref="J10:J58" si="2">J9-C10</f>
        <v>0</v>
      </c>
    </row>
    <row r="11" spans="1:10" x14ac:dyDescent="0.25">
      <c r="A11" s="82" t="s">
        <v>33</v>
      </c>
      <c r="B11" s="83"/>
      <c r="C11" s="15"/>
      <c r="D11" s="174"/>
      <c r="E11" s="245"/>
      <c r="F11" s="69">
        <f t="shared" si="0"/>
        <v>0</v>
      </c>
      <c r="G11" s="70"/>
      <c r="H11" s="128"/>
      <c r="I11" s="208">
        <f t="shared" si="1"/>
        <v>0</v>
      </c>
      <c r="J11" s="127">
        <f t="shared" si="2"/>
        <v>0</v>
      </c>
    </row>
    <row r="12" spans="1:10" x14ac:dyDescent="0.25">
      <c r="A12" s="73"/>
      <c r="B12" s="83"/>
      <c r="C12" s="15"/>
      <c r="D12" s="174"/>
      <c r="E12" s="245"/>
      <c r="F12" s="69">
        <f t="shared" si="0"/>
        <v>0</v>
      </c>
      <c r="G12" s="70"/>
      <c r="H12" s="128"/>
      <c r="I12" s="208">
        <f t="shared" si="1"/>
        <v>0</v>
      </c>
      <c r="J12" s="127">
        <f t="shared" si="2"/>
        <v>0</v>
      </c>
    </row>
    <row r="13" spans="1:10" x14ac:dyDescent="0.25">
      <c r="A13" s="73"/>
      <c r="B13" s="83"/>
      <c r="C13" s="15"/>
      <c r="D13" s="174"/>
      <c r="E13" s="244"/>
      <c r="F13" s="69">
        <f t="shared" si="0"/>
        <v>0</v>
      </c>
      <c r="G13" s="70"/>
      <c r="H13" s="128"/>
      <c r="I13" s="208">
        <f t="shared" si="1"/>
        <v>0</v>
      </c>
      <c r="J13" s="127">
        <f t="shared" si="2"/>
        <v>0</v>
      </c>
    </row>
    <row r="14" spans="1:10" x14ac:dyDescent="0.25">
      <c r="B14" s="83"/>
      <c r="C14" s="15"/>
      <c r="D14" s="174"/>
      <c r="E14" s="244"/>
      <c r="F14" s="69">
        <f>D14</f>
        <v>0</v>
      </c>
      <c r="G14" s="70"/>
      <c r="H14" s="128"/>
      <c r="I14" s="208">
        <f t="shared" si="1"/>
        <v>0</v>
      </c>
      <c r="J14" s="127">
        <f t="shared" si="2"/>
        <v>0</v>
      </c>
    </row>
    <row r="15" spans="1:10" x14ac:dyDescent="0.25">
      <c r="B15" s="83"/>
      <c r="C15" s="15"/>
      <c r="D15" s="174"/>
      <c r="E15" s="244"/>
      <c r="F15" s="69">
        <f>D15</f>
        <v>0</v>
      </c>
      <c r="G15" s="70"/>
      <c r="H15" s="128"/>
      <c r="I15" s="208">
        <f t="shared" si="1"/>
        <v>0</v>
      </c>
      <c r="J15" s="127">
        <f t="shared" si="2"/>
        <v>0</v>
      </c>
    </row>
    <row r="16" spans="1:10" x14ac:dyDescent="0.25">
      <c r="A16" s="81"/>
      <c r="B16" s="83"/>
      <c r="C16" s="15"/>
      <c r="D16" s="174"/>
      <c r="E16" s="252"/>
      <c r="F16" s="69">
        <f>D16</f>
        <v>0</v>
      </c>
      <c r="G16" s="70"/>
      <c r="H16" s="128"/>
      <c r="I16" s="208">
        <f t="shared" si="1"/>
        <v>0</v>
      </c>
      <c r="J16" s="127">
        <f t="shared" si="2"/>
        <v>0</v>
      </c>
    </row>
    <row r="17" spans="1:10" x14ac:dyDescent="0.25">
      <c r="A17" s="83"/>
      <c r="B17" s="83"/>
      <c r="C17" s="15"/>
      <c r="D17" s="174"/>
      <c r="E17" s="252"/>
      <c r="F17" s="69">
        <f t="shared" ref="F17:F41" si="3">D17</f>
        <v>0</v>
      </c>
      <c r="G17" s="406"/>
      <c r="H17" s="128"/>
      <c r="I17" s="208">
        <f t="shared" si="1"/>
        <v>0</v>
      </c>
      <c r="J17" s="127">
        <f t="shared" si="2"/>
        <v>0</v>
      </c>
    </row>
    <row r="18" spans="1:10" x14ac:dyDescent="0.25">
      <c r="A18" s="2"/>
      <c r="B18" s="83"/>
      <c r="C18" s="15"/>
      <c r="D18" s="174"/>
      <c r="E18" s="252"/>
      <c r="F18" s="69">
        <f t="shared" si="3"/>
        <v>0</v>
      </c>
      <c r="G18" s="70"/>
      <c r="H18" s="128"/>
      <c r="I18" s="208">
        <f t="shared" si="1"/>
        <v>0</v>
      </c>
      <c r="J18" s="127">
        <f t="shared" si="2"/>
        <v>0</v>
      </c>
    </row>
    <row r="19" spans="1:10" x14ac:dyDescent="0.25">
      <c r="A19" s="2"/>
      <c r="B19" s="83"/>
      <c r="C19" s="15"/>
      <c r="D19" s="174"/>
      <c r="E19" s="252"/>
      <c r="F19" s="69">
        <f t="shared" si="3"/>
        <v>0</v>
      </c>
      <c r="G19" s="70"/>
      <c r="H19" s="128"/>
      <c r="I19" s="208">
        <f t="shared" si="1"/>
        <v>0</v>
      </c>
      <c r="J19" s="127">
        <f t="shared" si="2"/>
        <v>0</v>
      </c>
    </row>
    <row r="20" spans="1:10" x14ac:dyDescent="0.25">
      <c r="A20" s="2"/>
      <c r="B20" s="83"/>
      <c r="C20" s="15"/>
      <c r="D20" s="174"/>
      <c r="E20" s="244"/>
      <c r="F20" s="69">
        <f t="shared" si="3"/>
        <v>0</v>
      </c>
      <c r="G20" s="70"/>
      <c r="H20" s="128"/>
      <c r="I20" s="208">
        <f t="shared" si="1"/>
        <v>0</v>
      </c>
      <c r="J20" s="127">
        <f t="shared" si="2"/>
        <v>0</v>
      </c>
    </row>
    <row r="21" spans="1:10" x14ac:dyDescent="0.25">
      <c r="A21" s="2"/>
      <c r="B21" s="83"/>
      <c r="C21" s="15"/>
      <c r="D21" s="174"/>
      <c r="E21" s="244"/>
      <c r="F21" s="69">
        <f t="shared" si="3"/>
        <v>0</v>
      </c>
      <c r="G21" s="70"/>
      <c r="H21" s="128"/>
      <c r="I21" s="208">
        <f t="shared" si="1"/>
        <v>0</v>
      </c>
      <c r="J21" s="127">
        <f t="shared" si="2"/>
        <v>0</v>
      </c>
    </row>
    <row r="22" spans="1:10" x14ac:dyDescent="0.25">
      <c r="A22" s="2"/>
      <c r="B22" s="83"/>
      <c r="C22" s="15"/>
      <c r="D22" s="174"/>
      <c r="E22" s="244"/>
      <c r="F22" s="69">
        <f t="shared" si="3"/>
        <v>0</v>
      </c>
      <c r="G22" s="70"/>
      <c r="H22" s="128"/>
      <c r="I22" s="208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74"/>
      <c r="E23" s="244"/>
      <c r="F23" s="69">
        <f t="shared" si="3"/>
        <v>0</v>
      </c>
      <c r="G23" s="70"/>
      <c r="H23" s="128"/>
      <c r="I23" s="208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74"/>
      <c r="E24" s="252"/>
      <c r="F24" s="69">
        <f t="shared" si="3"/>
        <v>0</v>
      </c>
      <c r="G24" s="70"/>
      <c r="H24" s="128"/>
      <c r="I24" s="208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74"/>
      <c r="E25" s="252"/>
      <c r="F25" s="69">
        <f t="shared" si="3"/>
        <v>0</v>
      </c>
      <c r="G25" s="70"/>
      <c r="H25" s="128"/>
      <c r="I25" s="208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74"/>
      <c r="E26" s="252"/>
      <c r="F26" s="69">
        <f t="shared" si="3"/>
        <v>0</v>
      </c>
      <c r="G26" s="70"/>
      <c r="H26" s="128"/>
      <c r="I26" s="208">
        <f t="shared" si="1"/>
        <v>0</v>
      </c>
      <c r="J26" s="127">
        <f t="shared" si="2"/>
        <v>0</v>
      </c>
    </row>
    <row r="27" spans="1:10" x14ac:dyDescent="0.25">
      <c r="A27" s="175"/>
      <c r="B27" s="83"/>
      <c r="C27" s="15"/>
      <c r="D27" s="174"/>
      <c r="E27" s="252"/>
      <c r="F27" s="69">
        <f t="shared" si="3"/>
        <v>0</v>
      </c>
      <c r="G27" s="70"/>
      <c r="H27" s="128"/>
      <c r="I27" s="208">
        <f t="shared" si="1"/>
        <v>0</v>
      </c>
      <c r="J27" s="127">
        <f t="shared" si="2"/>
        <v>0</v>
      </c>
    </row>
    <row r="28" spans="1:10" x14ac:dyDescent="0.25">
      <c r="A28" s="175"/>
      <c r="B28" s="83"/>
      <c r="C28" s="15"/>
      <c r="D28" s="174"/>
      <c r="E28" s="244"/>
      <c r="F28" s="69">
        <f t="shared" si="3"/>
        <v>0</v>
      </c>
      <c r="G28" s="70"/>
      <c r="H28" s="128"/>
      <c r="I28" s="208">
        <f t="shared" si="1"/>
        <v>0</v>
      </c>
      <c r="J28" s="127">
        <f t="shared" si="2"/>
        <v>0</v>
      </c>
    </row>
    <row r="29" spans="1:10" x14ac:dyDescent="0.25">
      <c r="A29" s="175"/>
      <c r="B29" s="83"/>
      <c r="C29" s="15"/>
      <c r="D29" s="174"/>
      <c r="E29" s="244"/>
      <c r="F29" s="69">
        <f t="shared" si="3"/>
        <v>0</v>
      </c>
      <c r="G29" s="70"/>
      <c r="H29" s="128"/>
      <c r="I29" s="208">
        <f t="shared" si="1"/>
        <v>0</v>
      </c>
      <c r="J29" s="127">
        <f t="shared" si="2"/>
        <v>0</v>
      </c>
    </row>
    <row r="30" spans="1:10" x14ac:dyDescent="0.25">
      <c r="A30" s="175"/>
      <c r="B30" s="83"/>
      <c r="C30" s="15"/>
      <c r="D30" s="174"/>
      <c r="E30" s="244"/>
      <c r="F30" s="69">
        <f t="shared" si="3"/>
        <v>0</v>
      </c>
      <c r="G30" s="70"/>
      <c r="H30" s="128"/>
      <c r="I30" s="208">
        <f t="shared" si="1"/>
        <v>0</v>
      </c>
      <c r="J30" s="127">
        <f t="shared" si="2"/>
        <v>0</v>
      </c>
    </row>
    <row r="31" spans="1:10" x14ac:dyDescent="0.25">
      <c r="A31" s="175"/>
      <c r="B31" s="83"/>
      <c r="C31" s="15"/>
      <c r="D31" s="174"/>
      <c r="E31" s="244"/>
      <c r="F31" s="69">
        <f t="shared" si="3"/>
        <v>0</v>
      </c>
      <c r="G31" s="70"/>
      <c r="H31" s="128"/>
      <c r="I31" s="208">
        <f t="shared" si="1"/>
        <v>0</v>
      </c>
      <c r="J31" s="127">
        <f t="shared" si="2"/>
        <v>0</v>
      </c>
    </row>
    <row r="32" spans="1:10" x14ac:dyDescent="0.25">
      <c r="A32" s="2"/>
      <c r="B32" s="83"/>
      <c r="C32" s="15"/>
      <c r="D32" s="174"/>
      <c r="E32" s="244"/>
      <c r="F32" s="69">
        <f t="shared" si="3"/>
        <v>0</v>
      </c>
      <c r="G32" s="70"/>
      <c r="H32" s="128"/>
      <c r="I32" s="208">
        <f t="shared" si="1"/>
        <v>0</v>
      </c>
      <c r="J32" s="127">
        <f t="shared" si="2"/>
        <v>0</v>
      </c>
    </row>
    <row r="33" spans="1:10" x14ac:dyDescent="0.25">
      <c r="A33" s="2"/>
      <c r="B33" s="83"/>
      <c r="C33" s="15"/>
      <c r="D33" s="174"/>
      <c r="E33" s="244"/>
      <c r="F33" s="69">
        <f t="shared" si="3"/>
        <v>0</v>
      </c>
      <c r="G33" s="70"/>
      <c r="H33" s="128"/>
      <c r="I33" s="208">
        <f t="shared" si="1"/>
        <v>0</v>
      </c>
      <c r="J33" s="127">
        <f t="shared" si="2"/>
        <v>0</v>
      </c>
    </row>
    <row r="34" spans="1:10" x14ac:dyDescent="0.25">
      <c r="A34" s="2"/>
      <c r="B34" s="83"/>
      <c r="C34" s="15"/>
      <c r="D34" s="174"/>
      <c r="E34" s="244"/>
      <c r="F34" s="69">
        <f t="shared" si="3"/>
        <v>0</v>
      </c>
      <c r="G34" s="70"/>
      <c r="H34" s="128"/>
      <c r="I34" s="208">
        <f t="shared" si="1"/>
        <v>0</v>
      </c>
      <c r="J34" s="127">
        <f t="shared" si="2"/>
        <v>0</v>
      </c>
    </row>
    <row r="35" spans="1:10" x14ac:dyDescent="0.25">
      <c r="A35" s="2"/>
      <c r="B35" s="83"/>
      <c r="C35" s="15"/>
      <c r="D35" s="174"/>
      <c r="E35" s="245"/>
      <c r="F35" s="69">
        <f t="shared" si="3"/>
        <v>0</v>
      </c>
      <c r="G35" s="70"/>
      <c r="H35" s="128"/>
      <c r="I35" s="208">
        <f t="shared" si="1"/>
        <v>0</v>
      </c>
      <c r="J35" s="127">
        <f t="shared" si="2"/>
        <v>0</v>
      </c>
    </row>
    <row r="36" spans="1:10" x14ac:dyDescent="0.25">
      <c r="A36" s="2"/>
      <c r="B36" s="83"/>
      <c r="C36" s="15"/>
      <c r="D36" s="174"/>
      <c r="E36" s="245"/>
      <c r="F36" s="69">
        <f t="shared" si="3"/>
        <v>0</v>
      </c>
      <c r="G36" s="70"/>
      <c r="H36" s="128"/>
      <c r="I36" s="208">
        <f t="shared" si="1"/>
        <v>0</v>
      </c>
      <c r="J36" s="127">
        <f t="shared" si="2"/>
        <v>0</v>
      </c>
    </row>
    <row r="37" spans="1:10" x14ac:dyDescent="0.25">
      <c r="A37" s="2"/>
      <c r="B37" s="83"/>
      <c r="C37" s="15"/>
      <c r="D37" s="174"/>
      <c r="E37" s="245"/>
      <c r="F37" s="69">
        <f t="shared" si="3"/>
        <v>0</v>
      </c>
      <c r="G37" s="70"/>
      <c r="H37" s="128"/>
      <c r="I37" s="208">
        <f t="shared" si="1"/>
        <v>0</v>
      </c>
      <c r="J37" s="127">
        <f t="shared" si="2"/>
        <v>0</v>
      </c>
    </row>
    <row r="38" spans="1:10" x14ac:dyDescent="0.25">
      <c r="A38" s="2"/>
      <c r="B38" s="83"/>
      <c r="C38" s="15"/>
      <c r="D38" s="174"/>
      <c r="E38" s="245"/>
      <c r="F38" s="69">
        <f t="shared" si="3"/>
        <v>0</v>
      </c>
      <c r="G38" s="70"/>
      <c r="H38" s="128"/>
      <c r="I38" s="208">
        <f t="shared" si="1"/>
        <v>0</v>
      </c>
      <c r="J38" s="127">
        <f t="shared" si="2"/>
        <v>0</v>
      </c>
    </row>
    <row r="39" spans="1:10" x14ac:dyDescent="0.25">
      <c r="A39" s="2"/>
      <c r="B39" s="83"/>
      <c r="C39" s="15"/>
      <c r="D39" s="174">
        <f t="shared" ref="D39:D41" si="4">C39*B39</f>
        <v>0</v>
      </c>
      <c r="E39" s="245"/>
      <c r="F39" s="69">
        <f t="shared" si="3"/>
        <v>0</v>
      </c>
      <c r="G39" s="70"/>
      <c r="H39" s="128"/>
      <c r="I39" s="208">
        <f t="shared" si="1"/>
        <v>0</v>
      </c>
      <c r="J39" s="127">
        <f t="shared" si="2"/>
        <v>0</v>
      </c>
    </row>
    <row r="40" spans="1:10" x14ac:dyDescent="0.25">
      <c r="A40" s="2"/>
      <c r="B40" s="83"/>
      <c r="C40" s="15"/>
      <c r="D40" s="174">
        <f t="shared" si="4"/>
        <v>0</v>
      </c>
      <c r="E40" s="245"/>
      <c r="F40" s="69">
        <f t="shared" si="3"/>
        <v>0</v>
      </c>
      <c r="G40" s="70"/>
      <c r="H40" s="71"/>
      <c r="I40" s="208">
        <f t="shared" si="1"/>
        <v>0</v>
      </c>
      <c r="J40" s="127">
        <f t="shared" si="2"/>
        <v>0</v>
      </c>
    </row>
    <row r="41" spans="1:10" x14ac:dyDescent="0.25">
      <c r="A41" s="2"/>
      <c r="B41" s="83"/>
      <c r="C41" s="15"/>
      <c r="D41" s="174">
        <f t="shared" si="4"/>
        <v>0</v>
      </c>
      <c r="E41" s="245"/>
      <c r="F41" s="69">
        <f t="shared" si="3"/>
        <v>0</v>
      </c>
      <c r="G41" s="70"/>
      <c r="H41" s="71"/>
      <c r="I41" s="208">
        <f>I40-F41</f>
        <v>0</v>
      </c>
      <c r="J41" s="127">
        <f t="shared" si="2"/>
        <v>0</v>
      </c>
    </row>
    <row r="42" spans="1:10" x14ac:dyDescent="0.25">
      <c r="A42" s="2"/>
      <c r="B42" s="83"/>
      <c r="C42" s="15"/>
      <c r="D42" s="174"/>
      <c r="E42" s="245"/>
      <c r="F42" s="69"/>
      <c r="G42" s="70"/>
      <c r="H42" s="71"/>
      <c r="I42" s="208">
        <f t="shared" ref="I42:I58" si="5">I41-F42</f>
        <v>0</v>
      </c>
      <c r="J42" s="127">
        <f t="shared" si="2"/>
        <v>0</v>
      </c>
    </row>
    <row r="43" spans="1:10" x14ac:dyDescent="0.25">
      <c r="A43" s="2"/>
      <c r="B43" s="83"/>
      <c r="C43" s="15"/>
      <c r="D43" s="174"/>
      <c r="E43" s="245"/>
      <c r="F43" s="69"/>
      <c r="G43" s="70"/>
      <c r="H43" s="71"/>
      <c r="I43" s="208">
        <f t="shared" si="5"/>
        <v>0</v>
      </c>
      <c r="J43" s="127">
        <f t="shared" si="2"/>
        <v>0</v>
      </c>
    </row>
    <row r="44" spans="1:10" x14ac:dyDescent="0.25">
      <c r="A44" s="2"/>
      <c r="B44" s="83"/>
      <c r="C44" s="15"/>
      <c r="D44" s="174"/>
      <c r="E44" s="245"/>
      <c r="F44" s="69"/>
      <c r="G44" s="70"/>
      <c r="H44" s="71"/>
      <c r="I44" s="208">
        <f t="shared" si="5"/>
        <v>0</v>
      </c>
      <c r="J44" s="127">
        <f t="shared" si="2"/>
        <v>0</v>
      </c>
    </row>
    <row r="45" spans="1:10" x14ac:dyDescent="0.25">
      <c r="A45" s="2"/>
      <c r="B45" s="83"/>
      <c r="C45" s="15"/>
      <c r="D45" s="174"/>
      <c r="E45" s="245"/>
      <c r="F45" s="69"/>
      <c r="G45" s="70"/>
      <c r="H45" s="71"/>
      <c r="I45" s="208">
        <f t="shared" si="5"/>
        <v>0</v>
      </c>
      <c r="J45" s="127">
        <f t="shared" si="2"/>
        <v>0</v>
      </c>
    </row>
    <row r="46" spans="1:10" x14ac:dyDescent="0.25">
      <c r="A46" s="2"/>
      <c r="B46" s="83"/>
      <c r="C46" s="15"/>
      <c r="D46" s="174"/>
      <c r="E46" s="245"/>
      <c r="F46" s="69"/>
      <c r="G46" s="70"/>
      <c r="H46" s="71"/>
      <c r="I46" s="208">
        <f t="shared" si="5"/>
        <v>0</v>
      </c>
      <c r="J46" s="127">
        <f t="shared" si="2"/>
        <v>0</v>
      </c>
    </row>
    <row r="47" spans="1:10" x14ac:dyDescent="0.25">
      <c r="A47" s="2"/>
      <c r="B47" s="83"/>
      <c r="C47" s="15"/>
      <c r="D47" s="174"/>
      <c r="E47" s="245"/>
      <c r="F47" s="69"/>
      <c r="G47" s="70"/>
      <c r="H47" s="71"/>
      <c r="I47" s="208">
        <f t="shared" si="5"/>
        <v>0</v>
      </c>
      <c r="J47" s="127">
        <f t="shared" si="2"/>
        <v>0</v>
      </c>
    </row>
    <row r="48" spans="1:10" x14ac:dyDescent="0.25">
      <c r="A48" s="2"/>
      <c r="B48" s="83"/>
      <c r="C48" s="15"/>
      <c r="D48" s="174"/>
      <c r="E48" s="245"/>
      <c r="F48" s="69"/>
      <c r="G48" s="70"/>
      <c r="H48" s="71"/>
      <c r="I48" s="208">
        <f t="shared" si="5"/>
        <v>0</v>
      </c>
      <c r="J48" s="127">
        <f t="shared" si="2"/>
        <v>0</v>
      </c>
    </row>
    <row r="49" spans="1:10" x14ac:dyDescent="0.25">
      <c r="A49" s="2"/>
      <c r="B49" s="83"/>
      <c r="C49" s="15"/>
      <c r="D49" s="174"/>
      <c r="E49" s="245"/>
      <c r="F49" s="69"/>
      <c r="G49" s="70"/>
      <c r="H49" s="71"/>
      <c r="I49" s="208">
        <f t="shared" si="5"/>
        <v>0</v>
      </c>
      <c r="J49" s="127">
        <f t="shared" si="2"/>
        <v>0</v>
      </c>
    </row>
    <row r="50" spans="1:10" x14ac:dyDescent="0.25">
      <c r="A50" s="2"/>
      <c r="B50" s="83"/>
      <c r="C50" s="15"/>
      <c r="D50" s="174"/>
      <c r="E50" s="245"/>
      <c r="F50" s="69"/>
      <c r="G50" s="70"/>
      <c r="H50" s="71"/>
      <c r="I50" s="208">
        <f t="shared" si="5"/>
        <v>0</v>
      </c>
      <c r="J50" s="127">
        <f t="shared" si="2"/>
        <v>0</v>
      </c>
    </row>
    <row r="51" spans="1:10" x14ac:dyDescent="0.25">
      <c r="A51" s="2"/>
      <c r="B51" s="83"/>
      <c r="C51" s="15"/>
      <c r="D51" s="174"/>
      <c r="E51" s="245"/>
      <c r="F51" s="69"/>
      <c r="G51" s="70"/>
      <c r="H51" s="71"/>
      <c r="I51" s="208">
        <f t="shared" si="5"/>
        <v>0</v>
      </c>
      <c r="J51" s="127">
        <f t="shared" si="2"/>
        <v>0</v>
      </c>
    </row>
    <row r="52" spans="1:10" x14ac:dyDescent="0.25">
      <c r="A52" s="2"/>
      <c r="B52" s="83"/>
      <c r="C52" s="15"/>
      <c r="D52" s="174"/>
      <c r="E52" s="245"/>
      <c r="F52" s="69"/>
      <c r="G52" s="70"/>
      <c r="H52" s="71"/>
      <c r="I52" s="208">
        <f t="shared" si="5"/>
        <v>0</v>
      </c>
      <c r="J52" s="127">
        <f t="shared" si="2"/>
        <v>0</v>
      </c>
    </row>
    <row r="53" spans="1:10" x14ac:dyDescent="0.25">
      <c r="A53" s="2"/>
      <c r="B53" s="83"/>
      <c r="C53" s="15"/>
      <c r="D53" s="174"/>
      <c r="E53" s="245"/>
      <c r="F53" s="69"/>
      <c r="G53" s="70"/>
      <c r="H53" s="71"/>
      <c r="I53" s="208">
        <f t="shared" si="5"/>
        <v>0</v>
      </c>
      <c r="J53" s="127">
        <f t="shared" si="2"/>
        <v>0</v>
      </c>
    </row>
    <row r="54" spans="1:10" x14ac:dyDescent="0.25">
      <c r="A54" s="2"/>
      <c r="B54" s="83"/>
      <c r="C54" s="15"/>
      <c r="D54" s="174"/>
      <c r="E54" s="245"/>
      <c r="F54" s="69"/>
      <c r="G54" s="70"/>
      <c r="H54" s="71"/>
      <c r="I54" s="208">
        <f t="shared" si="5"/>
        <v>0</v>
      </c>
      <c r="J54" s="127">
        <f t="shared" si="2"/>
        <v>0</v>
      </c>
    </row>
    <row r="55" spans="1:10" x14ac:dyDescent="0.25">
      <c r="A55" s="2"/>
      <c r="B55" s="83"/>
      <c r="C55" s="15"/>
      <c r="D55" s="174"/>
      <c r="E55" s="245"/>
      <c r="F55" s="69"/>
      <c r="G55" s="70"/>
      <c r="H55" s="71"/>
      <c r="I55" s="208">
        <f t="shared" si="5"/>
        <v>0</v>
      </c>
      <c r="J55" s="127">
        <f t="shared" si="2"/>
        <v>0</v>
      </c>
    </row>
    <row r="56" spans="1:10" x14ac:dyDescent="0.25">
      <c r="A56" s="2"/>
      <c r="B56" s="83"/>
      <c r="C56" s="15"/>
      <c r="D56" s="174"/>
      <c r="E56" s="245"/>
      <c r="F56" s="69"/>
      <c r="G56" s="70"/>
      <c r="H56" s="71"/>
      <c r="I56" s="208">
        <f t="shared" si="5"/>
        <v>0</v>
      </c>
      <c r="J56" s="127">
        <f t="shared" si="2"/>
        <v>0</v>
      </c>
    </row>
    <row r="57" spans="1:10" x14ac:dyDescent="0.25">
      <c r="A57" s="2"/>
      <c r="B57" s="83"/>
      <c r="C57" s="15"/>
      <c r="D57" s="174"/>
      <c r="E57" s="245"/>
      <c r="F57" s="69"/>
      <c r="G57" s="70"/>
      <c r="H57" s="71"/>
      <c r="I57" s="208">
        <f t="shared" si="5"/>
        <v>0</v>
      </c>
      <c r="J57" s="127">
        <f t="shared" si="2"/>
        <v>0</v>
      </c>
    </row>
    <row r="58" spans="1:10" x14ac:dyDescent="0.25">
      <c r="A58" s="2"/>
      <c r="B58" s="83"/>
      <c r="C58" s="15"/>
      <c r="D58" s="174"/>
      <c r="E58" s="245"/>
      <c r="F58" s="69"/>
      <c r="G58" s="70"/>
      <c r="H58" s="71"/>
      <c r="I58" s="208">
        <f t="shared" si="5"/>
        <v>0</v>
      </c>
      <c r="J58" s="127">
        <f t="shared" si="2"/>
        <v>0</v>
      </c>
    </row>
    <row r="59" spans="1:10" x14ac:dyDescent="0.25">
      <c r="A59" s="2"/>
      <c r="B59" s="83"/>
      <c r="C59" s="15"/>
      <c r="D59" s="174"/>
      <c r="E59" s="245"/>
      <c r="F59" s="69"/>
      <c r="G59" s="70"/>
      <c r="H59" s="71"/>
      <c r="I59" s="208"/>
      <c r="J59" s="127"/>
    </row>
    <row r="60" spans="1:10" x14ac:dyDescent="0.25">
      <c r="A60" s="2"/>
      <c r="B60" s="83"/>
      <c r="C60" s="15"/>
      <c r="D60" s="174"/>
      <c r="E60" s="245"/>
      <c r="F60" s="69"/>
      <c r="G60" s="70"/>
      <c r="H60" s="71"/>
      <c r="I60" s="208"/>
      <c r="J60" s="127"/>
    </row>
    <row r="61" spans="1:10" x14ac:dyDescent="0.25">
      <c r="A61" s="2"/>
      <c r="B61" s="83"/>
      <c r="C61" s="15"/>
      <c r="D61" s="174"/>
      <c r="E61" s="245"/>
      <c r="F61" s="69"/>
      <c r="G61" s="70"/>
      <c r="H61" s="71"/>
      <c r="I61" s="208"/>
      <c r="J61" s="127"/>
    </row>
    <row r="62" spans="1:10" x14ac:dyDescent="0.25">
      <c r="A62" s="2"/>
      <c r="B62" s="83"/>
      <c r="C62" s="15"/>
      <c r="D62" s="174"/>
      <c r="E62" s="245"/>
      <c r="F62" s="69"/>
      <c r="G62" s="70"/>
      <c r="H62" s="71"/>
      <c r="I62" s="208"/>
      <c r="J62" s="127"/>
    </row>
    <row r="63" spans="1:10" x14ac:dyDescent="0.25">
      <c r="A63" s="2"/>
      <c r="B63" s="83"/>
      <c r="C63" s="15"/>
      <c r="D63" s="174"/>
      <c r="E63" s="245"/>
      <c r="F63" s="69"/>
      <c r="G63" s="70"/>
      <c r="H63" s="71"/>
      <c r="I63" s="208"/>
      <c r="J63" s="127"/>
    </row>
    <row r="64" spans="1:10" x14ac:dyDescent="0.25">
      <c r="A64" s="2"/>
      <c r="B64" s="83"/>
      <c r="C64" s="15"/>
      <c r="D64" s="174"/>
      <c r="E64" s="245"/>
      <c r="F64" s="69"/>
      <c r="G64" s="70"/>
      <c r="H64" s="71"/>
      <c r="I64" s="208"/>
      <c r="J64" s="127"/>
    </row>
    <row r="65" spans="1:10" x14ac:dyDescent="0.25">
      <c r="A65" s="2"/>
      <c r="B65" s="83"/>
      <c r="C65" s="15"/>
      <c r="D65" s="174"/>
      <c r="E65" s="245"/>
      <c r="F65" s="69"/>
      <c r="G65" s="70"/>
      <c r="H65" s="71"/>
      <c r="I65" s="208"/>
      <c r="J65" s="127"/>
    </row>
    <row r="66" spans="1:10" x14ac:dyDescent="0.25">
      <c r="A66" s="2"/>
      <c r="B66" s="83"/>
      <c r="C66" s="15"/>
      <c r="D66" s="174"/>
      <c r="E66" s="245"/>
      <c r="F66" s="69"/>
      <c r="G66" s="70"/>
      <c r="H66" s="71"/>
      <c r="I66" s="208"/>
      <c r="J66" s="127"/>
    </row>
    <row r="67" spans="1:10" x14ac:dyDescent="0.25">
      <c r="A67" s="2"/>
      <c r="B67" s="83"/>
      <c r="C67" s="15"/>
      <c r="D67" s="174"/>
      <c r="E67" s="245"/>
      <c r="F67" s="69"/>
      <c r="G67" s="70"/>
      <c r="H67" s="71"/>
      <c r="I67" s="208"/>
      <c r="J67" s="127"/>
    </row>
    <row r="68" spans="1:10" x14ac:dyDescent="0.25">
      <c r="A68" s="2"/>
      <c r="B68" s="83"/>
      <c r="C68" s="15"/>
      <c r="D68" s="174"/>
      <c r="E68" s="245"/>
      <c r="F68" s="69"/>
      <c r="G68" s="70"/>
      <c r="H68" s="71"/>
      <c r="I68" s="208"/>
      <c r="J68" s="127"/>
    </row>
    <row r="69" spans="1:10" x14ac:dyDescent="0.25">
      <c r="A69" s="2"/>
      <c r="B69" s="83"/>
      <c r="C69" s="15"/>
      <c r="D69" s="174"/>
      <c r="E69" s="245"/>
      <c r="F69" s="69"/>
      <c r="G69" s="70"/>
      <c r="H69" s="71"/>
      <c r="I69" s="208"/>
      <c r="J69" s="127"/>
    </row>
    <row r="70" spans="1:10" x14ac:dyDescent="0.25">
      <c r="A70" s="2"/>
      <c r="B70" s="83"/>
      <c r="C70" s="15"/>
      <c r="D70" s="174"/>
      <c r="E70" s="245"/>
      <c r="F70" s="69"/>
      <c r="G70" s="70"/>
      <c r="H70" s="71"/>
      <c r="I70" s="208"/>
      <c r="J70" s="127"/>
    </row>
    <row r="71" spans="1:10" x14ac:dyDescent="0.25">
      <c r="A71" s="2"/>
      <c r="B71" s="83"/>
      <c r="C71" s="15"/>
      <c r="D71" s="174"/>
      <c r="E71" s="245"/>
      <c r="F71" s="69"/>
      <c r="G71" s="70"/>
      <c r="H71" s="71"/>
      <c r="I71" s="208"/>
      <c r="J71" s="127"/>
    </row>
    <row r="72" spans="1:10" x14ac:dyDescent="0.25">
      <c r="A72" s="2"/>
      <c r="B72" s="83"/>
      <c r="C72" s="15"/>
      <c r="D72" s="174"/>
      <c r="E72" s="245"/>
      <c r="F72" s="69"/>
      <c r="G72" s="70"/>
      <c r="H72" s="71"/>
      <c r="I72" s="208"/>
      <c r="J72" s="127"/>
    </row>
    <row r="73" spans="1:10" x14ac:dyDescent="0.25">
      <c r="A73" s="2"/>
      <c r="B73" s="83"/>
      <c r="C73" s="15"/>
      <c r="D73" s="174"/>
      <c r="E73" s="245"/>
      <c r="F73" s="69"/>
      <c r="G73" s="70"/>
      <c r="H73" s="71"/>
      <c r="I73" s="208"/>
      <c r="J73" s="127"/>
    </row>
    <row r="74" spans="1:10" x14ac:dyDescent="0.25">
      <c r="A74" s="2"/>
      <c r="B74" s="83"/>
      <c r="C74" s="15"/>
      <c r="D74" s="174"/>
      <c r="E74" s="245"/>
      <c r="F74" s="69"/>
      <c r="G74" s="70"/>
      <c r="H74" s="71"/>
      <c r="I74" s="208"/>
      <c r="J74" s="127"/>
    </row>
    <row r="75" spans="1:10" x14ac:dyDescent="0.25">
      <c r="A75" s="2"/>
      <c r="B75" s="83"/>
      <c r="C75" s="15"/>
      <c r="D75" s="174"/>
      <c r="E75" s="245"/>
      <c r="F75" s="69"/>
      <c r="G75" s="70"/>
      <c r="H75" s="71"/>
      <c r="I75" s="208"/>
      <c r="J75" s="127"/>
    </row>
    <row r="76" spans="1:10" x14ac:dyDescent="0.25">
      <c r="A76" s="2"/>
      <c r="B76" s="83"/>
      <c r="C76" s="15"/>
      <c r="D76" s="174"/>
      <c r="E76" s="245"/>
      <c r="F76" s="69"/>
      <c r="G76" s="70"/>
      <c r="H76" s="71"/>
      <c r="I76" s="208"/>
      <c r="J76" s="127"/>
    </row>
    <row r="77" spans="1:10" x14ac:dyDescent="0.25">
      <c r="A77" s="2"/>
      <c r="B77" s="83"/>
      <c r="C77" s="15"/>
      <c r="D77" s="174"/>
      <c r="E77" s="245"/>
      <c r="F77" s="69"/>
      <c r="G77" s="70"/>
      <c r="H77" s="71"/>
      <c r="I77" s="208"/>
      <c r="J77" s="127"/>
    </row>
    <row r="78" spans="1:10" x14ac:dyDescent="0.25">
      <c r="A78" s="2"/>
      <c r="B78" s="83"/>
      <c r="C78" s="15"/>
      <c r="D78" s="174"/>
      <c r="E78" s="245"/>
      <c r="F78" s="69"/>
      <c r="G78" s="70"/>
      <c r="H78" s="71"/>
      <c r="I78" s="208"/>
      <c r="J78" s="127"/>
    </row>
    <row r="79" spans="1:10" x14ac:dyDescent="0.25">
      <c r="A79" s="2"/>
      <c r="B79" s="83"/>
      <c r="C79" s="15"/>
      <c r="D79" s="174"/>
      <c r="E79" s="245"/>
      <c r="F79" s="69"/>
      <c r="G79" s="70"/>
      <c r="H79" s="71"/>
      <c r="I79" s="208"/>
      <c r="J79" s="127"/>
    </row>
    <row r="80" spans="1:10" x14ac:dyDescent="0.25">
      <c r="A80" s="2"/>
      <c r="B80" s="83"/>
      <c r="C80" s="15"/>
      <c r="D80" s="174"/>
      <c r="E80" s="245"/>
      <c r="F80" s="69"/>
      <c r="G80" s="70"/>
      <c r="H80" s="71"/>
      <c r="I80" s="208"/>
      <c r="J80" s="127"/>
    </row>
    <row r="81" spans="1:10" x14ac:dyDescent="0.25">
      <c r="A81" s="2"/>
      <c r="B81" s="83"/>
      <c r="C81" s="15"/>
      <c r="D81" s="174"/>
      <c r="E81" s="245"/>
      <c r="F81" s="69"/>
      <c r="G81" s="70"/>
      <c r="H81" s="71"/>
      <c r="I81" s="208"/>
      <c r="J81" s="127"/>
    </row>
    <row r="82" spans="1:10" x14ac:dyDescent="0.25">
      <c r="A82" s="2"/>
      <c r="B82" s="83"/>
      <c r="C82" s="15"/>
      <c r="D82" s="174"/>
      <c r="E82" s="245"/>
      <c r="F82" s="69"/>
      <c r="G82" s="70"/>
      <c r="H82" s="71"/>
      <c r="I82" s="208"/>
      <c r="J82" s="127"/>
    </row>
    <row r="83" spans="1:10" x14ac:dyDescent="0.25">
      <c r="A83" s="2"/>
      <c r="B83" s="83"/>
      <c r="C83" s="15"/>
      <c r="D83" s="174"/>
      <c r="E83" s="245"/>
      <c r="F83" s="69"/>
      <c r="G83" s="70"/>
      <c r="H83" s="71"/>
      <c r="I83" s="208"/>
      <c r="J83" s="127"/>
    </row>
    <row r="84" spans="1:10" x14ac:dyDescent="0.25">
      <c r="A84" s="2"/>
      <c r="B84" s="83"/>
      <c r="C84" s="15"/>
      <c r="D84" s="174"/>
      <c r="E84" s="245"/>
      <c r="F84" s="69"/>
      <c r="G84" s="70"/>
      <c r="H84" s="71"/>
      <c r="I84" s="208"/>
      <c r="J84" s="127"/>
    </row>
    <row r="85" spans="1:10" x14ac:dyDescent="0.25">
      <c r="A85" s="2"/>
      <c r="B85" s="83"/>
      <c r="C85" s="15"/>
      <c r="D85" s="174"/>
      <c r="E85" s="245"/>
      <c r="F85" s="69"/>
      <c r="G85" s="70"/>
      <c r="H85" s="71"/>
      <c r="I85" s="208"/>
      <c r="J85" s="127"/>
    </row>
    <row r="86" spans="1:10" x14ac:dyDescent="0.25">
      <c r="A86" s="2"/>
      <c r="B86" s="83"/>
      <c r="C86" s="15"/>
      <c r="D86" s="174"/>
      <c r="E86" s="245"/>
      <c r="F86" s="69"/>
      <c r="G86" s="70"/>
      <c r="H86" s="71"/>
      <c r="I86" s="208"/>
      <c r="J86" s="127"/>
    </row>
    <row r="87" spans="1:10" x14ac:dyDescent="0.25">
      <c r="A87" s="2"/>
      <c r="B87" s="83"/>
      <c r="C87" s="15"/>
      <c r="D87" s="174"/>
      <c r="E87" s="245"/>
      <c r="F87" s="69"/>
      <c r="G87" s="70"/>
      <c r="H87" s="71"/>
      <c r="I87" s="208"/>
      <c r="J87" s="127"/>
    </row>
    <row r="88" spans="1:10" x14ac:dyDescent="0.25">
      <c r="A88" s="2"/>
      <c r="B88" s="83"/>
      <c r="C88" s="15"/>
      <c r="D88" s="174"/>
      <c r="E88" s="245"/>
      <c r="F88" s="69"/>
      <c r="G88" s="70"/>
      <c r="H88" s="71"/>
      <c r="I88" s="208"/>
      <c r="J88" s="127"/>
    </row>
    <row r="89" spans="1:10" x14ac:dyDescent="0.25">
      <c r="A89" s="2"/>
      <c r="B89" s="83"/>
      <c r="C89" s="15"/>
      <c r="D89" s="174"/>
      <c r="E89" s="245"/>
      <c r="F89" s="69"/>
      <c r="G89" s="70"/>
      <c r="H89" s="71"/>
      <c r="I89" s="208"/>
      <c r="J89" s="127"/>
    </row>
    <row r="90" spans="1:10" x14ac:dyDescent="0.25">
      <c r="A90" s="2"/>
      <c r="B90" s="83"/>
      <c r="C90" s="15"/>
      <c r="D90" s="174"/>
      <c r="E90" s="245"/>
      <c r="F90" s="69"/>
      <c r="G90" s="70"/>
      <c r="H90" s="71"/>
      <c r="I90" s="208"/>
      <c r="J90" s="127"/>
    </row>
    <row r="91" spans="1:10" x14ac:dyDescent="0.25">
      <c r="A91" s="2"/>
      <c r="B91" s="83"/>
      <c r="C91" s="15"/>
      <c r="D91" s="174"/>
      <c r="E91" s="245"/>
      <c r="F91" s="69"/>
      <c r="G91" s="70"/>
      <c r="H91" s="71"/>
      <c r="I91" s="208"/>
      <c r="J91" s="127"/>
    </row>
    <row r="92" spans="1:10" x14ac:dyDescent="0.25">
      <c r="A92" s="2"/>
      <c r="B92" s="83"/>
      <c r="C92" s="15"/>
      <c r="D92" s="174"/>
      <c r="E92" s="245"/>
      <c r="F92" s="69"/>
      <c r="G92" s="70"/>
      <c r="H92" s="71"/>
      <c r="I92" s="208"/>
      <c r="J92" s="127"/>
    </row>
    <row r="93" spans="1:10" x14ac:dyDescent="0.25">
      <c r="A93" s="2"/>
      <c r="B93" s="83"/>
      <c r="C93" s="15"/>
      <c r="D93" s="174"/>
      <c r="E93" s="245"/>
      <c r="F93" s="69"/>
      <c r="G93" s="70"/>
      <c r="H93" s="71"/>
      <c r="I93" s="208">
        <f>I58-F93</f>
        <v>0</v>
      </c>
      <c r="J93" s="127">
        <f>J58-C93</f>
        <v>0</v>
      </c>
    </row>
    <row r="94" spans="1:10" x14ac:dyDescent="0.25">
      <c r="A94" s="2"/>
      <c r="B94" s="83"/>
      <c r="C94" s="15"/>
      <c r="D94" s="174"/>
      <c r="E94" s="245"/>
      <c r="F94" s="69"/>
      <c r="G94" s="70"/>
      <c r="H94" s="71"/>
      <c r="I94" s="208">
        <f t="shared" ref="I94:I95" si="6">I93-F94</f>
        <v>0</v>
      </c>
      <c r="J94" s="127">
        <f t="shared" ref="J94" si="7">J93-C94</f>
        <v>0</v>
      </c>
    </row>
    <row r="95" spans="1:10" x14ac:dyDescent="0.25">
      <c r="A95" s="2"/>
      <c r="B95" s="83"/>
      <c r="C95" s="15"/>
      <c r="D95" s="174">
        <f t="shared" ref="D95" si="8">C95*B95</f>
        <v>0</v>
      </c>
      <c r="E95" s="245"/>
      <c r="F95" s="69">
        <f t="shared" ref="F95:F96" si="9">D95</f>
        <v>0</v>
      </c>
      <c r="G95" s="70"/>
      <c r="H95" s="71"/>
      <c r="I95" s="208">
        <f t="shared" si="6"/>
        <v>0</v>
      </c>
      <c r="J95" s="127">
        <f>J41-C95</f>
        <v>0</v>
      </c>
    </row>
    <row r="96" spans="1:10" ht="15.75" thickBot="1" x14ac:dyDescent="0.3">
      <c r="A96" s="4"/>
      <c r="B96" s="83"/>
      <c r="C96" s="37"/>
      <c r="D96" s="185">
        <f>C96*B33</f>
        <v>0</v>
      </c>
      <c r="E96" s="157"/>
      <c r="F96" s="150">
        <f t="shared" si="9"/>
        <v>0</v>
      </c>
      <c r="G96" s="139"/>
      <c r="H96" s="71"/>
      <c r="J96" s="73"/>
    </row>
    <row r="97" spans="1:10" ht="16.5" thickTop="1" thickBot="1" x14ac:dyDescent="0.3">
      <c r="C97" s="90">
        <f>SUM(C8:C96)</f>
        <v>0</v>
      </c>
      <c r="D97" s="48">
        <f>SUM(D8:D96)</f>
        <v>0</v>
      </c>
      <c r="E97" s="38"/>
      <c r="F97" s="5">
        <f>SUM(F8:F96)</f>
        <v>0</v>
      </c>
      <c r="J97" s="73"/>
    </row>
    <row r="98" spans="1:10" ht="15.75" thickBot="1" x14ac:dyDescent="0.3">
      <c r="A98" s="51"/>
      <c r="D98" s="113" t="s">
        <v>4</v>
      </c>
      <c r="E98" s="68">
        <f>F4+F5+F6-+C97</f>
        <v>0</v>
      </c>
      <c r="J98" s="73"/>
    </row>
    <row r="99" spans="1:10" ht="15.75" thickBot="1" x14ac:dyDescent="0.3">
      <c r="A99" s="119"/>
    </row>
    <row r="100" spans="1:10" ht="16.5" thickTop="1" thickBot="1" x14ac:dyDescent="0.3">
      <c r="A100" s="47"/>
      <c r="C100" s="1424" t="s">
        <v>11</v>
      </c>
      <c r="D100" s="1425"/>
      <c r="E100" s="145">
        <f>E5+E4+E6+-F97</f>
        <v>0</v>
      </c>
    </row>
  </sheetData>
  <mergeCells count="6">
    <mergeCell ref="J6:J7"/>
    <mergeCell ref="C100:D100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J33"/>
  <sheetViews>
    <sheetView workbookViewId="0">
      <pane ySplit="7" topLeftCell="A8" activePane="bottomLeft" state="frozen"/>
      <selection pane="bottomLeft" activeCell="D15" sqref="D15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390"/>
      <c r="B1" s="1390"/>
      <c r="C1" s="1390"/>
      <c r="D1" s="1390"/>
      <c r="E1" s="1390"/>
      <c r="F1" s="1390"/>
      <c r="G1" s="1390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A4" s="75"/>
      <c r="B4" s="144"/>
      <c r="C4" s="224"/>
      <c r="D4" s="118"/>
      <c r="E4" s="238"/>
      <c r="F4" s="239"/>
    </row>
    <row r="5" spans="1:10" ht="15" customHeight="1" thickBot="1" x14ac:dyDescent="0.3">
      <c r="A5" s="1420"/>
      <c r="B5" s="1450" t="s">
        <v>74</v>
      </c>
      <c r="C5" s="224"/>
      <c r="D5" s="118"/>
      <c r="E5" s="144"/>
      <c r="F5" s="240"/>
      <c r="G5" s="147"/>
      <c r="H5" s="58">
        <f>E4+E5+E6-G5</f>
        <v>0</v>
      </c>
    </row>
    <row r="6" spans="1:10" ht="17.25" thickTop="1" thickBot="1" x14ac:dyDescent="0.3">
      <c r="A6" s="1421"/>
      <c r="B6" s="1451"/>
      <c r="C6" s="224"/>
      <c r="D6" s="118"/>
      <c r="E6" s="144"/>
      <c r="F6" s="240"/>
      <c r="I6" s="1448" t="s">
        <v>3</v>
      </c>
      <c r="J6" s="1442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449"/>
      <c r="J7" s="1443"/>
    </row>
    <row r="8" spans="1:10" ht="15.75" thickTop="1" x14ac:dyDescent="0.25">
      <c r="A8" s="80" t="s">
        <v>32</v>
      </c>
      <c r="B8" s="83"/>
      <c r="C8" s="15"/>
      <c r="D8" s="174">
        <v>0</v>
      </c>
      <c r="E8" s="245"/>
      <c r="F8" s="69">
        <f t="shared" ref="F8:F13" si="0">D8</f>
        <v>0</v>
      </c>
      <c r="G8" s="70"/>
      <c r="H8" s="128"/>
      <c r="I8" s="208">
        <f>E5+E4-F8+E6</f>
        <v>0</v>
      </c>
      <c r="J8" s="127">
        <f>F4+F5+F6-C8</f>
        <v>0</v>
      </c>
    </row>
    <row r="9" spans="1:10" x14ac:dyDescent="0.25">
      <c r="A9" s="194"/>
      <c r="B9" s="83"/>
      <c r="C9" s="15"/>
      <c r="D9" s="174">
        <v>0</v>
      </c>
      <c r="E9" s="245"/>
      <c r="F9" s="69">
        <f t="shared" si="0"/>
        <v>0</v>
      </c>
      <c r="G9" s="70"/>
      <c r="H9" s="128"/>
      <c r="I9" s="208">
        <f>I8-F9</f>
        <v>0</v>
      </c>
      <c r="J9" s="127">
        <f>J8-C9</f>
        <v>0</v>
      </c>
    </row>
    <row r="10" spans="1:10" x14ac:dyDescent="0.25">
      <c r="A10" s="182"/>
      <c r="B10" s="83"/>
      <c r="C10" s="15"/>
      <c r="D10" s="174">
        <v>0</v>
      </c>
      <c r="E10" s="245"/>
      <c r="F10" s="69">
        <f t="shared" si="0"/>
        <v>0</v>
      </c>
      <c r="G10" s="70"/>
      <c r="H10" s="128"/>
      <c r="I10" s="208">
        <f t="shared" ref="I10:I28" si="1">I9-F10</f>
        <v>0</v>
      </c>
      <c r="J10" s="127">
        <f t="shared" ref="J10:J28" si="2">J9-C10</f>
        <v>0</v>
      </c>
    </row>
    <row r="11" spans="1:10" x14ac:dyDescent="0.25">
      <c r="A11" s="82" t="s">
        <v>33</v>
      </c>
      <c r="B11" s="83"/>
      <c r="C11" s="15"/>
      <c r="D11" s="174">
        <f t="shared" ref="D11:D28" si="3">C11*B11</f>
        <v>0</v>
      </c>
      <c r="E11" s="245"/>
      <c r="F11" s="69">
        <f t="shared" si="0"/>
        <v>0</v>
      </c>
      <c r="G11" s="70"/>
      <c r="H11" s="128"/>
      <c r="I11" s="208">
        <f t="shared" si="1"/>
        <v>0</v>
      </c>
      <c r="J11" s="127">
        <f t="shared" si="2"/>
        <v>0</v>
      </c>
    </row>
    <row r="12" spans="1:10" x14ac:dyDescent="0.25">
      <c r="A12" s="73"/>
      <c r="B12" s="83"/>
      <c r="C12" s="15"/>
      <c r="D12" s="174">
        <f t="shared" si="3"/>
        <v>0</v>
      </c>
      <c r="E12" s="245"/>
      <c r="F12" s="69">
        <f t="shared" si="0"/>
        <v>0</v>
      </c>
      <c r="G12" s="70"/>
      <c r="H12" s="128"/>
      <c r="I12" s="208">
        <f t="shared" si="1"/>
        <v>0</v>
      </c>
      <c r="J12" s="127">
        <f t="shared" si="2"/>
        <v>0</v>
      </c>
    </row>
    <row r="13" spans="1:10" x14ac:dyDescent="0.25">
      <c r="A13" s="73"/>
      <c r="B13" s="83"/>
      <c r="C13" s="15"/>
      <c r="D13" s="174">
        <f t="shared" si="3"/>
        <v>0</v>
      </c>
      <c r="E13" s="244"/>
      <c r="F13" s="69">
        <f t="shared" si="0"/>
        <v>0</v>
      </c>
      <c r="G13" s="70"/>
      <c r="H13" s="128"/>
      <c r="I13" s="208">
        <f t="shared" si="1"/>
        <v>0</v>
      </c>
      <c r="J13" s="127">
        <f t="shared" si="2"/>
        <v>0</v>
      </c>
    </row>
    <row r="14" spans="1:10" x14ac:dyDescent="0.25">
      <c r="B14" s="83"/>
      <c r="C14" s="15"/>
      <c r="D14" s="174">
        <f t="shared" si="3"/>
        <v>0</v>
      </c>
      <c r="E14" s="244"/>
      <c r="F14" s="69">
        <f>D14</f>
        <v>0</v>
      </c>
      <c r="G14" s="70"/>
      <c r="H14" s="128"/>
      <c r="I14" s="208">
        <f t="shared" si="1"/>
        <v>0</v>
      </c>
      <c r="J14" s="127">
        <f t="shared" si="2"/>
        <v>0</v>
      </c>
    </row>
    <row r="15" spans="1:10" x14ac:dyDescent="0.25">
      <c r="B15" s="83"/>
      <c r="C15" s="15"/>
      <c r="D15" s="174">
        <f t="shared" si="3"/>
        <v>0</v>
      </c>
      <c r="E15" s="244"/>
      <c r="F15" s="69">
        <f>D15</f>
        <v>0</v>
      </c>
      <c r="G15" s="70"/>
      <c r="H15" s="128"/>
      <c r="I15" s="208">
        <f t="shared" si="1"/>
        <v>0</v>
      </c>
      <c r="J15" s="127">
        <f t="shared" si="2"/>
        <v>0</v>
      </c>
    </row>
    <row r="16" spans="1:10" x14ac:dyDescent="0.25">
      <c r="A16" s="81"/>
      <c r="B16" s="83"/>
      <c r="C16" s="15"/>
      <c r="D16" s="174">
        <f t="shared" si="3"/>
        <v>0</v>
      </c>
      <c r="E16" s="252"/>
      <c r="F16" s="69">
        <f>D16</f>
        <v>0</v>
      </c>
      <c r="G16" s="70"/>
      <c r="H16" s="128"/>
      <c r="I16" s="208">
        <f t="shared" si="1"/>
        <v>0</v>
      </c>
      <c r="J16" s="127">
        <f t="shared" si="2"/>
        <v>0</v>
      </c>
    </row>
    <row r="17" spans="1:10" x14ac:dyDescent="0.25">
      <c r="A17" s="83"/>
      <c r="B17" s="83"/>
      <c r="C17" s="15"/>
      <c r="D17" s="174">
        <f t="shared" si="3"/>
        <v>0</v>
      </c>
      <c r="E17" s="252"/>
      <c r="F17" s="69">
        <f t="shared" ref="F17:F29" si="4">D17</f>
        <v>0</v>
      </c>
      <c r="G17" s="406"/>
      <c r="H17" s="128"/>
      <c r="I17" s="208">
        <f t="shared" si="1"/>
        <v>0</v>
      </c>
      <c r="J17" s="127">
        <f t="shared" si="2"/>
        <v>0</v>
      </c>
    </row>
    <row r="18" spans="1:10" x14ac:dyDescent="0.25">
      <c r="A18" s="2"/>
      <c r="B18" s="83"/>
      <c r="C18" s="15"/>
      <c r="D18" s="174">
        <f t="shared" si="3"/>
        <v>0</v>
      </c>
      <c r="E18" s="252"/>
      <c r="F18" s="69">
        <f t="shared" si="4"/>
        <v>0</v>
      </c>
      <c r="G18" s="70"/>
      <c r="H18" s="128"/>
      <c r="I18" s="208">
        <f t="shared" si="1"/>
        <v>0</v>
      </c>
      <c r="J18" s="127">
        <f t="shared" si="2"/>
        <v>0</v>
      </c>
    </row>
    <row r="19" spans="1:10" x14ac:dyDescent="0.25">
      <c r="A19" s="2"/>
      <c r="B19" s="83"/>
      <c r="C19" s="15"/>
      <c r="D19" s="174">
        <f t="shared" si="3"/>
        <v>0</v>
      </c>
      <c r="E19" s="252"/>
      <c r="F19" s="69">
        <f t="shared" si="4"/>
        <v>0</v>
      </c>
      <c r="G19" s="70"/>
      <c r="H19" s="128"/>
      <c r="I19" s="208">
        <f t="shared" si="1"/>
        <v>0</v>
      </c>
      <c r="J19" s="127">
        <f t="shared" si="2"/>
        <v>0</v>
      </c>
    </row>
    <row r="20" spans="1:10" x14ac:dyDescent="0.25">
      <c r="A20" s="2"/>
      <c r="B20" s="83"/>
      <c r="C20" s="15"/>
      <c r="D20" s="174">
        <f t="shared" si="3"/>
        <v>0</v>
      </c>
      <c r="E20" s="244"/>
      <c r="F20" s="69">
        <f t="shared" si="4"/>
        <v>0</v>
      </c>
      <c r="G20" s="70"/>
      <c r="H20" s="128"/>
      <c r="I20" s="208">
        <f t="shared" si="1"/>
        <v>0</v>
      </c>
      <c r="J20" s="127">
        <f t="shared" si="2"/>
        <v>0</v>
      </c>
    </row>
    <row r="21" spans="1:10" x14ac:dyDescent="0.25">
      <c r="A21" s="2"/>
      <c r="B21" s="83"/>
      <c r="C21" s="15"/>
      <c r="D21" s="174">
        <f t="shared" si="3"/>
        <v>0</v>
      </c>
      <c r="E21" s="244"/>
      <c r="F21" s="69">
        <f t="shared" si="4"/>
        <v>0</v>
      </c>
      <c r="G21" s="70"/>
      <c r="H21" s="128"/>
      <c r="I21" s="208">
        <f t="shared" si="1"/>
        <v>0</v>
      </c>
      <c r="J21" s="127">
        <f t="shared" si="2"/>
        <v>0</v>
      </c>
    </row>
    <row r="22" spans="1:10" x14ac:dyDescent="0.25">
      <c r="A22" s="2"/>
      <c r="B22" s="83"/>
      <c r="C22" s="15"/>
      <c r="D22" s="174">
        <f t="shared" si="3"/>
        <v>0</v>
      </c>
      <c r="E22" s="244"/>
      <c r="F22" s="69">
        <f t="shared" si="4"/>
        <v>0</v>
      </c>
      <c r="G22" s="70"/>
      <c r="H22" s="128"/>
      <c r="I22" s="208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74">
        <f t="shared" si="3"/>
        <v>0</v>
      </c>
      <c r="E23" s="244"/>
      <c r="F23" s="69">
        <f t="shared" si="4"/>
        <v>0</v>
      </c>
      <c r="G23" s="70"/>
      <c r="H23" s="128"/>
      <c r="I23" s="208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74">
        <f t="shared" si="3"/>
        <v>0</v>
      </c>
      <c r="E24" s="252"/>
      <c r="F24" s="69">
        <f t="shared" si="4"/>
        <v>0</v>
      </c>
      <c r="G24" s="70"/>
      <c r="H24" s="128"/>
      <c r="I24" s="208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74">
        <f t="shared" si="3"/>
        <v>0</v>
      </c>
      <c r="E25" s="252"/>
      <c r="F25" s="69">
        <f t="shared" si="4"/>
        <v>0</v>
      </c>
      <c r="G25" s="70"/>
      <c r="H25" s="128"/>
      <c r="I25" s="208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74">
        <f t="shared" si="3"/>
        <v>0</v>
      </c>
      <c r="E26" s="245"/>
      <c r="F26" s="69">
        <f t="shared" si="4"/>
        <v>0</v>
      </c>
      <c r="G26" s="70"/>
      <c r="H26" s="71"/>
      <c r="I26" s="208">
        <f t="shared" si="1"/>
        <v>0</v>
      </c>
      <c r="J26" s="127">
        <f t="shared" si="2"/>
        <v>0</v>
      </c>
    </row>
    <row r="27" spans="1:10" x14ac:dyDescent="0.25">
      <c r="A27" s="2"/>
      <c r="B27" s="83"/>
      <c r="C27" s="15"/>
      <c r="D27" s="174">
        <f t="shared" si="3"/>
        <v>0</v>
      </c>
      <c r="E27" s="245"/>
      <c r="F27" s="69">
        <f t="shared" si="4"/>
        <v>0</v>
      </c>
      <c r="G27" s="70"/>
      <c r="H27" s="71"/>
      <c r="I27" s="208">
        <f t="shared" si="1"/>
        <v>0</v>
      </c>
      <c r="J27" s="127">
        <f t="shared" si="2"/>
        <v>0</v>
      </c>
    </row>
    <row r="28" spans="1:10" x14ac:dyDescent="0.25">
      <c r="A28" s="2"/>
      <c r="B28" s="83"/>
      <c r="C28" s="15"/>
      <c r="D28" s="174">
        <f t="shared" si="3"/>
        <v>0</v>
      </c>
      <c r="E28" s="245"/>
      <c r="F28" s="69">
        <f t="shared" si="4"/>
        <v>0</v>
      </c>
      <c r="G28" s="70"/>
      <c r="H28" s="71"/>
      <c r="I28" s="208">
        <f t="shared" si="1"/>
        <v>0</v>
      </c>
      <c r="J28" s="127">
        <f t="shared" si="2"/>
        <v>0</v>
      </c>
    </row>
    <row r="29" spans="1:10" ht="15.75" thickBot="1" x14ac:dyDescent="0.3">
      <c r="A29" s="4"/>
      <c r="B29" s="83"/>
      <c r="C29" s="37"/>
      <c r="D29" s="185"/>
      <c r="E29" s="157"/>
      <c r="F29" s="150">
        <f t="shared" si="4"/>
        <v>0</v>
      </c>
      <c r="G29" s="139"/>
      <c r="H29" s="71"/>
      <c r="J29" s="73"/>
    </row>
    <row r="30" spans="1:10" ht="16.5" thickTop="1" thickBot="1" x14ac:dyDescent="0.3">
      <c r="C30" s="90">
        <f>SUM(C8:C29)</f>
        <v>0</v>
      </c>
      <c r="D30" s="48">
        <f>SUM(D8:D29)</f>
        <v>0</v>
      </c>
      <c r="E30" s="38"/>
      <c r="F30" s="5">
        <f>SUM(F8:F29)</f>
        <v>0</v>
      </c>
      <c r="J30" s="73"/>
    </row>
    <row r="31" spans="1:10" ht="15.75" thickBot="1" x14ac:dyDescent="0.3">
      <c r="A31" s="51"/>
      <c r="D31" s="113" t="s">
        <v>4</v>
      </c>
      <c r="E31" s="68">
        <f>F4+F5+F6-+C30</f>
        <v>0</v>
      </c>
      <c r="J31" s="73"/>
    </row>
    <row r="32" spans="1:10" ht="15.75" thickBot="1" x14ac:dyDescent="0.3">
      <c r="A32" s="119"/>
    </row>
    <row r="33" spans="1:5" ht="16.5" thickTop="1" thickBot="1" x14ac:dyDescent="0.3">
      <c r="A33" s="47"/>
      <c r="C33" s="1424" t="s">
        <v>11</v>
      </c>
      <c r="D33" s="1425"/>
      <c r="E33" s="145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AF105"/>
  <sheetViews>
    <sheetView topLeftCell="J1" workbookViewId="0">
      <pane xSplit="2" ySplit="9" topLeftCell="U31" activePane="bottomRight" state="frozen"/>
      <selection activeCell="J1" sqref="J1"/>
      <selection pane="topRight" activeCell="L1" sqref="L1"/>
      <selection pane="bottomLeft" activeCell="J10" sqref="J10"/>
      <selection pane="bottomRight" activeCell="AA43" sqref="AA43"/>
    </sheetView>
  </sheetViews>
  <sheetFormatPr baseColWidth="10" defaultRowHeight="15" x14ac:dyDescent="0.25"/>
  <cols>
    <col min="1" max="1" width="25.85546875" bestFit="1" customWidth="1"/>
    <col min="2" max="2" width="15.5703125" customWidth="1"/>
    <col min="12" max="12" width="25.85546875" bestFit="1" customWidth="1"/>
    <col min="13" max="13" width="15.5703125" customWidth="1"/>
    <col min="23" max="23" width="25.85546875" bestFit="1" customWidth="1"/>
    <col min="24" max="24" width="15.5703125" customWidth="1"/>
  </cols>
  <sheetData>
    <row r="1" spans="1:32" ht="45.75" x14ac:dyDescent="0.65">
      <c r="A1" s="1454" t="s">
        <v>330</v>
      </c>
      <c r="B1" s="1454"/>
      <c r="C1" s="1454"/>
      <c r="D1" s="1454"/>
      <c r="E1" s="1454"/>
      <c r="F1" s="1454"/>
      <c r="G1" s="1454"/>
      <c r="H1" s="1454"/>
      <c r="I1" s="1454"/>
      <c r="J1" s="99">
        <v>1</v>
      </c>
      <c r="L1" s="1454" t="str">
        <f>A1</f>
        <v>INVENTARIO      DEL MES DE   NOVIEMBRE       2022</v>
      </c>
      <c r="M1" s="1454"/>
      <c r="N1" s="1454"/>
      <c r="O1" s="1454"/>
      <c r="P1" s="1454"/>
      <c r="Q1" s="1454"/>
      <c r="R1" s="1454"/>
      <c r="S1" s="1454"/>
      <c r="T1" s="1454"/>
      <c r="U1" s="99">
        <v>2</v>
      </c>
      <c r="W1" s="1454" t="str">
        <f>L1</f>
        <v>INVENTARIO      DEL MES DE   NOVIEMBRE       2022</v>
      </c>
      <c r="X1" s="1454"/>
      <c r="Y1" s="1454"/>
      <c r="Z1" s="1454"/>
      <c r="AA1" s="1454"/>
      <c r="AB1" s="1454"/>
      <c r="AC1" s="1454"/>
      <c r="AD1" s="1454"/>
      <c r="AE1" s="1454"/>
      <c r="AF1" s="99">
        <v>3</v>
      </c>
    </row>
    <row r="2" spans="1:32" ht="15.75" thickBot="1" x14ac:dyDescent="0.3">
      <c r="D2" s="47"/>
      <c r="F2" s="5"/>
      <c r="O2" s="47"/>
      <c r="Q2" s="5"/>
      <c r="Z2" s="47"/>
      <c r="AB2" s="5"/>
    </row>
    <row r="3" spans="1:32" ht="16.5" thickTop="1" thickBot="1" x14ac:dyDescent="0.3">
      <c r="A3" s="8" t="s">
        <v>0</v>
      </c>
      <c r="B3" s="364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  <c r="L3" s="8" t="s">
        <v>0</v>
      </c>
      <c r="M3" s="364" t="s">
        <v>1</v>
      </c>
      <c r="N3" s="9" t="s">
        <v>13</v>
      </c>
      <c r="O3" s="111" t="s">
        <v>2</v>
      </c>
      <c r="P3" s="9" t="s">
        <v>3</v>
      </c>
      <c r="Q3" s="114" t="s">
        <v>4</v>
      </c>
      <c r="R3" s="46" t="s">
        <v>12</v>
      </c>
      <c r="S3" s="35" t="s">
        <v>11</v>
      </c>
      <c r="W3" s="8" t="s">
        <v>0</v>
      </c>
      <c r="X3" s="364" t="s">
        <v>1</v>
      </c>
      <c r="Y3" s="9" t="s">
        <v>13</v>
      </c>
      <c r="Z3" s="111" t="s">
        <v>2</v>
      </c>
      <c r="AA3" s="9" t="s">
        <v>3</v>
      </c>
      <c r="AB3" s="114" t="s">
        <v>4</v>
      </c>
      <c r="AC3" s="46" t="s">
        <v>12</v>
      </c>
      <c r="AD3" s="35" t="s">
        <v>11</v>
      </c>
    </row>
    <row r="4" spans="1:32" ht="17.25" thickTop="1" thickBot="1" x14ac:dyDescent="0.3">
      <c r="A4" s="554"/>
      <c r="B4" s="554"/>
      <c r="C4" s="235"/>
      <c r="D4" s="589"/>
      <c r="E4" s="590"/>
      <c r="F4" s="240"/>
      <c r="G4" s="73"/>
      <c r="L4" s="554"/>
      <c r="M4" s="554"/>
      <c r="N4" s="235">
        <v>80</v>
      </c>
      <c r="O4" s="335">
        <v>44819</v>
      </c>
      <c r="P4" s="846">
        <v>1299.74</v>
      </c>
      <c r="Q4" s="847">
        <v>48</v>
      </c>
      <c r="R4" s="73"/>
      <c r="W4" s="877"/>
      <c r="X4" s="729"/>
      <c r="Y4" s="873"/>
      <c r="Z4" s="874"/>
      <c r="AA4" s="875"/>
      <c r="AB4" s="876"/>
      <c r="AC4" s="73"/>
    </row>
    <row r="5" spans="1:32" ht="15" customHeight="1" x14ac:dyDescent="0.25">
      <c r="A5" s="1456" t="s">
        <v>52</v>
      </c>
      <c r="B5" s="1457" t="s">
        <v>87</v>
      </c>
      <c r="C5" s="235">
        <v>82</v>
      </c>
      <c r="D5" s="335">
        <v>44755</v>
      </c>
      <c r="E5" s="254">
        <v>3011.22</v>
      </c>
      <c r="F5" s="240">
        <v>115</v>
      </c>
      <c r="G5" s="147">
        <f>F102</f>
        <v>7017.9</v>
      </c>
      <c r="H5" s="58">
        <f>E4+E5+E6-G5+E7</f>
        <v>7.276401703393276E-13</v>
      </c>
      <c r="L5" s="1456" t="s">
        <v>52</v>
      </c>
      <c r="M5" s="1457" t="s">
        <v>87</v>
      </c>
      <c r="N5" s="235"/>
      <c r="O5" s="335"/>
      <c r="P5" s="254">
        <v>116.67</v>
      </c>
      <c r="Q5" s="240">
        <v>9</v>
      </c>
      <c r="R5" s="147">
        <f>Q102</f>
        <v>1416.4099999999999</v>
      </c>
      <c r="S5" s="58">
        <f>P4+P5+P6-R5+P7</f>
        <v>2.2737367544323206E-13</v>
      </c>
      <c r="W5" s="1455" t="s">
        <v>221</v>
      </c>
      <c r="X5" s="1458" t="s">
        <v>87</v>
      </c>
      <c r="Y5" s="873">
        <v>62.51</v>
      </c>
      <c r="Z5" s="874">
        <v>44867</v>
      </c>
      <c r="AA5" s="875">
        <v>18564</v>
      </c>
      <c r="AB5" s="876">
        <v>922</v>
      </c>
      <c r="AC5" s="147">
        <f>AB102</f>
        <v>15371.3</v>
      </c>
      <c r="AD5" s="58">
        <f>AA4+AA5+AA6-AC5+AA7+AA8</f>
        <v>3192.7000000000007</v>
      </c>
    </row>
    <row r="6" spans="1:32" ht="16.5" customHeight="1" x14ac:dyDescent="0.25">
      <c r="A6" s="1456"/>
      <c r="B6" s="1399"/>
      <c r="C6" s="235">
        <v>85</v>
      </c>
      <c r="D6" s="335">
        <v>44764</v>
      </c>
      <c r="E6" s="254">
        <v>4005.63</v>
      </c>
      <c r="F6" s="240">
        <v>160</v>
      </c>
      <c r="G6" s="73"/>
      <c r="L6" s="1456"/>
      <c r="M6" s="1399"/>
      <c r="N6" s="235"/>
      <c r="O6" s="335"/>
      <c r="P6" s="254"/>
      <c r="Q6" s="240"/>
      <c r="R6" s="73"/>
      <c r="W6" s="1455"/>
      <c r="X6" s="1459"/>
      <c r="Y6" s="873"/>
      <c r="Z6" s="874"/>
      <c r="AA6" s="875"/>
      <c r="AB6" s="876"/>
      <c r="AC6" s="73"/>
    </row>
    <row r="7" spans="1:32" ht="15.75" customHeight="1" thickBot="1" x14ac:dyDescent="0.35">
      <c r="A7" s="1456"/>
      <c r="B7" s="1399"/>
      <c r="C7" s="235"/>
      <c r="D7" s="335"/>
      <c r="E7" s="254">
        <v>1.05</v>
      </c>
      <c r="F7" s="1157"/>
      <c r="G7" s="1158"/>
      <c r="H7" s="671"/>
      <c r="I7" s="371"/>
      <c r="J7" s="371"/>
      <c r="L7" s="1456"/>
      <c r="M7" s="1399"/>
      <c r="N7" s="235"/>
      <c r="O7" s="335"/>
      <c r="P7" s="254"/>
      <c r="Q7" s="240"/>
      <c r="R7" s="73"/>
      <c r="T7" s="371"/>
      <c r="U7" s="371"/>
      <c r="W7" s="1455"/>
      <c r="X7" s="1460"/>
      <c r="Y7" s="873"/>
      <c r="Z7" s="874"/>
      <c r="AA7" s="875"/>
      <c r="AB7" s="876"/>
      <c r="AC7" s="73"/>
      <c r="AE7" s="371"/>
      <c r="AF7" s="371"/>
    </row>
    <row r="8" spans="1:32" ht="16.5" customHeight="1" thickTop="1" thickBot="1" x14ac:dyDescent="0.3">
      <c r="B8" s="412"/>
      <c r="C8" s="235"/>
      <c r="D8" s="335"/>
      <c r="E8" s="238"/>
      <c r="F8" s="1159"/>
      <c r="G8" s="1158"/>
      <c r="H8" s="671"/>
      <c r="I8" s="1433" t="s">
        <v>47</v>
      </c>
      <c r="J8" s="1452" t="s">
        <v>4</v>
      </c>
      <c r="M8" s="412"/>
      <c r="N8" s="235"/>
      <c r="O8" s="335"/>
      <c r="P8" s="238"/>
      <c r="Q8" s="239"/>
      <c r="R8" s="73"/>
      <c r="T8" s="1433" t="s">
        <v>47</v>
      </c>
      <c r="U8" s="1452" t="s">
        <v>4</v>
      </c>
      <c r="W8" s="3"/>
      <c r="X8" s="412"/>
      <c r="Y8" s="235"/>
      <c r="Z8" s="335"/>
      <c r="AA8" s="238"/>
      <c r="AB8" s="239"/>
      <c r="AC8" s="73"/>
      <c r="AE8" s="1433" t="s">
        <v>47</v>
      </c>
      <c r="AF8" s="1452" t="s">
        <v>4</v>
      </c>
    </row>
    <row r="9" spans="1:32" ht="16.5" customHeight="1" thickTop="1" thickBot="1" x14ac:dyDescent="0.3">
      <c r="A9" s="1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22" t="s">
        <v>15</v>
      </c>
      <c r="H9" s="29"/>
      <c r="I9" s="1434"/>
      <c r="J9" s="1453"/>
      <c r="L9" s="1"/>
      <c r="M9" s="24" t="s">
        <v>7</v>
      </c>
      <c r="N9" s="20" t="s">
        <v>8</v>
      </c>
      <c r="O9" s="112" t="s">
        <v>3</v>
      </c>
      <c r="P9" s="21" t="s">
        <v>2</v>
      </c>
      <c r="Q9" s="115" t="s">
        <v>9</v>
      </c>
      <c r="R9" s="22" t="s">
        <v>15</v>
      </c>
      <c r="S9" s="29"/>
      <c r="T9" s="1434"/>
      <c r="U9" s="1453"/>
      <c r="W9" s="1"/>
      <c r="X9" s="24" t="s">
        <v>7</v>
      </c>
      <c r="Y9" s="20" t="s">
        <v>8</v>
      </c>
      <c r="Z9" s="112" t="s">
        <v>3</v>
      </c>
      <c r="AA9" s="21" t="s">
        <v>2</v>
      </c>
      <c r="AB9" s="115" t="s">
        <v>9</v>
      </c>
      <c r="AC9" s="22" t="s">
        <v>15</v>
      </c>
      <c r="AD9" s="29"/>
      <c r="AE9" s="1434"/>
      <c r="AF9" s="1453"/>
    </row>
    <row r="10" spans="1:32" ht="15.75" thickTop="1" x14ac:dyDescent="0.25">
      <c r="A10" s="2"/>
      <c r="B10" s="83"/>
      <c r="C10" s="15">
        <v>2</v>
      </c>
      <c r="D10" s="151">
        <v>51.26</v>
      </c>
      <c r="E10" s="244">
        <v>44756</v>
      </c>
      <c r="F10" s="69">
        <f>D10</f>
        <v>51.26</v>
      </c>
      <c r="G10" s="70" t="s">
        <v>109</v>
      </c>
      <c r="H10" s="71">
        <v>84</v>
      </c>
      <c r="I10" s="208">
        <f>E4+E5+E6-F10+E7+E8</f>
        <v>6966.64</v>
      </c>
      <c r="J10" s="127">
        <f>F4+F5+F6+F7-C10+F8</f>
        <v>273</v>
      </c>
      <c r="L10" s="2"/>
      <c r="M10" s="83"/>
      <c r="N10" s="15">
        <v>13</v>
      </c>
      <c r="O10" s="151">
        <v>347.77</v>
      </c>
      <c r="P10" s="244">
        <v>44893</v>
      </c>
      <c r="Q10" s="69">
        <f>O10</f>
        <v>347.77</v>
      </c>
      <c r="R10" s="70" t="s">
        <v>569</v>
      </c>
      <c r="S10" s="71">
        <v>84</v>
      </c>
      <c r="T10" s="827">
        <f>P4+P5+P6-Q10+P7+P8</f>
        <v>1068.6400000000001</v>
      </c>
      <c r="U10" s="828">
        <f>Q4+Q5+Q6+Q7-N10+Q8</f>
        <v>44</v>
      </c>
      <c r="W10" s="2"/>
      <c r="X10" s="83"/>
      <c r="Y10" s="15">
        <v>4</v>
      </c>
      <c r="Z10" s="151">
        <v>72.099999999999994</v>
      </c>
      <c r="AA10" s="244">
        <v>44902</v>
      </c>
      <c r="AB10" s="69">
        <f>Z10</f>
        <v>72.099999999999994</v>
      </c>
      <c r="AC10" s="70" t="s">
        <v>631</v>
      </c>
      <c r="AD10" s="71">
        <v>85</v>
      </c>
      <c r="AE10" s="827">
        <f>AA4+AA5+AA6-AB10+AA7+AA8</f>
        <v>18491.900000000001</v>
      </c>
      <c r="AF10" s="828">
        <f>AB4+AB5+AB6+AB7-Y10+AB8</f>
        <v>918</v>
      </c>
    </row>
    <row r="11" spans="1:32" x14ac:dyDescent="0.25">
      <c r="A11" s="2"/>
      <c r="B11" s="83"/>
      <c r="C11" s="15">
        <v>4</v>
      </c>
      <c r="D11" s="151">
        <v>105.07</v>
      </c>
      <c r="E11" s="245">
        <v>44756</v>
      </c>
      <c r="F11" s="69">
        <f>D11</f>
        <v>105.07</v>
      </c>
      <c r="G11" s="70" t="s">
        <v>108</v>
      </c>
      <c r="H11" s="71">
        <v>84</v>
      </c>
      <c r="I11" s="208">
        <f>I10-F11</f>
        <v>6861.5700000000006</v>
      </c>
      <c r="J11" s="127">
        <f>J10-C11</f>
        <v>269</v>
      </c>
      <c r="L11" s="2"/>
      <c r="M11" s="83"/>
      <c r="N11" s="15">
        <v>4</v>
      </c>
      <c r="O11" s="151">
        <v>101.99</v>
      </c>
      <c r="P11" s="245">
        <v>44894</v>
      </c>
      <c r="Q11" s="69">
        <f>O11</f>
        <v>101.99</v>
      </c>
      <c r="R11" s="70" t="s">
        <v>572</v>
      </c>
      <c r="S11" s="71">
        <v>84</v>
      </c>
      <c r="T11" s="208">
        <f>T10-Q11</f>
        <v>966.65000000000009</v>
      </c>
      <c r="U11" s="127">
        <f>U10-N11</f>
        <v>40</v>
      </c>
      <c r="W11" s="2"/>
      <c r="X11" s="83"/>
      <c r="Y11" s="15">
        <v>10</v>
      </c>
      <c r="Z11" s="151">
        <v>189</v>
      </c>
      <c r="AA11" s="245">
        <v>44902</v>
      </c>
      <c r="AB11" s="69">
        <f>Z11</f>
        <v>189</v>
      </c>
      <c r="AC11" s="70" t="s">
        <v>634</v>
      </c>
      <c r="AD11" s="71">
        <v>85</v>
      </c>
      <c r="AE11" s="208">
        <f>AE10-AB11</f>
        <v>18302.900000000001</v>
      </c>
      <c r="AF11" s="127">
        <f>AF10-Y11</f>
        <v>908</v>
      </c>
    </row>
    <row r="12" spans="1:32" x14ac:dyDescent="0.25">
      <c r="A12" s="80" t="s">
        <v>32</v>
      </c>
      <c r="B12" s="83"/>
      <c r="C12" s="15">
        <v>1</v>
      </c>
      <c r="D12" s="151">
        <v>22.66</v>
      </c>
      <c r="E12" s="244">
        <v>44756</v>
      </c>
      <c r="F12" s="69">
        <f>D12</f>
        <v>22.66</v>
      </c>
      <c r="G12" s="70" t="s">
        <v>110</v>
      </c>
      <c r="H12" s="71">
        <v>84</v>
      </c>
      <c r="I12" s="208">
        <f t="shared" ref="I12:I68" si="0">I11-F12</f>
        <v>6838.9100000000008</v>
      </c>
      <c r="J12" s="127">
        <f t="shared" ref="J12:J68" si="1">J11-C12</f>
        <v>268</v>
      </c>
      <c r="L12" s="80" t="s">
        <v>32</v>
      </c>
      <c r="M12" s="83"/>
      <c r="N12" s="15">
        <v>1</v>
      </c>
      <c r="O12" s="151">
        <v>23.41</v>
      </c>
      <c r="P12" s="244">
        <v>44894</v>
      </c>
      <c r="Q12" s="69">
        <f>O12</f>
        <v>23.41</v>
      </c>
      <c r="R12" s="70" t="s">
        <v>573</v>
      </c>
      <c r="S12" s="71">
        <v>84</v>
      </c>
      <c r="T12" s="208">
        <f t="shared" ref="T12:T50" si="2">T11-Q12</f>
        <v>943.24000000000012</v>
      </c>
      <c r="U12" s="127">
        <f t="shared" ref="U12:U50" si="3">U11-N12</f>
        <v>39</v>
      </c>
      <c r="W12" s="80" t="s">
        <v>32</v>
      </c>
      <c r="X12" s="83"/>
      <c r="Y12" s="15">
        <v>5</v>
      </c>
      <c r="Z12" s="151">
        <v>101</v>
      </c>
      <c r="AA12" s="244">
        <v>44902</v>
      </c>
      <c r="AB12" s="69">
        <f>Z12</f>
        <v>101</v>
      </c>
      <c r="AC12" s="70" t="s">
        <v>637</v>
      </c>
      <c r="AD12" s="71">
        <v>85</v>
      </c>
      <c r="AE12" s="208">
        <f t="shared" ref="AE12:AE68" si="4">AE11-AB12</f>
        <v>18201.900000000001</v>
      </c>
      <c r="AF12" s="127">
        <f t="shared" ref="AF12:AF68" si="5">AF11-Y12</f>
        <v>903</v>
      </c>
    </row>
    <row r="13" spans="1:32" x14ac:dyDescent="0.25">
      <c r="A13" s="81"/>
      <c r="B13" s="83"/>
      <c r="C13" s="15">
        <v>2</v>
      </c>
      <c r="D13" s="151">
        <v>58.23</v>
      </c>
      <c r="E13" s="252">
        <v>44756</v>
      </c>
      <c r="F13" s="69">
        <f t="shared" ref="F13:F101" si="6">D13</f>
        <v>58.23</v>
      </c>
      <c r="G13" s="70" t="s">
        <v>110</v>
      </c>
      <c r="H13" s="71">
        <v>84</v>
      </c>
      <c r="I13" s="208">
        <f t="shared" si="0"/>
        <v>6780.6800000000012</v>
      </c>
      <c r="J13" s="127">
        <f t="shared" si="1"/>
        <v>266</v>
      </c>
      <c r="L13" s="81"/>
      <c r="M13" s="83"/>
      <c r="N13" s="15">
        <v>8</v>
      </c>
      <c r="O13" s="151">
        <v>182.56</v>
      </c>
      <c r="P13" s="252">
        <v>44897</v>
      </c>
      <c r="Q13" s="69">
        <f t="shared" ref="Q13:Q101" si="7">O13</f>
        <v>182.56</v>
      </c>
      <c r="R13" s="70" t="s">
        <v>596</v>
      </c>
      <c r="S13" s="71">
        <v>84</v>
      </c>
      <c r="T13" s="208">
        <f t="shared" si="2"/>
        <v>760.68000000000006</v>
      </c>
      <c r="U13" s="127">
        <f t="shared" si="3"/>
        <v>31</v>
      </c>
      <c r="W13" s="81"/>
      <c r="X13" s="83"/>
      <c r="Y13" s="15">
        <v>1</v>
      </c>
      <c r="Z13" s="151">
        <v>18.8</v>
      </c>
      <c r="AA13" s="252">
        <v>44903</v>
      </c>
      <c r="AB13" s="69">
        <f t="shared" ref="AB13:AB68" si="8">Z13</f>
        <v>18.8</v>
      </c>
      <c r="AC13" s="70" t="s">
        <v>642</v>
      </c>
      <c r="AD13" s="71">
        <v>85</v>
      </c>
      <c r="AE13" s="208">
        <f t="shared" si="4"/>
        <v>18183.100000000002</v>
      </c>
      <c r="AF13" s="127">
        <f t="shared" si="5"/>
        <v>902</v>
      </c>
    </row>
    <row r="14" spans="1:32" x14ac:dyDescent="0.25">
      <c r="A14" s="83"/>
      <c r="B14" s="83"/>
      <c r="C14" s="15">
        <v>4</v>
      </c>
      <c r="D14" s="151">
        <v>103.37</v>
      </c>
      <c r="E14" s="252">
        <v>44756</v>
      </c>
      <c r="F14" s="69">
        <f t="shared" si="6"/>
        <v>103.37</v>
      </c>
      <c r="G14" s="70" t="s">
        <v>111</v>
      </c>
      <c r="H14" s="71">
        <v>84</v>
      </c>
      <c r="I14" s="208">
        <f t="shared" si="0"/>
        <v>6677.3100000000013</v>
      </c>
      <c r="J14" s="127">
        <f t="shared" si="1"/>
        <v>262</v>
      </c>
      <c r="L14" s="83"/>
      <c r="M14" s="83"/>
      <c r="N14" s="15">
        <v>15</v>
      </c>
      <c r="O14" s="151">
        <v>363.78</v>
      </c>
      <c r="P14" s="252">
        <v>44898</v>
      </c>
      <c r="Q14" s="69">
        <f t="shared" si="7"/>
        <v>363.78</v>
      </c>
      <c r="R14" s="70" t="s">
        <v>605</v>
      </c>
      <c r="S14" s="71">
        <v>84</v>
      </c>
      <c r="T14" s="208">
        <f t="shared" si="2"/>
        <v>396.90000000000009</v>
      </c>
      <c r="U14" s="127">
        <f t="shared" si="3"/>
        <v>16</v>
      </c>
      <c r="W14" s="83"/>
      <c r="X14" s="83"/>
      <c r="Y14" s="15">
        <v>11</v>
      </c>
      <c r="Z14" s="151">
        <v>213.9</v>
      </c>
      <c r="AA14" s="252">
        <v>44903</v>
      </c>
      <c r="AB14" s="69">
        <f t="shared" si="8"/>
        <v>213.9</v>
      </c>
      <c r="AC14" s="70" t="s">
        <v>647</v>
      </c>
      <c r="AD14" s="71">
        <v>85</v>
      </c>
      <c r="AE14" s="208">
        <f t="shared" si="4"/>
        <v>17969.2</v>
      </c>
      <c r="AF14" s="127">
        <f t="shared" si="5"/>
        <v>891</v>
      </c>
    </row>
    <row r="15" spans="1:32" x14ac:dyDescent="0.25">
      <c r="A15" s="82" t="s">
        <v>33</v>
      </c>
      <c r="B15" s="83"/>
      <c r="C15" s="15">
        <v>4</v>
      </c>
      <c r="D15" s="151">
        <v>99.47</v>
      </c>
      <c r="E15" s="252">
        <v>44756</v>
      </c>
      <c r="F15" s="69">
        <f t="shared" si="6"/>
        <v>99.47</v>
      </c>
      <c r="G15" s="70" t="s">
        <v>111</v>
      </c>
      <c r="H15" s="71">
        <v>84</v>
      </c>
      <c r="I15" s="208">
        <f t="shared" si="0"/>
        <v>6577.8400000000011</v>
      </c>
      <c r="J15" s="127">
        <f t="shared" si="1"/>
        <v>258</v>
      </c>
      <c r="L15" s="82" t="s">
        <v>33</v>
      </c>
      <c r="M15" s="83"/>
      <c r="N15" s="15">
        <v>4</v>
      </c>
      <c r="O15" s="151">
        <v>99.81</v>
      </c>
      <c r="P15" s="252">
        <v>44898</v>
      </c>
      <c r="Q15" s="69">
        <f t="shared" si="7"/>
        <v>99.81</v>
      </c>
      <c r="R15" s="70" t="s">
        <v>608</v>
      </c>
      <c r="S15" s="71">
        <v>84</v>
      </c>
      <c r="T15" s="208">
        <f t="shared" si="2"/>
        <v>297.09000000000009</v>
      </c>
      <c r="U15" s="127">
        <f t="shared" si="3"/>
        <v>12</v>
      </c>
      <c r="W15" s="82" t="s">
        <v>33</v>
      </c>
      <c r="X15" s="83"/>
      <c r="Y15" s="15">
        <v>35</v>
      </c>
      <c r="Z15" s="151">
        <v>693.3</v>
      </c>
      <c r="AA15" s="252">
        <v>44903</v>
      </c>
      <c r="AB15" s="69">
        <f t="shared" si="8"/>
        <v>693.3</v>
      </c>
      <c r="AC15" s="70" t="s">
        <v>650</v>
      </c>
      <c r="AD15" s="71">
        <v>85</v>
      </c>
      <c r="AE15" s="208">
        <f t="shared" si="4"/>
        <v>17275.900000000001</v>
      </c>
      <c r="AF15" s="127">
        <f t="shared" si="5"/>
        <v>856</v>
      </c>
    </row>
    <row r="16" spans="1:32" x14ac:dyDescent="0.25">
      <c r="A16" s="81"/>
      <c r="B16" s="83"/>
      <c r="C16" s="15">
        <v>4</v>
      </c>
      <c r="D16" s="151">
        <v>109.66</v>
      </c>
      <c r="E16" s="244">
        <v>44756</v>
      </c>
      <c r="F16" s="69">
        <f t="shared" si="6"/>
        <v>109.66</v>
      </c>
      <c r="G16" s="70" t="s">
        <v>112</v>
      </c>
      <c r="H16" s="71">
        <v>84</v>
      </c>
      <c r="I16" s="208">
        <f t="shared" si="0"/>
        <v>6468.1800000000012</v>
      </c>
      <c r="J16" s="127">
        <f t="shared" si="1"/>
        <v>254</v>
      </c>
      <c r="L16" s="81"/>
      <c r="M16" s="83"/>
      <c r="N16" s="15">
        <v>6</v>
      </c>
      <c r="O16" s="151">
        <v>155.22</v>
      </c>
      <c r="P16" s="244">
        <v>44901</v>
      </c>
      <c r="Q16" s="69">
        <f t="shared" si="7"/>
        <v>155.22</v>
      </c>
      <c r="R16" s="70" t="s">
        <v>625</v>
      </c>
      <c r="S16" s="71">
        <v>80</v>
      </c>
      <c r="T16" s="208">
        <f t="shared" si="2"/>
        <v>141.87000000000009</v>
      </c>
      <c r="U16" s="127">
        <f t="shared" si="3"/>
        <v>6</v>
      </c>
      <c r="W16" s="81"/>
      <c r="X16" s="83"/>
      <c r="Y16" s="15">
        <v>17</v>
      </c>
      <c r="Z16" s="151">
        <v>343.1</v>
      </c>
      <c r="AA16" s="244">
        <v>44904</v>
      </c>
      <c r="AB16" s="69">
        <f t="shared" si="8"/>
        <v>343.1</v>
      </c>
      <c r="AC16" s="70" t="s">
        <v>654</v>
      </c>
      <c r="AD16" s="71">
        <v>85</v>
      </c>
      <c r="AE16" s="208">
        <f t="shared" si="4"/>
        <v>16932.800000000003</v>
      </c>
      <c r="AF16" s="127">
        <f t="shared" si="5"/>
        <v>839</v>
      </c>
    </row>
    <row r="17" spans="1:32" x14ac:dyDescent="0.25">
      <c r="A17" s="83"/>
      <c r="B17" s="83"/>
      <c r="C17" s="15">
        <v>2</v>
      </c>
      <c r="D17" s="151">
        <v>55.01</v>
      </c>
      <c r="E17" s="252">
        <v>44760</v>
      </c>
      <c r="F17" s="69">
        <f t="shared" si="6"/>
        <v>55.01</v>
      </c>
      <c r="G17" s="70" t="s">
        <v>113</v>
      </c>
      <c r="H17" s="71">
        <v>84</v>
      </c>
      <c r="I17" s="208">
        <f t="shared" si="0"/>
        <v>6413.170000000001</v>
      </c>
      <c r="J17" s="127">
        <f t="shared" si="1"/>
        <v>252</v>
      </c>
      <c r="L17" s="83"/>
      <c r="M17" s="83"/>
      <c r="N17" s="15">
        <v>6</v>
      </c>
      <c r="O17" s="151">
        <v>141.87</v>
      </c>
      <c r="P17" s="252">
        <v>44902</v>
      </c>
      <c r="Q17" s="69">
        <f t="shared" si="7"/>
        <v>141.87</v>
      </c>
      <c r="R17" s="70" t="s">
        <v>631</v>
      </c>
      <c r="S17" s="71">
        <v>80</v>
      </c>
      <c r="T17" s="208">
        <f t="shared" si="2"/>
        <v>0</v>
      </c>
      <c r="U17" s="127">
        <f t="shared" si="3"/>
        <v>0</v>
      </c>
      <c r="W17" s="83"/>
      <c r="X17" s="83"/>
      <c r="Y17" s="15">
        <v>35</v>
      </c>
      <c r="Z17" s="151">
        <v>710</v>
      </c>
      <c r="AA17" s="252">
        <v>44904</v>
      </c>
      <c r="AB17" s="69">
        <f t="shared" si="8"/>
        <v>710</v>
      </c>
      <c r="AC17" s="70" t="s">
        <v>658</v>
      </c>
      <c r="AD17" s="71">
        <v>85</v>
      </c>
      <c r="AE17" s="208">
        <f t="shared" si="4"/>
        <v>16222.800000000003</v>
      </c>
      <c r="AF17" s="127">
        <f t="shared" si="5"/>
        <v>804</v>
      </c>
    </row>
    <row r="18" spans="1:32" x14ac:dyDescent="0.25">
      <c r="A18" s="2"/>
      <c r="B18" s="83"/>
      <c r="C18" s="15">
        <v>4</v>
      </c>
      <c r="D18" s="151">
        <v>106.28</v>
      </c>
      <c r="E18" s="252">
        <v>44761</v>
      </c>
      <c r="F18" s="69">
        <f t="shared" si="6"/>
        <v>106.28</v>
      </c>
      <c r="G18" s="406" t="s">
        <v>114</v>
      </c>
      <c r="H18" s="71">
        <v>84</v>
      </c>
      <c r="I18" s="208">
        <f t="shared" si="0"/>
        <v>6306.8900000000012</v>
      </c>
      <c r="J18" s="127">
        <f t="shared" si="1"/>
        <v>248</v>
      </c>
      <c r="L18" s="2"/>
      <c r="M18" s="83"/>
      <c r="N18" s="15"/>
      <c r="O18" s="151"/>
      <c r="P18" s="252"/>
      <c r="Q18" s="69">
        <f t="shared" si="7"/>
        <v>0</v>
      </c>
      <c r="R18" s="406"/>
      <c r="S18" s="71"/>
      <c r="T18" s="208">
        <f t="shared" si="2"/>
        <v>0</v>
      </c>
      <c r="U18" s="127">
        <f t="shared" si="3"/>
        <v>0</v>
      </c>
      <c r="W18" s="2"/>
      <c r="X18" s="83"/>
      <c r="Y18" s="15">
        <f>35+35</f>
        <v>70</v>
      </c>
      <c r="Z18" s="151">
        <f>701.2+705.2</f>
        <v>1406.4</v>
      </c>
      <c r="AA18" s="252">
        <v>44904</v>
      </c>
      <c r="AB18" s="69">
        <f t="shared" si="8"/>
        <v>1406.4</v>
      </c>
      <c r="AC18" s="406" t="s">
        <v>665</v>
      </c>
      <c r="AD18" s="71">
        <v>85</v>
      </c>
      <c r="AE18" s="208">
        <f t="shared" si="4"/>
        <v>14816.400000000003</v>
      </c>
      <c r="AF18" s="127">
        <f t="shared" si="5"/>
        <v>734</v>
      </c>
    </row>
    <row r="19" spans="1:32" x14ac:dyDescent="0.25">
      <c r="A19" s="2"/>
      <c r="B19" s="83"/>
      <c r="C19" s="53">
        <v>4</v>
      </c>
      <c r="D19" s="151">
        <v>102.17</v>
      </c>
      <c r="E19" s="252">
        <v>44764</v>
      </c>
      <c r="F19" s="69">
        <f t="shared" si="6"/>
        <v>102.17</v>
      </c>
      <c r="G19" s="70" t="s">
        <v>115</v>
      </c>
      <c r="H19" s="71">
        <v>84</v>
      </c>
      <c r="I19" s="208">
        <f t="shared" si="0"/>
        <v>6204.7200000000012</v>
      </c>
      <c r="J19" s="127">
        <f t="shared" si="1"/>
        <v>244</v>
      </c>
      <c r="L19" s="2"/>
      <c r="M19" s="83"/>
      <c r="N19" s="53"/>
      <c r="O19" s="151"/>
      <c r="P19" s="252"/>
      <c r="Q19" s="69">
        <f t="shared" si="7"/>
        <v>0</v>
      </c>
      <c r="R19" s="70"/>
      <c r="S19" s="71"/>
      <c r="T19" s="208">
        <f t="shared" si="2"/>
        <v>0</v>
      </c>
      <c r="U19" s="127">
        <f t="shared" si="3"/>
        <v>0</v>
      </c>
      <c r="W19" s="2"/>
      <c r="X19" s="83"/>
      <c r="Y19" s="53">
        <v>15</v>
      </c>
      <c r="Z19" s="151">
        <v>311.60000000000002</v>
      </c>
      <c r="AA19" s="252">
        <v>44905</v>
      </c>
      <c r="AB19" s="69">
        <f t="shared" si="8"/>
        <v>311.60000000000002</v>
      </c>
      <c r="AC19" s="70" t="s">
        <v>671</v>
      </c>
      <c r="AD19" s="71">
        <v>85</v>
      </c>
      <c r="AE19" s="208">
        <f t="shared" si="4"/>
        <v>14504.800000000003</v>
      </c>
      <c r="AF19" s="127">
        <f t="shared" si="5"/>
        <v>719</v>
      </c>
    </row>
    <row r="20" spans="1:32" x14ac:dyDescent="0.25">
      <c r="A20" s="2"/>
      <c r="B20" s="83"/>
      <c r="C20" s="15">
        <v>2</v>
      </c>
      <c r="D20" s="151">
        <v>49.39</v>
      </c>
      <c r="E20" s="244">
        <v>44770</v>
      </c>
      <c r="F20" s="69">
        <f t="shared" si="6"/>
        <v>49.39</v>
      </c>
      <c r="G20" s="70" t="s">
        <v>116</v>
      </c>
      <c r="H20" s="71">
        <v>84</v>
      </c>
      <c r="I20" s="208">
        <f t="shared" si="0"/>
        <v>6155.3300000000008</v>
      </c>
      <c r="J20" s="127">
        <f t="shared" si="1"/>
        <v>242</v>
      </c>
      <c r="L20" s="2"/>
      <c r="M20" s="83"/>
      <c r="N20" s="15"/>
      <c r="O20" s="151"/>
      <c r="P20" s="244"/>
      <c r="Q20" s="69">
        <f t="shared" si="7"/>
        <v>0</v>
      </c>
      <c r="R20" s="70"/>
      <c r="S20" s="71"/>
      <c r="T20" s="208">
        <f t="shared" si="2"/>
        <v>0</v>
      </c>
      <c r="U20" s="127">
        <f t="shared" si="3"/>
        <v>0</v>
      </c>
      <c r="W20" s="2"/>
      <c r="X20" s="83"/>
      <c r="Y20" s="15">
        <v>5</v>
      </c>
      <c r="Z20" s="151">
        <v>103.7</v>
      </c>
      <c r="AA20" s="244">
        <v>44908</v>
      </c>
      <c r="AB20" s="69">
        <f t="shared" si="8"/>
        <v>103.7</v>
      </c>
      <c r="AC20" s="70" t="s">
        <v>691</v>
      </c>
      <c r="AD20" s="71">
        <v>85</v>
      </c>
      <c r="AE20" s="208">
        <f t="shared" si="4"/>
        <v>14401.100000000002</v>
      </c>
      <c r="AF20" s="127">
        <f t="shared" si="5"/>
        <v>714</v>
      </c>
    </row>
    <row r="21" spans="1:32" x14ac:dyDescent="0.25">
      <c r="A21" s="2"/>
      <c r="B21" s="83"/>
      <c r="C21" s="15">
        <v>1</v>
      </c>
      <c r="D21" s="151">
        <v>24.57</v>
      </c>
      <c r="E21" s="244">
        <v>44770</v>
      </c>
      <c r="F21" s="69">
        <f t="shared" si="6"/>
        <v>24.57</v>
      </c>
      <c r="G21" s="70" t="s">
        <v>118</v>
      </c>
      <c r="H21" s="71">
        <v>86</v>
      </c>
      <c r="I21" s="208">
        <f t="shared" si="0"/>
        <v>6130.7600000000011</v>
      </c>
      <c r="J21" s="127">
        <f t="shared" si="1"/>
        <v>241</v>
      </c>
      <c r="L21" s="2"/>
      <c r="M21" s="83"/>
      <c r="N21" s="15"/>
      <c r="O21" s="151"/>
      <c r="P21" s="244"/>
      <c r="Q21" s="69">
        <f t="shared" si="7"/>
        <v>0</v>
      </c>
      <c r="R21" s="70"/>
      <c r="S21" s="71"/>
      <c r="T21" s="208">
        <f t="shared" si="2"/>
        <v>0</v>
      </c>
      <c r="U21" s="127">
        <f t="shared" si="3"/>
        <v>0</v>
      </c>
      <c r="W21" s="2"/>
      <c r="X21" s="83"/>
      <c r="Y21" s="15">
        <v>2</v>
      </c>
      <c r="Z21" s="151">
        <v>42.4</v>
      </c>
      <c r="AA21" s="244">
        <v>44909</v>
      </c>
      <c r="AB21" s="69">
        <f t="shared" si="8"/>
        <v>42.4</v>
      </c>
      <c r="AC21" s="70" t="s">
        <v>701</v>
      </c>
      <c r="AD21" s="71">
        <v>84</v>
      </c>
      <c r="AE21" s="208">
        <f t="shared" si="4"/>
        <v>14358.700000000003</v>
      </c>
      <c r="AF21" s="127">
        <f t="shared" si="5"/>
        <v>712</v>
      </c>
    </row>
    <row r="22" spans="1:32" x14ac:dyDescent="0.25">
      <c r="A22" s="2"/>
      <c r="B22" s="83"/>
      <c r="C22" s="15">
        <v>4</v>
      </c>
      <c r="D22" s="151">
        <v>108.47</v>
      </c>
      <c r="E22" s="245">
        <v>44770</v>
      </c>
      <c r="F22" s="69">
        <f t="shared" si="6"/>
        <v>108.47</v>
      </c>
      <c r="G22" s="70" t="s">
        <v>117</v>
      </c>
      <c r="H22" s="71">
        <v>84</v>
      </c>
      <c r="I22" s="208">
        <f t="shared" si="0"/>
        <v>6022.2900000000009</v>
      </c>
      <c r="J22" s="127">
        <f t="shared" si="1"/>
        <v>237</v>
      </c>
      <c r="L22" s="2"/>
      <c r="M22" s="83"/>
      <c r="N22" s="15"/>
      <c r="O22" s="151"/>
      <c r="P22" s="245"/>
      <c r="Q22" s="69">
        <f t="shared" si="7"/>
        <v>0</v>
      </c>
      <c r="R22" s="70"/>
      <c r="S22" s="71"/>
      <c r="T22" s="208">
        <f t="shared" si="2"/>
        <v>0</v>
      </c>
      <c r="U22" s="127">
        <f t="shared" si="3"/>
        <v>0</v>
      </c>
      <c r="W22" s="2"/>
      <c r="X22" s="83"/>
      <c r="Y22" s="15">
        <f>35+35</f>
        <v>70</v>
      </c>
      <c r="Z22" s="151">
        <f>644+645.8</f>
        <v>1289.8</v>
      </c>
      <c r="AA22" s="245">
        <v>44909</v>
      </c>
      <c r="AB22" s="69">
        <f t="shared" si="8"/>
        <v>1289.8</v>
      </c>
      <c r="AC22" s="70" t="s">
        <v>702</v>
      </c>
      <c r="AD22" s="71">
        <v>85</v>
      </c>
      <c r="AE22" s="208">
        <f t="shared" si="4"/>
        <v>13068.900000000003</v>
      </c>
      <c r="AF22" s="127">
        <f t="shared" si="5"/>
        <v>642</v>
      </c>
    </row>
    <row r="23" spans="1:32" x14ac:dyDescent="0.25">
      <c r="A23" s="2"/>
      <c r="B23" s="83"/>
      <c r="C23" s="15">
        <v>1</v>
      </c>
      <c r="D23" s="151">
        <v>23.31</v>
      </c>
      <c r="E23" s="245">
        <v>44772</v>
      </c>
      <c r="F23" s="69">
        <f t="shared" si="6"/>
        <v>23.31</v>
      </c>
      <c r="G23" s="70" t="s">
        <v>119</v>
      </c>
      <c r="H23" s="71">
        <v>84</v>
      </c>
      <c r="I23" s="208">
        <f t="shared" si="0"/>
        <v>5998.9800000000005</v>
      </c>
      <c r="J23" s="127">
        <f t="shared" si="1"/>
        <v>236</v>
      </c>
      <c r="L23" s="2"/>
      <c r="M23" s="83"/>
      <c r="N23" s="15"/>
      <c r="O23" s="151"/>
      <c r="P23" s="245"/>
      <c r="Q23" s="69">
        <f t="shared" si="7"/>
        <v>0</v>
      </c>
      <c r="R23" s="70"/>
      <c r="S23" s="71"/>
      <c r="T23" s="208">
        <f t="shared" si="2"/>
        <v>0</v>
      </c>
      <c r="U23" s="127">
        <f t="shared" si="3"/>
        <v>0</v>
      </c>
      <c r="W23" s="2"/>
      <c r="X23" s="83"/>
      <c r="Y23" s="15">
        <v>6</v>
      </c>
      <c r="Z23" s="151">
        <v>113.5</v>
      </c>
      <c r="AA23" s="245">
        <v>44911</v>
      </c>
      <c r="AB23" s="69">
        <f t="shared" si="8"/>
        <v>113.5</v>
      </c>
      <c r="AC23" s="70" t="s">
        <v>733</v>
      </c>
      <c r="AD23" s="71">
        <v>85</v>
      </c>
      <c r="AE23" s="208">
        <f t="shared" si="4"/>
        <v>12955.400000000003</v>
      </c>
      <c r="AF23" s="127">
        <f t="shared" si="5"/>
        <v>636</v>
      </c>
    </row>
    <row r="24" spans="1:32" x14ac:dyDescent="0.25">
      <c r="A24" s="2"/>
      <c r="B24" s="83"/>
      <c r="C24" s="15">
        <v>4</v>
      </c>
      <c r="D24" s="633">
        <v>110.66</v>
      </c>
      <c r="E24" s="631">
        <v>44776</v>
      </c>
      <c r="F24" s="626">
        <f t="shared" si="6"/>
        <v>110.66</v>
      </c>
      <c r="G24" s="627" t="s">
        <v>121</v>
      </c>
      <c r="H24" s="379">
        <v>84</v>
      </c>
      <c r="I24" s="208">
        <f t="shared" si="0"/>
        <v>5888.3200000000006</v>
      </c>
      <c r="J24" s="127">
        <f t="shared" si="1"/>
        <v>232</v>
      </c>
      <c r="L24" s="2"/>
      <c r="M24" s="83"/>
      <c r="N24" s="15"/>
      <c r="O24" s="151"/>
      <c r="P24" s="245"/>
      <c r="Q24" s="69">
        <f t="shared" si="7"/>
        <v>0</v>
      </c>
      <c r="R24" s="70"/>
      <c r="S24" s="71"/>
      <c r="T24" s="208">
        <f t="shared" si="2"/>
        <v>0</v>
      </c>
      <c r="U24" s="127">
        <f t="shared" si="3"/>
        <v>0</v>
      </c>
      <c r="W24" s="2"/>
      <c r="X24" s="83"/>
      <c r="Y24" s="15">
        <f>35+35</f>
        <v>70</v>
      </c>
      <c r="Z24" s="151">
        <f>713.3+651.3</f>
        <v>1364.6</v>
      </c>
      <c r="AA24" s="245">
        <v>44912</v>
      </c>
      <c r="AB24" s="69">
        <f t="shared" si="8"/>
        <v>1364.6</v>
      </c>
      <c r="AC24" s="70" t="s">
        <v>740</v>
      </c>
      <c r="AD24" s="71">
        <v>85</v>
      </c>
      <c r="AE24" s="208">
        <f t="shared" si="4"/>
        <v>11590.800000000003</v>
      </c>
      <c r="AF24" s="127">
        <f t="shared" si="5"/>
        <v>566</v>
      </c>
    </row>
    <row r="25" spans="1:32" x14ac:dyDescent="0.25">
      <c r="A25" s="2"/>
      <c r="B25" s="83"/>
      <c r="C25" s="15">
        <v>2</v>
      </c>
      <c r="D25" s="633">
        <v>56.86</v>
      </c>
      <c r="E25" s="631">
        <v>44778</v>
      </c>
      <c r="F25" s="626">
        <f t="shared" si="6"/>
        <v>56.86</v>
      </c>
      <c r="G25" s="627" t="s">
        <v>122</v>
      </c>
      <c r="H25" s="379">
        <v>84</v>
      </c>
      <c r="I25" s="208">
        <f t="shared" si="0"/>
        <v>5831.4600000000009</v>
      </c>
      <c r="J25" s="127">
        <f t="shared" si="1"/>
        <v>230</v>
      </c>
      <c r="L25" s="2"/>
      <c r="M25" s="83"/>
      <c r="N25" s="15"/>
      <c r="O25" s="151"/>
      <c r="P25" s="245"/>
      <c r="Q25" s="69">
        <f t="shared" si="7"/>
        <v>0</v>
      </c>
      <c r="R25" s="70"/>
      <c r="S25" s="71"/>
      <c r="T25" s="208">
        <f t="shared" si="2"/>
        <v>0</v>
      </c>
      <c r="U25" s="127">
        <f t="shared" si="3"/>
        <v>0</v>
      </c>
      <c r="W25" s="2"/>
      <c r="X25" s="83"/>
      <c r="Y25" s="15">
        <v>35</v>
      </c>
      <c r="Z25" s="151">
        <v>695.5</v>
      </c>
      <c r="AA25" s="245">
        <v>44914</v>
      </c>
      <c r="AB25" s="69">
        <f t="shared" si="8"/>
        <v>695.5</v>
      </c>
      <c r="AC25" s="70" t="s">
        <v>755</v>
      </c>
      <c r="AD25" s="71">
        <v>85</v>
      </c>
      <c r="AE25" s="208">
        <f t="shared" si="4"/>
        <v>10895.300000000003</v>
      </c>
      <c r="AF25" s="127">
        <f t="shared" si="5"/>
        <v>531</v>
      </c>
    </row>
    <row r="26" spans="1:32" x14ac:dyDescent="0.25">
      <c r="A26" s="2"/>
      <c r="B26" s="83"/>
      <c r="C26" s="15">
        <v>4</v>
      </c>
      <c r="D26" s="633">
        <v>104.61</v>
      </c>
      <c r="E26" s="631">
        <v>44781</v>
      </c>
      <c r="F26" s="626">
        <f t="shared" si="6"/>
        <v>104.61</v>
      </c>
      <c r="G26" s="627" t="s">
        <v>123</v>
      </c>
      <c r="H26" s="379">
        <v>84</v>
      </c>
      <c r="I26" s="208">
        <f t="shared" si="0"/>
        <v>5726.8500000000013</v>
      </c>
      <c r="J26" s="127">
        <f t="shared" si="1"/>
        <v>226</v>
      </c>
      <c r="L26" s="2"/>
      <c r="M26" s="83"/>
      <c r="N26" s="15"/>
      <c r="O26" s="151"/>
      <c r="P26" s="245"/>
      <c r="Q26" s="69">
        <f t="shared" si="7"/>
        <v>0</v>
      </c>
      <c r="R26" s="70"/>
      <c r="S26" s="71"/>
      <c r="T26" s="208">
        <f t="shared" si="2"/>
        <v>0</v>
      </c>
      <c r="U26" s="127">
        <f t="shared" si="3"/>
        <v>0</v>
      </c>
      <c r="W26" s="2"/>
      <c r="X26" s="83"/>
      <c r="Y26" s="15">
        <v>35</v>
      </c>
      <c r="Z26" s="151">
        <v>717.7</v>
      </c>
      <c r="AA26" s="245">
        <v>44915</v>
      </c>
      <c r="AB26" s="69">
        <f t="shared" si="8"/>
        <v>717.7</v>
      </c>
      <c r="AC26" s="70" t="s">
        <v>761</v>
      </c>
      <c r="AD26" s="71">
        <v>85</v>
      </c>
      <c r="AE26" s="208">
        <f t="shared" si="4"/>
        <v>10177.600000000002</v>
      </c>
      <c r="AF26" s="127">
        <f t="shared" si="5"/>
        <v>496</v>
      </c>
    </row>
    <row r="27" spans="1:32" x14ac:dyDescent="0.25">
      <c r="A27" s="2"/>
      <c r="B27" s="83"/>
      <c r="C27" s="15">
        <v>2</v>
      </c>
      <c r="D27" s="633">
        <v>56.75</v>
      </c>
      <c r="E27" s="631">
        <v>44783</v>
      </c>
      <c r="F27" s="626">
        <f t="shared" si="6"/>
        <v>56.75</v>
      </c>
      <c r="G27" s="627" t="s">
        <v>124</v>
      </c>
      <c r="H27" s="379">
        <v>84</v>
      </c>
      <c r="I27" s="208">
        <f t="shared" si="0"/>
        <v>5670.1000000000013</v>
      </c>
      <c r="J27" s="127">
        <f t="shared" si="1"/>
        <v>224</v>
      </c>
      <c r="L27" s="2"/>
      <c r="M27" s="83"/>
      <c r="N27" s="15"/>
      <c r="O27" s="151"/>
      <c r="P27" s="245"/>
      <c r="Q27" s="69">
        <f t="shared" si="7"/>
        <v>0</v>
      </c>
      <c r="R27" s="70"/>
      <c r="S27" s="71"/>
      <c r="T27" s="208">
        <f t="shared" si="2"/>
        <v>0</v>
      </c>
      <c r="U27" s="127">
        <f t="shared" si="3"/>
        <v>0</v>
      </c>
      <c r="W27" s="2"/>
      <c r="X27" s="83"/>
      <c r="Y27" s="15">
        <v>35</v>
      </c>
      <c r="Z27" s="151">
        <v>728.3</v>
      </c>
      <c r="AA27" s="245">
        <v>44915</v>
      </c>
      <c r="AB27" s="69">
        <f t="shared" si="8"/>
        <v>728.3</v>
      </c>
      <c r="AC27" s="70" t="s">
        <v>761</v>
      </c>
      <c r="AD27" s="71">
        <v>85</v>
      </c>
      <c r="AE27" s="208">
        <f t="shared" si="4"/>
        <v>9449.3000000000029</v>
      </c>
      <c r="AF27" s="127">
        <f t="shared" si="5"/>
        <v>461</v>
      </c>
    </row>
    <row r="28" spans="1:32" x14ac:dyDescent="0.25">
      <c r="A28" s="2"/>
      <c r="B28" s="83"/>
      <c r="C28" s="15">
        <v>4</v>
      </c>
      <c r="D28" s="633">
        <v>101.28</v>
      </c>
      <c r="E28" s="631">
        <v>44784</v>
      </c>
      <c r="F28" s="626">
        <f t="shared" si="6"/>
        <v>101.28</v>
      </c>
      <c r="G28" s="627" t="s">
        <v>125</v>
      </c>
      <c r="H28" s="379">
        <v>84</v>
      </c>
      <c r="I28" s="208">
        <f t="shared" si="0"/>
        <v>5568.8200000000015</v>
      </c>
      <c r="J28" s="127">
        <f t="shared" si="1"/>
        <v>220</v>
      </c>
      <c r="L28" s="2"/>
      <c r="M28" s="83"/>
      <c r="N28" s="15"/>
      <c r="O28" s="151"/>
      <c r="P28" s="245"/>
      <c r="Q28" s="69">
        <f t="shared" si="7"/>
        <v>0</v>
      </c>
      <c r="R28" s="70"/>
      <c r="S28" s="71"/>
      <c r="T28" s="208">
        <f t="shared" si="2"/>
        <v>0</v>
      </c>
      <c r="U28" s="127">
        <f t="shared" si="3"/>
        <v>0</v>
      </c>
      <c r="W28" s="2"/>
      <c r="X28" s="83"/>
      <c r="Y28" s="15">
        <v>35</v>
      </c>
      <c r="Z28" s="151">
        <v>706.1</v>
      </c>
      <c r="AA28" s="245">
        <v>44915</v>
      </c>
      <c r="AB28" s="69">
        <f t="shared" si="8"/>
        <v>706.1</v>
      </c>
      <c r="AC28" s="70" t="s">
        <v>764</v>
      </c>
      <c r="AD28" s="71">
        <v>85</v>
      </c>
      <c r="AE28" s="208">
        <f t="shared" si="4"/>
        <v>8743.2000000000025</v>
      </c>
      <c r="AF28" s="127">
        <f t="shared" si="5"/>
        <v>426</v>
      </c>
    </row>
    <row r="29" spans="1:32" x14ac:dyDescent="0.25">
      <c r="A29" s="2"/>
      <c r="B29" s="83"/>
      <c r="C29" s="15">
        <v>1</v>
      </c>
      <c r="D29" s="633">
        <v>25.62</v>
      </c>
      <c r="E29" s="631">
        <v>44785</v>
      </c>
      <c r="F29" s="626">
        <f t="shared" si="6"/>
        <v>25.62</v>
      </c>
      <c r="G29" s="627" t="s">
        <v>126</v>
      </c>
      <c r="H29" s="379">
        <v>84</v>
      </c>
      <c r="I29" s="208">
        <f t="shared" si="0"/>
        <v>5543.2000000000016</v>
      </c>
      <c r="J29" s="127">
        <f t="shared" si="1"/>
        <v>219</v>
      </c>
      <c r="L29" s="2"/>
      <c r="M29" s="83"/>
      <c r="N29" s="15"/>
      <c r="O29" s="151"/>
      <c r="P29" s="245"/>
      <c r="Q29" s="69">
        <f t="shared" si="7"/>
        <v>0</v>
      </c>
      <c r="R29" s="70"/>
      <c r="S29" s="71"/>
      <c r="T29" s="208">
        <f t="shared" si="2"/>
        <v>0</v>
      </c>
      <c r="U29" s="127">
        <f t="shared" si="3"/>
        <v>0</v>
      </c>
      <c r="W29" s="2"/>
      <c r="X29" s="83"/>
      <c r="Y29" s="15">
        <v>1</v>
      </c>
      <c r="Z29" s="151">
        <v>22.6</v>
      </c>
      <c r="AA29" s="245">
        <v>44916</v>
      </c>
      <c r="AB29" s="69">
        <f t="shared" si="8"/>
        <v>22.6</v>
      </c>
      <c r="AC29" s="70" t="s">
        <v>765</v>
      </c>
      <c r="AD29" s="71">
        <v>85</v>
      </c>
      <c r="AE29" s="208">
        <f t="shared" si="4"/>
        <v>8720.6000000000022</v>
      </c>
      <c r="AF29" s="127">
        <f t="shared" si="5"/>
        <v>425</v>
      </c>
    </row>
    <row r="30" spans="1:32" x14ac:dyDescent="0.25">
      <c r="A30" s="2"/>
      <c r="B30" s="83"/>
      <c r="C30" s="15">
        <v>2</v>
      </c>
      <c r="D30" s="633">
        <v>53.43</v>
      </c>
      <c r="E30" s="631">
        <v>44785</v>
      </c>
      <c r="F30" s="626">
        <f t="shared" si="6"/>
        <v>53.43</v>
      </c>
      <c r="G30" s="627" t="s">
        <v>126</v>
      </c>
      <c r="H30" s="379">
        <v>84</v>
      </c>
      <c r="I30" s="208">
        <f t="shared" si="0"/>
        <v>5489.7700000000013</v>
      </c>
      <c r="J30" s="127">
        <f t="shared" si="1"/>
        <v>217</v>
      </c>
      <c r="L30" s="2"/>
      <c r="M30" s="83"/>
      <c r="N30" s="15"/>
      <c r="O30" s="151"/>
      <c r="P30" s="245"/>
      <c r="Q30" s="69">
        <f t="shared" si="7"/>
        <v>0</v>
      </c>
      <c r="R30" s="70"/>
      <c r="S30" s="71"/>
      <c r="T30" s="208">
        <f t="shared" si="2"/>
        <v>0</v>
      </c>
      <c r="U30" s="127">
        <f t="shared" si="3"/>
        <v>0</v>
      </c>
      <c r="W30" s="2"/>
      <c r="X30" s="83"/>
      <c r="Y30" s="15">
        <v>35</v>
      </c>
      <c r="Z30" s="151">
        <v>716.8</v>
      </c>
      <c r="AA30" s="245">
        <v>44916</v>
      </c>
      <c r="AB30" s="69">
        <f t="shared" si="8"/>
        <v>716.8</v>
      </c>
      <c r="AC30" s="70" t="s">
        <v>768</v>
      </c>
      <c r="AD30" s="71">
        <v>85</v>
      </c>
      <c r="AE30" s="208">
        <f t="shared" si="4"/>
        <v>8003.800000000002</v>
      </c>
      <c r="AF30" s="127">
        <f t="shared" si="5"/>
        <v>390</v>
      </c>
    </row>
    <row r="31" spans="1:32" x14ac:dyDescent="0.25">
      <c r="A31" s="2"/>
      <c r="B31" s="83"/>
      <c r="C31" s="15">
        <v>2</v>
      </c>
      <c r="D31" s="633">
        <v>56.1</v>
      </c>
      <c r="E31" s="631">
        <v>44786</v>
      </c>
      <c r="F31" s="626">
        <f t="shared" si="6"/>
        <v>56.1</v>
      </c>
      <c r="G31" s="627" t="s">
        <v>128</v>
      </c>
      <c r="H31" s="379">
        <v>84</v>
      </c>
      <c r="I31" s="208">
        <f t="shared" si="0"/>
        <v>5433.670000000001</v>
      </c>
      <c r="J31" s="127">
        <f t="shared" si="1"/>
        <v>215</v>
      </c>
      <c r="L31" s="2"/>
      <c r="M31" s="83"/>
      <c r="N31" s="15"/>
      <c r="O31" s="151"/>
      <c r="P31" s="245"/>
      <c r="Q31" s="69">
        <f t="shared" si="7"/>
        <v>0</v>
      </c>
      <c r="R31" s="70"/>
      <c r="S31" s="71"/>
      <c r="T31" s="208">
        <f t="shared" si="2"/>
        <v>0</v>
      </c>
      <c r="U31" s="127">
        <f t="shared" si="3"/>
        <v>0</v>
      </c>
      <c r="W31" s="2"/>
      <c r="X31" s="83"/>
      <c r="Y31" s="15">
        <v>2</v>
      </c>
      <c r="Z31" s="151">
        <v>42.6</v>
      </c>
      <c r="AA31" s="245">
        <v>44916</v>
      </c>
      <c r="AB31" s="69">
        <f t="shared" si="8"/>
        <v>42.6</v>
      </c>
      <c r="AC31" s="70" t="s">
        <v>779</v>
      </c>
      <c r="AD31" s="71">
        <v>85</v>
      </c>
      <c r="AE31" s="208">
        <f t="shared" si="4"/>
        <v>7961.2000000000016</v>
      </c>
      <c r="AF31" s="127">
        <f t="shared" si="5"/>
        <v>388</v>
      </c>
    </row>
    <row r="32" spans="1:32" x14ac:dyDescent="0.25">
      <c r="A32" s="2"/>
      <c r="B32" s="83"/>
      <c r="C32" s="15">
        <v>2</v>
      </c>
      <c r="D32" s="633">
        <v>56.8</v>
      </c>
      <c r="E32" s="631">
        <v>44788</v>
      </c>
      <c r="F32" s="626">
        <f t="shared" si="6"/>
        <v>56.8</v>
      </c>
      <c r="G32" s="627" t="s">
        <v>131</v>
      </c>
      <c r="H32" s="379">
        <v>84</v>
      </c>
      <c r="I32" s="208">
        <f t="shared" si="0"/>
        <v>5376.8700000000008</v>
      </c>
      <c r="J32" s="127">
        <f t="shared" si="1"/>
        <v>213</v>
      </c>
      <c r="L32" s="2"/>
      <c r="M32" s="83"/>
      <c r="N32" s="15"/>
      <c r="O32" s="151"/>
      <c r="P32" s="245"/>
      <c r="Q32" s="69">
        <f t="shared" si="7"/>
        <v>0</v>
      </c>
      <c r="R32" s="70"/>
      <c r="S32" s="71"/>
      <c r="T32" s="208">
        <f t="shared" si="2"/>
        <v>0</v>
      </c>
      <c r="U32" s="127">
        <f t="shared" si="3"/>
        <v>0</v>
      </c>
      <c r="W32" s="2"/>
      <c r="X32" s="83"/>
      <c r="Y32" s="15">
        <v>35</v>
      </c>
      <c r="Z32" s="151">
        <v>728.2</v>
      </c>
      <c r="AA32" s="245">
        <v>44917</v>
      </c>
      <c r="AB32" s="69">
        <f t="shared" si="8"/>
        <v>728.2</v>
      </c>
      <c r="AC32" s="70" t="s">
        <v>782</v>
      </c>
      <c r="AD32" s="71">
        <v>85</v>
      </c>
      <c r="AE32" s="208">
        <f t="shared" si="4"/>
        <v>7233.0000000000018</v>
      </c>
      <c r="AF32" s="127">
        <f t="shared" si="5"/>
        <v>353</v>
      </c>
    </row>
    <row r="33" spans="1:32" x14ac:dyDescent="0.25">
      <c r="A33" s="2"/>
      <c r="B33" s="83"/>
      <c r="C33" s="15">
        <v>4</v>
      </c>
      <c r="D33" s="633">
        <v>105.74</v>
      </c>
      <c r="E33" s="631">
        <v>44788</v>
      </c>
      <c r="F33" s="626">
        <f t="shared" si="6"/>
        <v>105.74</v>
      </c>
      <c r="G33" s="627" t="s">
        <v>132</v>
      </c>
      <c r="H33" s="379">
        <v>84</v>
      </c>
      <c r="I33" s="208">
        <f t="shared" si="0"/>
        <v>5271.130000000001</v>
      </c>
      <c r="J33" s="127">
        <f t="shared" si="1"/>
        <v>209</v>
      </c>
      <c r="L33" s="2"/>
      <c r="M33" s="83"/>
      <c r="N33" s="15"/>
      <c r="O33" s="151"/>
      <c r="P33" s="245"/>
      <c r="Q33" s="69">
        <f t="shared" si="7"/>
        <v>0</v>
      </c>
      <c r="R33" s="70"/>
      <c r="S33" s="71"/>
      <c r="T33" s="208">
        <f t="shared" si="2"/>
        <v>0</v>
      </c>
      <c r="U33" s="127">
        <f t="shared" si="3"/>
        <v>0</v>
      </c>
      <c r="W33" s="2"/>
      <c r="X33" s="83"/>
      <c r="Y33" s="15">
        <f>35+35</f>
        <v>70</v>
      </c>
      <c r="Z33" s="151">
        <f>710.8+746</f>
        <v>1456.8</v>
      </c>
      <c r="AA33" s="245">
        <v>44917</v>
      </c>
      <c r="AB33" s="69">
        <f t="shared" si="8"/>
        <v>1456.8</v>
      </c>
      <c r="AC33" s="70" t="s">
        <v>783</v>
      </c>
      <c r="AD33" s="71">
        <v>85</v>
      </c>
      <c r="AE33" s="208">
        <f t="shared" si="4"/>
        <v>5776.2000000000016</v>
      </c>
      <c r="AF33" s="127">
        <f t="shared" si="5"/>
        <v>283</v>
      </c>
    </row>
    <row r="34" spans="1:32" x14ac:dyDescent="0.25">
      <c r="A34" s="2"/>
      <c r="B34" s="83"/>
      <c r="C34" s="15">
        <v>2</v>
      </c>
      <c r="D34" s="633">
        <f>27.67+21.86</f>
        <v>49.53</v>
      </c>
      <c r="E34" s="631">
        <v>44790</v>
      </c>
      <c r="F34" s="626">
        <f t="shared" si="6"/>
        <v>49.53</v>
      </c>
      <c r="G34" s="627" t="s">
        <v>133</v>
      </c>
      <c r="H34" s="379">
        <v>84</v>
      </c>
      <c r="I34" s="208">
        <f t="shared" si="0"/>
        <v>5221.6000000000013</v>
      </c>
      <c r="J34" s="127">
        <f t="shared" si="1"/>
        <v>207</v>
      </c>
      <c r="L34" s="2"/>
      <c r="M34" s="83"/>
      <c r="N34" s="15"/>
      <c r="O34" s="151"/>
      <c r="P34" s="245"/>
      <c r="Q34" s="69">
        <f t="shared" si="7"/>
        <v>0</v>
      </c>
      <c r="R34" s="70"/>
      <c r="S34" s="71"/>
      <c r="T34" s="208">
        <f t="shared" si="2"/>
        <v>0</v>
      </c>
      <c r="U34" s="127">
        <f t="shared" si="3"/>
        <v>0</v>
      </c>
      <c r="W34" s="2"/>
      <c r="X34" s="83"/>
      <c r="Y34" s="15">
        <f>35+35</f>
        <v>70</v>
      </c>
      <c r="Z34" s="151">
        <f>719.4+711.1</f>
        <v>1430.5</v>
      </c>
      <c r="AA34" s="245">
        <v>44917</v>
      </c>
      <c r="AB34" s="69">
        <f t="shared" si="8"/>
        <v>1430.5</v>
      </c>
      <c r="AC34" s="70" t="s">
        <v>792</v>
      </c>
      <c r="AD34" s="71">
        <v>85</v>
      </c>
      <c r="AE34" s="208">
        <f t="shared" si="4"/>
        <v>4345.7000000000016</v>
      </c>
      <c r="AF34" s="127">
        <f t="shared" si="5"/>
        <v>213</v>
      </c>
    </row>
    <row r="35" spans="1:32" x14ac:dyDescent="0.25">
      <c r="A35" s="2"/>
      <c r="B35" s="83"/>
      <c r="C35" s="15">
        <v>4</v>
      </c>
      <c r="D35" s="633">
        <v>107.94</v>
      </c>
      <c r="E35" s="631">
        <v>44792</v>
      </c>
      <c r="F35" s="626">
        <f t="shared" si="6"/>
        <v>107.94</v>
      </c>
      <c r="G35" s="627" t="s">
        <v>134</v>
      </c>
      <c r="H35" s="379">
        <v>84</v>
      </c>
      <c r="I35" s="208">
        <f t="shared" si="0"/>
        <v>5113.6600000000017</v>
      </c>
      <c r="J35" s="127">
        <f t="shared" si="1"/>
        <v>203</v>
      </c>
      <c r="L35" s="2"/>
      <c r="M35" s="83"/>
      <c r="N35" s="15"/>
      <c r="O35" s="151"/>
      <c r="P35" s="245"/>
      <c r="Q35" s="69">
        <f t="shared" si="7"/>
        <v>0</v>
      </c>
      <c r="R35" s="70"/>
      <c r="S35" s="71"/>
      <c r="T35" s="208">
        <f t="shared" si="2"/>
        <v>0</v>
      </c>
      <c r="U35" s="127">
        <f t="shared" si="3"/>
        <v>0</v>
      </c>
      <c r="W35" s="2"/>
      <c r="X35" s="83"/>
      <c r="Y35" s="15">
        <v>2</v>
      </c>
      <c r="Z35" s="151">
        <v>40.6</v>
      </c>
      <c r="AA35" s="245">
        <v>44917</v>
      </c>
      <c r="AB35" s="69">
        <f t="shared" si="8"/>
        <v>40.6</v>
      </c>
      <c r="AC35" s="70" t="s">
        <v>793</v>
      </c>
      <c r="AD35" s="71">
        <v>85</v>
      </c>
      <c r="AE35" s="208">
        <f t="shared" si="4"/>
        <v>4305.1000000000013</v>
      </c>
      <c r="AF35" s="127">
        <f t="shared" si="5"/>
        <v>211</v>
      </c>
    </row>
    <row r="36" spans="1:32" x14ac:dyDescent="0.25">
      <c r="A36" s="2"/>
      <c r="B36" s="83"/>
      <c r="C36" s="15">
        <v>4</v>
      </c>
      <c r="D36" s="633">
        <v>102.16</v>
      </c>
      <c r="E36" s="631">
        <v>44792</v>
      </c>
      <c r="F36" s="626">
        <f t="shared" si="6"/>
        <v>102.16</v>
      </c>
      <c r="G36" s="627" t="s">
        <v>135</v>
      </c>
      <c r="H36" s="379">
        <v>84</v>
      </c>
      <c r="I36" s="208">
        <f t="shared" si="0"/>
        <v>5011.5000000000018</v>
      </c>
      <c r="J36" s="127">
        <f t="shared" si="1"/>
        <v>199</v>
      </c>
      <c r="L36" s="2"/>
      <c r="M36" s="83"/>
      <c r="N36" s="15"/>
      <c r="O36" s="151"/>
      <c r="P36" s="245"/>
      <c r="Q36" s="69">
        <f t="shared" si="7"/>
        <v>0</v>
      </c>
      <c r="R36" s="70"/>
      <c r="S36" s="71"/>
      <c r="T36" s="208">
        <f t="shared" si="2"/>
        <v>0</v>
      </c>
      <c r="U36" s="127">
        <f t="shared" si="3"/>
        <v>0</v>
      </c>
      <c r="W36" s="2"/>
      <c r="X36" s="83"/>
      <c r="Y36" s="15">
        <v>1</v>
      </c>
      <c r="Z36" s="151">
        <v>20.8</v>
      </c>
      <c r="AA36" s="245">
        <v>44917</v>
      </c>
      <c r="AB36" s="69">
        <f t="shared" si="8"/>
        <v>20.8</v>
      </c>
      <c r="AC36" s="70" t="s">
        <v>794</v>
      </c>
      <c r="AD36" s="71">
        <v>85</v>
      </c>
      <c r="AE36" s="208">
        <f t="shared" si="4"/>
        <v>4284.3000000000011</v>
      </c>
      <c r="AF36" s="127">
        <f t="shared" si="5"/>
        <v>210</v>
      </c>
    </row>
    <row r="37" spans="1:32" x14ac:dyDescent="0.25">
      <c r="A37" s="2"/>
      <c r="B37" s="83"/>
      <c r="C37" s="15">
        <v>4</v>
      </c>
      <c r="D37" s="633">
        <v>104.16</v>
      </c>
      <c r="E37" s="631">
        <v>44793</v>
      </c>
      <c r="F37" s="626">
        <f t="shared" si="6"/>
        <v>104.16</v>
      </c>
      <c r="G37" s="627" t="s">
        <v>136</v>
      </c>
      <c r="H37" s="379">
        <v>84</v>
      </c>
      <c r="I37" s="208">
        <f t="shared" si="0"/>
        <v>4907.340000000002</v>
      </c>
      <c r="J37" s="127">
        <f t="shared" si="1"/>
        <v>195</v>
      </c>
      <c r="L37" s="2"/>
      <c r="M37" s="83"/>
      <c r="N37" s="15"/>
      <c r="O37" s="151"/>
      <c r="P37" s="245"/>
      <c r="Q37" s="69">
        <f t="shared" si="7"/>
        <v>0</v>
      </c>
      <c r="R37" s="70"/>
      <c r="S37" s="71"/>
      <c r="T37" s="208">
        <f t="shared" si="2"/>
        <v>0</v>
      </c>
      <c r="U37" s="127">
        <f t="shared" si="3"/>
        <v>0</v>
      </c>
      <c r="W37" s="2"/>
      <c r="X37" s="83"/>
      <c r="Y37" s="15">
        <v>15</v>
      </c>
      <c r="Z37" s="151">
        <v>313.5</v>
      </c>
      <c r="AA37" s="245">
        <v>44917</v>
      </c>
      <c r="AB37" s="69">
        <f t="shared" si="8"/>
        <v>313.5</v>
      </c>
      <c r="AC37" s="70" t="s">
        <v>795</v>
      </c>
      <c r="AD37" s="71">
        <v>85</v>
      </c>
      <c r="AE37" s="208">
        <f t="shared" si="4"/>
        <v>3970.8000000000011</v>
      </c>
      <c r="AF37" s="127">
        <f t="shared" si="5"/>
        <v>195</v>
      </c>
    </row>
    <row r="38" spans="1:32" x14ac:dyDescent="0.25">
      <c r="A38" s="2"/>
      <c r="B38" s="83"/>
      <c r="C38" s="15">
        <v>2</v>
      </c>
      <c r="D38" s="633">
        <v>50.52</v>
      </c>
      <c r="E38" s="631">
        <v>44795</v>
      </c>
      <c r="F38" s="626">
        <f t="shared" si="6"/>
        <v>50.52</v>
      </c>
      <c r="G38" s="627" t="s">
        <v>137</v>
      </c>
      <c r="H38" s="379">
        <v>84</v>
      </c>
      <c r="I38" s="208">
        <f t="shared" si="0"/>
        <v>4856.8200000000015</v>
      </c>
      <c r="J38" s="127">
        <f t="shared" si="1"/>
        <v>193</v>
      </c>
      <c r="L38" s="2"/>
      <c r="M38" s="83"/>
      <c r="N38" s="15"/>
      <c r="O38" s="151"/>
      <c r="P38" s="245"/>
      <c r="Q38" s="69">
        <f t="shared" si="7"/>
        <v>0</v>
      </c>
      <c r="R38" s="70"/>
      <c r="S38" s="71"/>
      <c r="T38" s="208">
        <f t="shared" si="2"/>
        <v>0</v>
      </c>
      <c r="U38" s="127">
        <f t="shared" si="3"/>
        <v>0</v>
      </c>
      <c r="W38" s="2"/>
      <c r="X38" s="83"/>
      <c r="Y38" s="15">
        <v>35</v>
      </c>
      <c r="Z38" s="151">
        <v>675.9</v>
      </c>
      <c r="AA38" s="245">
        <v>44918</v>
      </c>
      <c r="AB38" s="69">
        <f t="shared" si="8"/>
        <v>675.9</v>
      </c>
      <c r="AC38" s="70" t="s">
        <v>799</v>
      </c>
      <c r="AD38" s="71">
        <v>85</v>
      </c>
      <c r="AE38" s="208">
        <f t="shared" si="4"/>
        <v>3294.900000000001</v>
      </c>
      <c r="AF38" s="127">
        <f t="shared" si="5"/>
        <v>160</v>
      </c>
    </row>
    <row r="39" spans="1:32" x14ac:dyDescent="0.25">
      <c r="A39" s="2"/>
      <c r="B39" s="83"/>
      <c r="C39" s="15">
        <v>2</v>
      </c>
      <c r="D39" s="633">
        <v>49.23</v>
      </c>
      <c r="E39" s="631">
        <v>44798</v>
      </c>
      <c r="F39" s="626">
        <f t="shared" si="6"/>
        <v>49.23</v>
      </c>
      <c r="G39" s="627" t="s">
        <v>139</v>
      </c>
      <c r="H39" s="379">
        <v>84</v>
      </c>
      <c r="I39" s="208">
        <f t="shared" si="0"/>
        <v>4807.590000000002</v>
      </c>
      <c r="J39" s="127">
        <f t="shared" si="1"/>
        <v>191</v>
      </c>
      <c r="L39" s="2"/>
      <c r="M39" s="83"/>
      <c r="N39" s="15"/>
      <c r="O39" s="151"/>
      <c r="P39" s="245"/>
      <c r="Q39" s="69">
        <f t="shared" si="7"/>
        <v>0</v>
      </c>
      <c r="R39" s="70"/>
      <c r="S39" s="71"/>
      <c r="T39" s="208">
        <f t="shared" si="2"/>
        <v>0</v>
      </c>
      <c r="U39" s="127">
        <f t="shared" si="3"/>
        <v>0</v>
      </c>
      <c r="W39" s="2"/>
      <c r="X39" s="83"/>
      <c r="Y39" s="15">
        <v>5</v>
      </c>
      <c r="Z39" s="151">
        <v>102.2</v>
      </c>
      <c r="AA39" s="245">
        <v>44926</v>
      </c>
      <c r="AB39" s="69">
        <f t="shared" si="8"/>
        <v>102.2</v>
      </c>
      <c r="AC39" s="70" t="s">
        <v>866</v>
      </c>
      <c r="AD39" s="71">
        <v>85</v>
      </c>
      <c r="AE39" s="208">
        <f t="shared" si="4"/>
        <v>3192.7000000000012</v>
      </c>
      <c r="AF39" s="127">
        <f t="shared" si="5"/>
        <v>155</v>
      </c>
    </row>
    <row r="40" spans="1:32" x14ac:dyDescent="0.25">
      <c r="A40" s="2"/>
      <c r="B40" s="83"/>
      <c r="C40" s="15">
        <v>6</v>
      </c>
      <c r="D40" s="633">
        <v>157.43</v>
      </c>
      <c r="E40" s="631">
        <v>44798</v>
      </c>
      <c r="F40" s="626">
        <f t="shared" si="6"/>
        <v>157.43</v>
      </c>
      <c r="G40" s="627" t="s">
        <v>140</v>
      </c>
      <c r="H40" s="379">
        <v>84</v>
      </c>
      <c r="I40" s="208">
        <f t="shared" si="0"/>
        <v>4650.1600000000017</v>
      </c>
      <c r="J40" s="127">
        <f t="shared" si="1"/>
        <v>185</v>
      </c>
      <c r="L40" s="2"/>
      <c r="M40" s="83"/>
      <c r="N40" s="15"/>
      <c r="O40" s="151"/>
      <c r="P40" s="245"/>
      <c r="Q40" s="69">
        <f t="shared" si="7"/>
        <v>0</v>
      </c>
      <c r="R40" s="70"/>
      <c r="S40" s="71"/>
      <c r="T40" s="208">
        <f t="shared" si="2"/>
        <v>0</v>
      </c>
      <c r="U40" s="127">
        <f t="shared" si="3"/>
        <v>0</v>
      </c>
      <c r="W40" s="2"/>
      <c r="X40" s="83"/>
      <c r="Y40" s="15"/>
      <c r="Z40" s="151"/>
      <c r="AA40" s="245"/>
      <c r="AB40" s="69">
        <f t="shared" si="8"/>
        <v>0</v>
      </c>
      <c r="AC40" s="70"/>
      <c r="AD40" s="71"/>
      <c r="AE40" s="208">
        <f t="shared" si="4"/>
        <v>3192.7000000000012</v>
      </c>
      <c r="AF40" s="127">
        <f t="shared" si="5"/>
        <v>155</v>
      </c>
    </row>
    <row r="41" spans="1:32" x14ac:dyDescent="0.25">
      <c r="A41" s="2"/>
      <c r="B41" s="83"/>
      <c r="C41" s="15">
        <v>2</v>
      </c>
      <c r="D41" s="679">
        <v>49.65</v>
      </c>
      <c r="E41" s="677">
        <v>44802</v>
      </c>
      <c r="F41" s="676">
        <f t="shared" si="6"/>
        <v>49.65</v>
      </c>
      <c r="G41" s="678" t="s">
        <v>147</v>
      </c>
      <c r="H41" s="205">
        <v>84</v>
      </c>
      <c r="I41" s="208">
        <f t="shared" si="0"/>
        <v>4600.510000000002</v>
      </c>
      <c r="J41" s="127">
        <f t="shared" si="1"/>
        <v>183</v>
      </c>
      <c r="L41" s="2"/>
      <c r="M41" s="83"/>
      <c r="N41" s="15"/>
      <c r="O41" s="151"/>
      <c r="P41" s="245"/>
      <c r="Q41" s="69">
        <f t="shared" si="7"/>
        <v>0</v>
      </c>
      <c r="R41" s="70"/>
      <c r="S41" s="71"/>
      <c r="T41" s="208">
        <f t="shared" si="2"/>
        <v>0</v>
      </c>
      <c r="U41" s="127">
        <f t="shared" si="3"/>
        <v>0</v>
      </c>
      <c r="W41" s="2"/>
      <c r="X41" s="83"/>
      <c r="Y41" s="15"/>
      <c r="Z41" s="151"/>
      <c r="AA41" s="245"/>
      <c r="AB41" s="69">
        <f t="shared" si="8"/>
        <v>0</v>
      </c>
      <c r="AC41" s="70"/>
      <c r="AD41" s="71"/>
      <c r="AE41" s="208">
        <f t="shared" si="4"/>
        <v>3192.7000000000012</v>
      </c>
      <c r="AF41" s="127">
        <f t="shared" si="5"/>
        <v>155</v>
      </c>
    </row>
    <row r="42" spans="1:32" x14ac:dyDescent="0.25">
      <c r="A42" s="2"/>
      <c r="B42" s="83"/>
      <c r="C42" s="15">
        <v>2</v>
      </c>
      <c r="D42" s="679">
        <v>55.2</v>
      </c>
      <c r="E42" s="677">
        <v>44803</v>
      </c>
      <c r="F42" s="676">
        <f t="shared" si="6"/>
        <v>55.2</v>
      </c>
      <c r="G42" s="678" t="s">
        <v>148</v>
      </c>
      <c r="H42" s="205">
        <v>84</v>
      </c>
      <c r="I42" s="208">
        <f t="shared" si="0"/>
        <v>4545.3100000000022</v>
      </c>
      <c r="J42" s="127">
        <f t="shared" si="1"/>
        <v>181</v>
      </c>
      <c r="L42" s="2"/>
      <c r="M42" s="83"/>
      <c r="N42" s="15"/>
      <c r="O42" s="151"/>
      <c r="P42" s="245"/>
      <c r="Q42" s="69">
        <f t="shared" si="7"/>
        <v>0</v>
      </c>
      <c r="R42" s="70"/>
      <c r="S42" s="71"/>
      <c r="T42" s="208">
        <f t="shared" si="2"/>
        <v>0</v>
      </c>
      <c r="U42" s="127">
        <f t="shared" si="3"/>
        <v>0</v>
      </c>
      <c r="W42" s="2"/>
      <c r="X42" s="83"/>
      <c r="Y42" s="15"/>
      <c r="Z42" s="151"/>
      <c r="AA42" s="245"/>
      <c r="AB42" s="69">
        <f t="shared" si="8"/>
        <v>0</v>
      </c>
      <c r="AC42" s="70"/>
      <c r="AD42" s="71"/>
      <c r="AE42" s="208">
        <f t="shared" si="4"/>
        <v>3192.7000000000012</v>
      </c>
      <c r="AF42" s="127">
        <f t="shared" si="5"/>
        <v>155</v>
      </c>
    </row>
    <row r="43" spans="1:32" x14ac:dyDescent="0.25">
      <c r="A43" s="2"/>
      <c r="B43" s="83"/>
      <c r="C43" s="15">
        <v>3</v>
      </c>
      <c r="D43" s="679">
        <v>80.010000000000005</v>
      </c>
      <c r="E43" s="677">
        <v>44805</v>
      </c>
      <c r="F43" s="676">
        <f t="shared" si="6"/>
        <v>80.010000000000005</v>
      </c>
      <c r="G43" s="678" t="s">
        <v>149</v>
      </c>
      <c r="H43" s="205">
        <v>84</v>
      </c>
      <c r="I43" s="208">
        <f t="shared" si="0"/>
        <v>4465.300000000002</v>
      </c>
      <c r="J43" s="127">
        <f t="shared" si="1"/>
        <v>178</v>
      </c>
      <c r="L43" s="2"/>
      <c r="M43" s="83"/>
      <c r="N43" s="15"/>
      <c r="O43" s="151"/>
      <c r="P43" s="245"/>
      <c r="Q43" s="69">
        <f t="shared" si="7"/>
        <v>0</v>
      </c>
      <c r="R43" s="70"/>
      <c r="S43" s="71"/>
      <c r="T43" s="208">
        <f t="shared" si="2"/>
        <v>0</v>
      </c>
      <c r="U43" s="127">
        <f t="shared" si="3"/>
        <v>0</v>
      </c>
      <c r="W43" s="2"/>
      <c r="X43" s="83"/>
      <c r="Y43" s="15"/>
      <c r="Z43" s="151"/>
      <c r="AA43" s="245"/>
      <c r="AB43" s="69">
        <f t="shared" si="8"/>
        <v>0</v>
      </c>
      <c r="AC43" s="70"/>
      <c r="AD43" s="71"/>
      <c r="AE43" s="208">
        <f t="shared" si="4"/>
        <v>3192.7000000000012</v>
      </c>
      <c r="AF43" s="127">
        <f t="shared" si="5"/>
        <v>155</v>
      </c>
    </row>
    <row r="44" spans="1:32" x14ac:dyDescent="0.25">
      <c r="A44" s="2"/>
      <c r="B44" s="83"/>
      <c r="C44" s="15">
        <v>2</v>
      </c>
      <c r="D44" s="679">
        <v>49.1</v>
      </c>
      <c r="E44" s="677">
        <v>44806</v>
      </c>
      <c r="F44" s="676">
        <f t="shared" si="6"/>
        <v>49.1</v>
      </c>
      <c r="G44" s="678" t="s">
        <v>150</v>
      </c>
      <c r="H44" s="205">
        <v>84</v>
      </c>
      <c r="I44" s="208">
        <f t="shared" si="0"/>
        <v>4416.2000000000016</v>
      </c>
      <c r="J44" s="127">
        <f t="shared" si="1"/>
        <v>176</v>
      </c>
      <c r="L44" s="2"/>
      <c r="M44" s="83"/>
      <c r="N44" s="15"/>
      <c r="O44" s="151"/>
      <c r="P44" s="245"/>
      <c r="Q44" s="69">
        <f t="shared" si="7"/>
        <v>0</v>
      </c>
      <c r="R44" s="70"/>
      <c r="S44" s="71"/>
      <c r="T44" s="208">
        <f t="shared" si="2"/>
        <v>0</v>
      </c>
      <c r="U44" s="127">
        <f t="shared" si="3"/>
        <v>0</v>
      </c>
      <c r="W44" s="2"/>
      <c r="X44" s="83"/>
      <c r="Y44" s="15"/>
      <c r="Z44" s="151"/>
      <c r="AA44" s="245"/>
      <c r="AB44" s="69">
        <f t="shared" si="8"/>
        <v>0</v>
      </c>
      <c r="AC44" s="70"/>
      <c r="AD44" s="71"/>
      <c r="AE44" s="208">
        <f t="shared" si="4"/>
        <v>3192.7000000000012</v>
      </c>
      <c r="AF44" s="127">
        <f t="shared" si="5"/>
        <v>155</v>
      </c>
    </row>
    <row r="45" spans="1:32" x14ac:dyDescent="0.25">
      <c r="A45" s="2"/>
      <c r="B45" s="83"/>
      <c r="C45" s="15">
        <v>2</v>
      </c>
      <c r="D45" s="679">
        <v>48.15</v>
      </c>
      <c r="E45" s="677">
        <v>44810</v>
      </c>
      <c r="F45" s="676">
        <f t="shared" si="6"/>
        <v>48.15</v>
      </c>
      <c r="G45" s="678" t="s">
        <v>152</v>
      </c>
      <c r="H45" s="205">
        <v>84</v>
      </c>
      <c r="I45" s="208">
        <f t="shared" si="0"/>
        <v>4368.050000000002</v>
      </c>
      <c r="J45" s="127">
        <f t="shared" si="1"/>
        <v>174</v>
      </c>
      <c r="L45" s="2"/>
      <c r="M45" s="83"/>
      <c r="N45" s="15"/>
      <c r="O45" s="151"/>
      <c r="P45" s="245"/>
      <c r="Q45" s="69">
        <f t="shared" si="7"/>
        <v>0</v>
      </c>
      <c r="R45" s="70"/>
      <c r="S45" s="71"/>
      <c r="T45" s="208">
        <f t="shared" si="2"/>
        <v>0</v>
      </c>
      <c r="U45" s="127">
        <f t="shared" si="3"/>
        <v>0</v>
      </c>
      <c r="W45" s="2"/>
      <c r="X45" s="83"/>
      <c r="Y45" s="15"/>
      <c r="Z45" s="151"/>
      <c r="AA45" s="245"/>
      <c r="AB45" s="69">
        <f t="shared" si="8"/>
        <v>0</v>
      </c>
      <c r="AC45" s="70"/>
      <c r="AD45" s="71"/>
      <c r="AE45" s="208">
        <f t="shared" si="4"/>
        <v>3192.7000000000012</v>
      </c>
      <c r="AF45" s="127">
        <f t="shared" si="5"/>
        <v>155</v>
      </c>
    </row>
    <row r="46" spans="1:32" x14ac:dyDescent="0.25">
      <c r="A46" s="2"/>
      <c r="B46" s="83"/>
      <c r="C46" s="15">
        <v>2</v>
      </c>
      <c r="D46" s="679">
        <v>46.83</v>
      </c>
      <c r="E46" s="677">
        <v>44810</v>
      </c>
      <c r="F46" s="676">
        <f t="shared" si="6"/>
        <v>46.83</v>
      </c>
      <c r="G46" s="678" t="s">
        <v>154</v>
      </c>
      <c r="H46" s="205">
        <v>84</v>
      </c>
      <c r="I46" s="208">
        <f t="shared" si="0"/>
        <v>4321.2200000000021</v>
      </c>
      <c r="J46" s="127">
        <f t="shared" si="1"/>
        <v>172</v>
      </c>
      <c r="L46" s="2"/>
      <c r="M46" s="83"/>
      <c r="N46" s="15"/>
      <c r="O46" s="151"/>
      <c r="P46" s="245"/>
      <c r="Q46" s="69">
        <f t="shared" si="7"/>
        <v>0</v>
      </c>
      <c r="R46" s="70"/>
      <c r="S46" s="71"/>
      <c r="T46" s="208">
        <f t="shared" si="2"/>
        <v>0</v>
      </c>
      <c r="U46" s="127">
        <f t="shared" si="3"/>
        <v>0</v>
      </c>
      <c r="W46" s="2"/>
      <c r="X46" s="83"/>
      <c r="Y46" s="15"/>
      <c r="Z46" s="151"/>
      <c r="AA46" s="245"/>
      <c r="AB46" s="69">
        <f t="shared" si="8"/>
        <v>0</v>
      </c>
      <c r="AC46" s="70"/>
      <c r="AD46" s="71"/>
      <c r="AE46" s="208">
        <f t="shared" si="4"/>
        <v>3192.7000000000012</v>
      </c>
      <c r="AF46" s="127">
        <f t="shared" si="5"/>
        <v>155</v>
      </c>
    </row>
    <row r="47" spans="1:32" x14ac:dyDescent="0.25">
      <c r="A47" s="2"/>
      <c r="B47" s="83"/>
      <c r="C47" s="15">
        <v>2</v>
      </c>
      <c r="D47" s="679">
        <v>48.3</v>
      </c>
      <c r="E47" s="677">
        <v>44810</v>
      </c>
      <c r="F47" s="676">
        <f t="shared" si="6"/>
        <v>48.3</v>
      </c>
      <c r="G47" s="678" t="s">
        <v>155</v>
      </c>
      <c r="H47" s="205">
        <v>84</v>
      </c>
      <c r="I47" s="208">
        <f t="shared" si="0"/>
        <v>4272.9200000000019</v>
      </c>
      <c r="J47" s="127">
        <f t="shared" si="1"/>
        <v>170</v>
      </c>
      <c r="L47" s="2"/>
      <c r="M47" s="83"/>
      <c r="N47" s="15"/>
      <c r="O47" s="151"/>
      <c r="P47" s="245"/>
      <c r="Q47" s="69">
        <f t="shared" si="7"/>
        <v>0</v>
      </c>
      <c r="R47" s="70"/>
      <c r="S47" s="71"/>
      <c r="T47" s="208">
        <f t="shared" si="2"/>
        <v>0</v>
      </c>
      <c r="U47" s="127">
        <f t="shared" si="3"/>
        <v>0</v>
      </c>
      <c r="W47" s="2"/>
      <c r="X47" s="83"/>
      <c r="Y47" s="15"/>
      <c r="Z47" s="151"/>
      <c r="AA47" s="245"/>
      <c r="AB47" s="69">
        <f t="shared" si="8"/>
        <v>0</v>
      </c>
      <c r="AC47" s="70"/>
      <c r="AD47" s="71"/>
      <c r="AE47" s="208">
        <f t="shared" si="4"/>
        <v>3192.7000000000012</v>
      </c>
      <c r="AF47" s="127">
        <f t="shared" si="5"/>
        <v>155</v>
      </c>
    </row>
    <row r="48" spans="1:32" x14ac:dyDescent="0.25">
      <c r="A48" s="2"/>
      <c r="B48" s="83"/>
      <c r="C48" s="15">
        <v>4</v>
      </c>
      <c r="D48" s="679">
        <v>111.02</v>
      </c>
      <c r="E48" s="677">
        <v>44810</v>
      </c>
      <c r="F48" s="676">
        <f t="shared" si="6"/>
        <v>111.02</v>
      </c>
      <c r="G48" s="678" t="s">
        <v>156</v>
      </c>
      <c r="H48" s="205">
        <v>84</v>
      </c>
      <c r="I48" s="208">
        <f t="shared" si="0"/>
        <v>4161.9000000000015</v>
      </c>
      <c r="J48" s="127">
        <f t="shared" si="1"/>
        <v>166</v>
      </c>
      <c r="L48" s="2"/>
      <c r="M48" s="83"/>
      <c r="N48" s="15"/>
      <c r="O48" s="151"/>
      <c r="P48" s="245"/>
      <c r="Q48" s="69">
        <f t="shared" si="7"/>
        <v>0</v>
      </c>
      <c r="R48" s="70"/>
      <c r="S48" s="71"/>
      <c r="T48" s="208">
        <f t="shared" si="2"/>
        <v>0</v>
      </c>
      <c r="U48" s="127">
        <f t="shared" si="3"/>
        <v>0</v>
      </c>
      <c r="W48" s="2"/>
      <c r="X48" s="83"/>
      <c r="Y48" s="15"/>
      <c r="Z48" s="151"/>
      <c r="AA48" s="245"/>
      <c r="AB48" s="69">
        <f t="shared" si="8"/>
        <v>0</v>
      </c>
      <c r="AC48" s="70"/>
      <c r="AD48" s="71"/>
      <c r="AE48" s="208">
        <f t="shared" si="4"/>
        <v>3192.7000000000012</v>
      </c>
      <c r="AF48" s="127">
        <f t="shared" si="5"/>
        <v>155</v>
      </c>
    </row>
    <row r="49" spans="1:32" x14ac:dyDescent="0.25">
      <c r="A49" s="2"/>
      <c r="B49" s="83"/>
      <c r="C49" s="15">
        <v>2</v>
      </c>
      <c r="D49" s="679">
        <v>53.14</v>
      </c>
      <c r="E49" s="677">
        <v>44813</v>
      </c>
      <c r="F49" s="676">
        <f t="shared" si="6"/>
        <v>53.14</v>
      </c>
      <c r="G49" s="678" t="s">
        <v>153</v>
      </c>
      <c r="H49" s="205">
        <v>84</v>
      </c>
      <c r="I49" s="208">
        <f t="shared" si="0"/>
        <v>4108.7600000000011</v>
      </c>
      <c r="J49" s="127">
        <f t="shared" si="1"/>
        <v>164</v>
      </c>
      <c r="L49" s="2"/>
      <c r="M49" s="83"/>
      <c r="N49" s="15"/>
      <c r="O49" s="151"/>
      <c r="P49" s="245"/>
      <c r="Q49" s="69">
        <f t="shared" si="7"/>
        <v>0</v>
      </c>
      <c r="R49" s="70"/>
      <c r="S49" s="71"/>
      <c r="T49" s="208">
        <f t="shared" si="2"/>
        <v>0</v>
      </c>
      <c r="U49" s="127">
        <f t="shared" si="3"/>
        <v>0</v>
      </c>
      <c r="W49" s="2"/>
      <c r="X49" s="83"/>
      <c r="Y49" s="15"/>
      <c r="Z49" s="151"/>
      <c r="AA49" s="245"/>
      <c r="AB49" s="69">
        <f t="shared" si="8"/>
        <v>0</v>
      </c>
      <c r="AC49" s="70"/>
      <c r="AD49" s="71"/>
      <c r="AE49" s="208">
        <f t="shared" si="4"/>
        <v>3192.7000000000012</v>
      </c>
      <c r="AF49" s="127">
        <f t="shared" si="5"/>
        <v>155</v>
      </c>
    </row>
    <row r="50" spans="1:32" x14ac:dyDescent="0.25">
      <c r="A50" s="2"/>
      <c r="B50" s="83"/>
      <c r="C50" s="15">
        <v>2</v>
      </c>
      <c r="D50" s="679">
        <v>51.27</v>
      </c>
      <c r="E50" s="677">
        <v>44817</v>
      </c>
      <c r="F50" s="676">
        <f t="shared" si="6"/>
        <v>51.27</v>
      </c>
      <c r="G50" s="678" t="s">
        <v>157</v>
      </c>
      <c r="H50" s="205">
        <v>84</v>
      </c>
      <c r="I50" s="208">
        <f t="shared" si="0"/>
        <v>4057.4900000000011</v>
      </c>
      <c r="J50" s="127">
        <f t="shared" si="1"/>
        <v>162</v>
      </c>
      <c r="L50" s="2"/>
      <c r="M50" s="83"/>
      <c r="N50" s="15"/>
      <c r="O50" s="151"/>
      <c r="P50" s="245"/>
      <c r="Q50" s="69">
        <f t="shared" si="7"/>
        <v>0</v>
      </c>
      <c r="R50" s="70"/>
      <c r="S50" s="71"/>
      <c r="T50" s="208">
        <f t="shared" si="2"/>
        <v>0</v>
      </c>
      <c r="U50" s="127">
        <f t="shared" si="3"/>
        <v>0</v>
      </c>
      <c r="W50" s="2"/>
      <c r="X50" s="83"/>
      <c r="Y50" s="15"/>
      <c r="Z50" s="151"/>
      <c r="AA50" s="245"/>
      <c r="AB50" s="69">
        <f t="shared" si="8"/>
        <v>0</v>
      </c>
      <c r="AC50" s="70"/>
      <c r="AD50" s="71"/>
      <c r="AE50" s="208">
        <f t="shared" si="4"/>
        <v>3192.7000000000012</v>
      </c>
      <c r="AF50" s="127">
        <f t="shared" si="5"/>
        <v>155</v>
      </c>
    </row>
    <row r="51" spans="1:32" x14ac:dyDescent="0.25">
      <c r="A51" s="2"/>
      <c r="B51" s="83"/>
      <c r="C51" s="15">
        <v>2</v>
      </c>
      <c r="D51" s="679">
        <v>43.22</v>
      </c>
      <c r="E51" s="677">
        <v>44819</v>
      </c>
      <c r="F51" s="676">
        <f t="shared" si="6"/>
        <v>43.22</v>
      </c>
      <c r="G51" s="678" t="s">
        <v>160</v>
      </c>
      <c r="H51" s="205">
        <v>84</v>
      </c>
      <c r="I51" s="208">
        <f t="shared" si="0"/>
        <v>4014.2700000000013</v>
      </c>
      <c r="J51" s="127">
        <f t="shared" si="1"/>
        <v>160</v>
      </c>
      <c r="L51" s="2"/>
      <c r="M51" s="83"/>
      <c r="N51" s="15"/>
      <c r="O51" s="151"/>
      <c r="P51" s="245"/>
      <c r="Q51" s="69">
        <f t="shared" si="7"/>
        <v>0</v>
      </c>
      <c r="R51" s="70"/>
      <c r="S51" s="71"/>
      <c r="T51" s="208">
        <f t="shared" ref="T51:T68" si="9">T50-Q51</f>
        <v>0</v>
      </c>
      <c r="U51" s="127">
        <f t="shared" ref="U51:U68" si="10">U50-N51</f>
        <v>0</v>
      </c>
      <c r="W51" s="2"/>
      <c r="X51" s="83"/>
      <c r="Y51" s="15"/>
      <c r="Z51" s="151"/>
      <c r="AA51" s="245"/>
      <c r="AB51" s="69">
        <f t="shared" si="8"/>
        <v>0</v>
      </c>
      <c r="AC51" s="70"/>
      <c r="AD51" s="71"/>
      <c r="AE51" s="208">
        <f t="shared" si="4"/>
        <v>3192.7000000000012</v>
      </c>
      <c r="AF51" s="127">
        <f t="shared" si="5"/>
        <v>155</v>
      </c>
    </row>
    <row r="52" spans="1:32" x14ac:dyDescent="0.25">
      <c r="A52" s="2"/>
      <c r="B52" s="83"/>
      <c r="C52" s="15">
        <v>2</v>
      </c>
      <c r="D52" s="679">
        <v>60.07</v>
      </c>
      <c r="E52" s="677">
        <v>44819</v>
      </c>
      <c r="F52" s="676">
        <f t="shared" si="6"/>
        <v>60.07</v>
      </c>
      <c r="G52" s="678" t="s">
        <v>162</v>
      </c>
      <c r="H52" s="205">
        <v>84</v>
      </c>
      <c r="I52" s="208">
        <f t="shared" si="0"/>
        <v>3954.2000000000012</v>
      </c>
      <c r="J52" s="127">
        <f t="shared" si="1"/>
        <v>158</v>
      </c>
      <c r="L52" s="2"/>
      <c r="M52" s="83"/>
      <c r="N52" s="15"/>
      <c r="O52" s="151"/>
      <c r="P52" s="245"/>
      <c r="Q52" s="69">
        <f t="shared" si="7"/>
        <v>0</v>
      </c>
      <c r="R52" s="70"/>
      <c r="S52" s="71"/>
      <c r="T52" s="208">
        <f t="shared" si="9"/>
        <v>0</v>
      </c>
      <c r="U52" s="127">
        <f t="shared" si="10"/>
        <v>0</v>
      </c>
      <c r="W52" s="2"/>
      <c r="X52" s="83"/>
      <c r="Y52" s="15"/>
      <c r="Z52" s="151"/>
      <c r="AA52" s="245"/>
      <c r="AB52" s="69">
        <f t="shared" si="8"/>
        <v>0</v>
      </c>
      <c r="AC52" s="70"/>
      <c r="AD52" s="71"/>
      <c r="AE52" s="208">
        <f t="shared" si="4"/>
        <v>3192.7000000000012</v>
      </c>
      <c r="AF52" s="127">
        <f t="shared" si="5"/>
        <v>155</v>
      </c>
    </row>
    <row r="53" spans="1:32" x14ac:dyDescent="0.25">
      <c r="A53" s="2"/>
      <c r="B53" s="83"/>
      <c r="C53" s="15">
        <v>1</v>
      </c>
      <c r="D53" s="679">
        <v>26.45</v>
      </c>
      <c r="E53" s="677">
        <v>44819</v>
      </c>
      <c r="F53" s="676">
        <f t="shared" si="6"/>
        <v>26.45</v>
      </c>
      <c r="G53" s="678" t="s">
        <v>163</v>
      </c>
      <c r="H53" s="205">
        <v>84</v>
      </c>
      <c r="I53" s="208">
        <f t="shared" si="0"/>
        <v>3927.7500000000014</v>
      </c>
      <c r="J53" s="127">
        <f t="shared" si="1"/>
        <v>157</v>
      </c>
      <c r="L53" s="2"/>
      <c r="M53" s="83"/>
      <c r="N53" s="15"/>
      <c r="O53" s="151"/>
      <c r="P53" s="245"/>
      <c r="Q53" s="69">
        <f t="shared" si="7"/>
        <v>0</v>
      </c>
      <c r="R53" s="70"/>
      <c r="S53" s="71"/>
      <c r="T53" s="208">
        <f t="shared" si="9"/>
        <v>0</v>
      </c>
      <c r="U53" s="127">
        <f t="shared" si="10"/>
        <v>0</v>
      </c>
      <c r="W53" s="2"/>
      <c r="X53" s="83"/>
      <c r="Y53" s="15"/>
      <c r="Z53" s="151"/>
      <c r="AA53" s="245"/>
      <c r="AB53" s="69">
        <f t="shared" si="8"/>
        <v>0</v>
      </c>
      <c r="AC53" s="70"/>
      <c r="AD53" s="71"/>
      <c r="AE53" s="208">
        <f t="shared" si="4"/>
        <v>3192.7000000000012</v>
      </c>
      <c r="AF53" s="127">
        <f t="shared" si="5"/>
        <v>155</v>
      </c>
    </row>
    <row r="54" spans="1:32" x14ac:dyDescent="0.25">
      <c r="A54" s="2"/>
      <c r="B54" s="83"/>
      <c r="C54" s="15">
        <v>4</v>
      </c>
      <c r="D54" s="679">
        <v>119.46</v>
      </c>
      <c r="E54" s="677">
        <v>44823</v>
      </c>
      <c r="F54" s="676">
        <f t="shared" si="6"/>
        <v>119.46</v>
      </c>
      <c r="G54" s="678" t="s">
        <v>164</v>
      </c>
      <c r="H54" s="205">
        <v>84</v>
      </c>
      <c r="I54" s="208">
        <f t="shared" si="0"/>
        <v>3808.2900000000013</v>
      </c>
      <c r="J54" s="127">
        <f t="shared" si="1"/>
        <v>153</v>
      </c>
      <c r="L54" s="2"/>
      <c r="M54" s="83"/>
      <c r="N54" s="15"/>
      <c r="O54" s="151"/>
      <c r="P54" s="245"/>
      <c r="Q54" s="69">
        <f t="shared" si="7"/>
        <v>0</v>
      </c>
      <c r="R54" s="70"/>
      <c r="S54" s="71"/>
      <c r="T54" s="208">
        <f t="shared" si="9"/>
        <v>0</v>
      </c>
      <c r="U54" s="127">
        <f t="shared" si="10"/>
        <v>0</v>
      </c>
      <c r="W54" s="2"/>
      <c r="X54" s="83"/>
      <c r="Y54" s="15"/>
      <c r="Z54" s="151"/>
      <c r="AA54" s="245"/>
      <c r="AB54" s="69">
        <f t="shared" si="8"/>
        <v>0</v>
      </c>
      <c r="AC54" s="70"/>
      <c r="AD54" s="71"/>
      <c r="AE54" s="208">
        <f t="shared" si="4"/>
        <v>3192.7000000000012</v>
      </c>
      <c r="AF54" s="127">
        <f t="shared" si="5"/>
        <v>155</v>
      </c>
    </row>
    <row r="55" spans="1:32" x14ac:dyDescent="0.25">
      <c r="A55" s="2"/>
      <c r="B55" s="83"/>
      <c r="C55" s="15">
        <v>4</v>
      </c>
      <c r="D55" s="679">
        <v>103.05</v>
      </c>
      <c r="E55" s="677">
        <v>44824</v>
      </c>
      <c r="F55" s="676">
        <f t="shared" si="6"/>
        <v>103.05</v>
      </c>
      <c r="G55" s="678" t="s">
        <v>165</v>
      </c>
      <c r="H55" s="205">
        <v>84</v>
      </c>
      <c r="I55" s="208">
        <f t="shared" si="0"/>
        <v>3705.2400000000011</v>
      </c>
      <c r="J55" s="127">
        <f t="shared" si="1"/>
        <v>149</v>
      </c>
      <c r="L55" s="2"/>
      <c r="M55" s="83"/>
      <c r="N55" s="15"/>
      <c r="O55" s="151"/>
      <c r="P55" s="245"/>
      <c r="Q55" s="69">
        <f t="shared" si="7"/>
        <v>0</v>
      </c>
      <c r="R55" s="70"/>
      <c r="S55" s="71"/>
      <c r="T55" s="208">
        <f t="shared" si="9"/>
        <v>0</v>
      </c>
      <c r="U55" s="127">
        <f t="shared" si="10"/>
        <v>0</v>
      </c>
      <c r="W55" s="2"/>
      <c r="X55" s="83"/>
      <c r="Y55" s="15"/>
      <c r="Z55" s="151"/>
      <c r="AA55" s="245"/>
      <c r="AB55" s="69">
        <f t="shared" si="8"/>
        <v>0</v>
      </c>
      <c r="AC55" s="70"/>
      <c r="AD55" s="71"/>
      <c r="AE55" s="208">
        <f t="shared" si="4"/>
        <v>3192.7000000000012</v>
      </c>
      <c r="AF55" s="127">
        <f t="shared" si="5"/>
        <v>155</v>
      </c>
    </row>
    <row r="56" spans="1:32" x14ac:dyDescent="0.25">
      <c r="A56" s="2"/>
      <c r="B56" s="83"/>
      <c r="C56" s="15">
        <v>1</v>
      </c>
      <c r="D56" s="679">
        <v>31.03</v>
      </c>
      <c r="E56" s="677">
        <v>44824</v>
      </c>
      <c r="F56" s="676">
        <f t="shared" si="6"/>
        <v>31.03</v>
      </c>
      <c r="G56" s="678" t="s">
        <v>166</v>
      </c>
      <c r="H56" s="205">
        <v>84</v>
      </c>
      <c r="I56" s="208">
        <f t="shared" si="0"/>
        <v>3674.2100000000009</v>
      </c>
      <c r="J56" s="127">
        <f t="shared" si="1"/>
        <v>148</v>
      </c>
      <c r="L56" s="2"/>
      <c r="M56" s="83"/>
      <c r="N56" s="15"/>
      <c r="O56" s="151"/>
      <c r="P56" s="245"/>
      <c r="Q56" s="69">
        <f t="shared" si="7"/>
        <v>0</v>
      </c>
      <c r="R56" s="70"/>
      <c r="S56" s="71"/>
      <c r="T56" s="208">
        <f t="shared" si="9"/>
        <v>0</v>
      </c>
      <c r="U56" s="127">
        <f t="shared" si="10"/>
        <v>0</v>
      </c>
      <c r="W56" s="2"/>
      <c r="X56" s="83"/>
      <c r="Y56" s="15"/>
      <c r="Z56" s="151"/>
      <c r="AA56" s="245"/>
      <c r="AB56" s="69">
        <f t="shared" si="8"/>
        <v>0</v>
      </c>
      <c r="AC56" s="70"/>
      <c r="AD56" s="71"/>
      <c r="AE56" s="208">
        <f t="shared" si="4"/>
        <v>3192.7000000000012</v>
      </c>
      <c r="AF56" s="127">
        <f t="shared" si="5"/>
        <v>155</v>
      </c>
    </row>
    <row r="57" spans="1:32" x14ac:dyDescent="0.25">
      <c r="A57" s="2"/>
      <c r="B57" s="83"/>
      <c r="C57" s="15">
        <v>2</v>
      </c>
      <c r="D57" s="679">
        <v>49.28</v>
      </c>
      <c r="E57" s="677">
        <v>44825</v>
      </c>
      <c r="F57" s="676">
        <f t="shared" si="6"/>
        <v>49.28</v>
      </c>
      <c r="G57" s="678" t="s">
        <v>167</v>
      </c>
      <c r="H57" s="205">
        <v>84</v>
      </c>
      <c r="I57" s="208">
        <f t="shared" si="0"/>
        <v>3624.9300000000007</v>
      </c>
      <c r="J57" s="127">
        <f t="shared" si="1"/>
        <v>146</v>
      </c>
      <c r="L57" s="2"/>
      <c r="M57" s="83"/>
      <c r="N57" s="15"/>
      <c r="O57" s="151"/>
      <c r="P57" s="245"/>
      <c r="Q57" s="69">
        <f t="shared" si="7"/>
        <v>0</v>
      </c>
      <c r="R57" s="70"/>
      <c r="S57" s="71"/>
      <c r="T57" s="208">
        <f t="shared" si="9"/>
        <v>0</v>
      </c>
      <c r="U57" s="127">
        <f t="shared" si="10"/>
        <v>0</v>
      </c>
      <c r="W57" s="2"/>
      <c r="X57" s="83"/>
      <c r="Y57" s="15"/>
      <c r="Z57" s="151"/>
      <c r="AA57" s="245"/>
      <c r="AB57" s="69">
        <f t="shared" si="8"/>
        <v>0</v>
      </c>
      <c r="AC57" s="70"/>
      <c r="AD57" s="71"/>
      <c r="AE57" s="208">
        <f t="shared" si="4"/>
        <v>3192.7000000000012</v>
      </c>
      <c r="AF57" s="127">
        <f t="shared" si="5"/>
        <v>155</v>
      </c>
    </row>
    <row r="58" spans="1:32" x14ac:dyDescent="0.25">
      <c r="A58" s="2"/>
      <c r="B58" s="83"/>
      <c r="C58" s="15">
        <v>4</v>
      </c>
      <c r="D58" s="679">
        <v>108.75</v>
      </c>
      <c r="E58" s="677">
        <v>44825</v>
      </c>
      <c r="F58" s="676">
        <f t="shared" si="6"/>
        <v>108.75</v>
      </c>
      <c r="G58" s="678" t="s">
        <v>168</v>
      </c>
      <c r="H58" s="205">
        <v>84</v>
      </c>
      <c r="I58" s="208">
        <f t="shared" si="0"/>
        <v>3516.1800000000007</v>
      </c>
      <c r="J58" s="127">
        <f t="shared" si="1"/>
        <v>142</v>
      </c>
      <c r="L58" s="2"/>
      <c r="M58" s="83"/>
      <c r="N58" s="15"/>
      <c r="O58" s="151"/>
      <c r="P58" s="245"/>
      <c r="Q58" s="69">
        <f t="shared" si="7"/>
        <v>0</v>
      </c>
      <c r="R58" s="70"/>
      <c r="S58" s="71"/>
      <c r="T58" s="208">
        <f t="shared" si="9"/>
        <v>0</v>
      </c>
      <c r="U58" s="127">
        <f t="shared" si="10"/>
        <v>0</v>
      </c>
      <c r="W58" s="2"/>
      <c r="X58" s="83"/>
      <c r="Y58" s="15"/>
      <c r="Z58" s="151"/>
      <c r="AA58" s="245"/>
      <c r="AB58" s="69">
        <f t="shared" si="8"/>
        <v>0</v>
      </c>
      <c r="AC58" s="70"/>
      <c r="AD58" s="71"/>
      <c r="AE58" s="208">
        <f t="shared" si="4"/>
        <v>3192.7000000000012</v>
      </c>
      <c r="AF58" s="127">
        <f t="shared" si="5"/>
        <v>155</v>
      </c>
    </row>
    <row r="59" spans="1:32" x14ac:dyDescent="0.25">
      <c r="A59" s="2"/>
      <c r="B59" s="83"/>
      <c r="C59" s="15">
        <v>4</v>
      </c>
      <c r="D59" s="679">
        <v>99.85</v>
      </c>
      <c r="E59" s="677">
        <v>44825</v>
      </c>
      <c r="F59" s="676">
        <f t="shared" si="6"/>
        <v>99.85</v>
      </c>
      <c r="G59" s="678" t="s">
        <v>169</v>
      </c>
      <c r="H59" s="205">
        <v>84</v>
      </c>
      <c r="I59" s="208">
        <f t="shared" si="0"/>
        <v>3416.3300000000008</v>
      </c>
      <c r="J59" s="127">
        <f t="shared" si="1"/>
        <v>138</v>
      </c>
      <c r="L59" s="2"/>
      <c r="M59" s="83"/>
      <c r="N59" s="15"/>
      <c r="O59" s="151"/>
      <c r="P59" s="245"/>
      <c r="Q59" s="69">
        <f t="shared" si="7"/>
        <v>0</v>
      </c>
      <c r="R59" s="70"/>
      <c r="S59" s="71"/>
      <c r="T59" s="208">
        <f t="shared" si="9"/>
        <v>0</v>
      </c>
      <c r="U59" s="127">
        <f t="shared" si="10"/>
        <v>0</v>
      </c>
      <c r="W59" s="2"/>
      <c r="X59" s="83"/>
      <c r="Y59" s="15"/>
      <c r="Z59" s="151"/>
      <c r="AA59" s="245"/>
      <c r="AB59" s="69">
        <f t="shared" si="8"/>
        <v>0</v>
      </c>
      <c r="AC59" s="70"/>
      <c r="AD59" s="71"/>
      <c r="AE59" s="208">
        <f t="shared" si="4"/>
        <v>3192.7000000000012</v>
      </c>
      <c r="AF59" s="127">
        <f t="shared" si="5"/>
        <v>155</v>
      </c>
    </row>
    <row r="60" spans="1:32" x14ac:dyDescent="0.25">
      <c r="A60" s="2"/>
      <c r="B60" s="83"/>
      <c r="C60" s="15">
        <v>3</v>
      </c>
      <c r="D60" s="679">
        <v>81.430000000000007</v>
      </c>
      <c r="E60" s="677">
        <v>44826</v>
      </c>
      <c r="F60" s="676">
        <f t="shared" si="6"/>
        <v>81.430000000000007</v>
      </c>
      <c r="G60" s="678" t="s">
        <v>170</v>
      </c>
      <c r="H60" s="205">
        <v>84</v>
      </c>
      <c r="I60" s="208">
        <f t="shared" si="0"/>
        <v>3334.900000000001</v>
      </c>
      <c r="J60" s="127">
        <f t="shared" si="1"/>
        <v>135</v>
      </c>
      <c r="L60" s="2"/>
      <c r="M60" s="83"/>
      <c r="N60" s="15"/>
      <c r="O60" s="151"/>
      <c r="P60" s="245"/>
      <c r="Q60" s="69">
        <f t="shared" si="7"/>
        <v>0</v>
      </c>
      <c r="R60" s="70"/>
      <c r="S60" s="71"/>
      <c r="T60" s="208">
        <f t="shared" si="9"/>
        <v>0</v>
      </c>
      <c r="U60" s="127">
        <f t="shared" si="10"/>
        <v>0</v>
      </c>
      <c r="W60" s="2"/>
      <c r="X60" s="83"/>
      <c r="Y60" s="15"/>
      <c r="Z60" s="151"/>
      <c r="AA60" s="245"/>
      <c r="AB60" s="69">
        <f t="shared" si="8"/>
        <v>0</v>
      </c>
      <c r="AC60" s="70"/>
      <c r="AD60" s="71"/>
      <c r="AE60" s="208">
        <f t="shared" si="4"/>
        <v>3192.7000000000012</v>
      </c>
      <c r="AF60" s="127">
        <f t="shared" si="5"/>
        <v>155</v>
      </c>
    </row>
    <row r="61" spans="1:32" x14ac:dyDescent="0.25">
      <c r="A61" s="2"/>
      <c r="B61" s="83"/>
      <c r="C61" s="15">
        <v>4</v>
      </c>
      <c r="D61" s="679">
        <v>118.27</v>
      </c>
      <c r="E61" s="677">
        <v>44831</v>
      </c>
      <c r="F61" s="676">
        <f t="shared" si="6"/>
        <v>118.27</v>
      </c>
      <c r="G61" s="678" t="s">
        <v>172</v>
      </c>
      <c r="H61" s="205">
        <v>84</v>
      </c>
      <c r="I61" s="208">
        <f t="shared" si="0"/>
        <v>3216.630000000001</v>
      </c>
      <c r="J61" s="127">
        <f t="shared" si="1"/>
        <v>131</v>
      </c>
      <c r="L61" s="2"/>
      <c r="M61" s="83"/>
      <c r="N61" s="15"/>
      <c r="O61" s="151"/>
      <c r="P61" s="245"/>
      <c r="Q61" s="69">
        <f t="shared" si="7"/>
        <v>0</v>
      </c>
      <c r="R61" s="70"/>
      <c r="S61" s="71"/>
      <c r="T61" s="208">
        <f t="shared" si="9"/>
        <v>0</v>
      </c>
      <c r="U61" s="127">
        <f t="shared" si="10"/>
        <v>0</v>
      </c>
      <c r="W61" s="2"/>
      <c r="X61" s="83"/>
      <c r="Y61" s="15"/>
      <c r="Z61" s="151"/>
      <c r="AA61" s="245"/>
      <c r="AB61" s="69">
        <f t="shared" si="8"/>
        <v>0</v>
      </c>
      <c r="AC61" s="70"/>
      <c r="AD61" s="71"/>
      <c r="AE61" s="208">
        <f t="shared" si="4"/>
        <v>3192.7000000000012</v>
      </c>
      <c r="AF61" s="127">
        <f t="shared" si="5"/>
        <v>155</v>
      </c>
    </row>
    <row r="62" spans="1:32" x14ac:dyDescent="0.25">
      <c r="A62" s="2"/>
      <c r="B62" s="83"/>
      <c r="C62" s="15">
        <v>2</v>
      </c>
      <c r="D62" s="679">
        <v>53.64</v>
      </c>
      <c r="E62" s="677">
        <v>44835</v>
      </c>
      <c r="F62" s="676">
        <f t="shared" si="6"/>
        <v>53.64</v>
      </c>
      <c r="G62" s="678" t="s">
        <v>173</v>
      </c>
      <c r="H62" s="205">
        <v>84</v>
      </c>
      <c r="I62" s="208">
        <f t="shared" si="0"/>
        <v>3162.9900000000011</v>
      </c>
      <c r="J62" s="127">
        <f t="shared" si="1"/>
        <v>129</v>
      </c>
      <c r="L62" s="2"/>
      <c r="M62" s="83"/>
      <c r="N62" s="15"/>
      <c r="O62" s="151"/>
      <c r="P62" s="245"/>
      <c r="Q62" s="69">
        <f t="shared" si="7"/>
        <v>0</v>
      </c>
      <c r="R62" s="70"/>
      <c r="S62" s="71"/>
      <c r="T62" s="208">
        <f t="shared" si="9"/>
        <v>0</v>
      </c>
      <c r="U62" s="127">
        <f t="shared" si="10"/>
        <v>0</v>
      </c>
      <c r="W62" s="2"/>
      <c r="X62" s="83"/>
      <c r="Y62" s="15"/>
      <c r="Z62" s="151"/>
      <c r="AA62" s="245"/>
      <c r="AB62" s="69">
        <f t="shared" si="8"/>
        <v>0</v>
      </c>
      <c r="AC62" s="70"/>
      <c r="AD62" s="71"/>
      <c r="AE62" s="208">
        <f t="shared" si="4"/>
        <v>3192.7000000000012</v>
      </c>
      <c r="AF62" s="127">
        <f t="shared" si="5"/>
        <v>155</v>
      </c>
    </row>
    <row r="63" spans="1:32" x14ac:dyDescent="0.25">
      <c r="A63" s="2"/>
      <c r="B63" s="83"/>
      <c r="C63" s="15">
        <v>2</v>
      </c>
      <c r="D63" s="744">
        <v>50.31</v>
      </c>
      <c r="E63" s="570">
        <v>44838</v>
      </c>
      <c r="F63" s="534">
        <f t="shared" si="6"/>
        <v>50.31</v>
      </c>
      <c r="G63" s="329" t="s">
        <v>182</v>
      </c>
      <c r="H63" s="330">
        <v>84</v>
      </c>
      <c r="I63" s="208">
        <f t="shared" si="0"/>
        <v>3112.6800000000012</v>
      </c>
      <c r="J63" s="127">
        <f t="shared" si="1"/>
        <v>127</v>
      </c>
      <c r="L63" s="2"/>
      <c r="M63" s="83"/>
      <c r="N63" s="15"/>
      <c r="O63" s="151"/>
      <c r="P63" s="245"/>
      <c r="Q63" s="69">
        <f t="shared" si="7"/>
        <v>0</v>
      </c>
      <c r="R63" s="70"/>
      <c r="S63" s="71"/>
      <c r="T63" s="208">
        <f t="shared" si="9"/>
        <v>0</v>
      </c>
      <c r="U63" s="127">
        <f t="shared" si="10"/>
        <v>0</v>
      </c>
      <c r="W63" s="2"/>
      <c r="X63" s="83"/>
      <c r="Y63" s="15"/>
      <c r="Z63" s="151"/>
      <c r="AA63" s="245"/>
      <c r="AB63" s="69">
        <f t="shared" si="8"/>
        <v>0</v>
      </c>
      <c r="AC63" s="70"/>
      <c r="AD63" s="71"/>
      <c r="AE63" s="208">
        <f t="shared" si="4"/>
        <v>3192.7000000000012</v>
      </c>
      <c r="AF63" s="127">
        <f t="shared" si="5"/>
        <v>155</v>
      </c>
    </row>
    <row r="64" spans="1:32" x14ac:dyDescent="0.25">
      <c r="A64" s="2"/>
      <c r="B64" s="83"/>
      <c r="C64" s="15">
        <v>2</v>
      </c>
      <c r="D64" s="744">
        <v>58.25</v>
      </c>
      <c r="E64" s="570">
        <v>44840</v>
      </c>
      <c r="F64" s="534">
        <f t="shared" si="6"/>
        <v>58.25</v>
      </c>
      <c r="G64" s="329" t="s">
        <v>183</v>
      </c>
      <c r="H64" s="330">
        <v>84</v>
      </c>
      <c r="I64" s="208">
        <f t="shared" si="0"/>
        <v>3054.4300000000012</v>
      </c>
      <c r="J64" s="127">
        <f t="shared" si="1"/>
        <v>125</v>
      </c>
      <c r="L64" s="2"/>
      <c r="M64" s="83"/>
      <c r="N64" s="15"/>
      <c r="O64" s="151"/>
      <c r="P64" s="245"/>
      <c r="Q64" s="69">
        <f t="shared" si="7"/>
        <v>0</v>
      </c>
      <c r="R64" s="70"/>
      <c r="S64" s="71"/>
      <c r="T64" s="208">
        <f t="shared" si="9"/>
        <v>0</v>
      </c>
      <c r="U64" s="127">
        <f t="shared" si="10"/>
        <v>0</v>
      </c>
      <c r="W64" s="2"/>
      <c r="X64" s="83"/>
      <c r="Y64" s="15"/>
      <c r="Z64" s="151"/>
      <c r="AA64" s="245"/>
      <c r="AB64" s="69">
        <f t="shared" si="8"/>
        <v>0</v>
      </c>
      <c r="AC64" s="70"/>
      <c r="AD64" s="71"/>
      <c r="AE64" s="208">
        <f t="shared" si="4"/>
        <v>3192.7000000000012</v>
      </c>
      <c r="AF64" s="127">
        <f t="shared" si="5"/>
        <v>155</v>
      </c>
    </row>
    <row r="65" spans="1:32" x14ac:dyDescent="0.25">
      <c r="A65" s="2"/>
      <c r="B65" s="83"/>
      <c r="C65" s="15">
        <v>8</v>
      </c>
      <c r="D65" s="744">
        <v>220.52</v>
      </c>
      <c r="E65" s="570">
        <v>44840</v>
      </c>
      <c r="F65" s="534">
        <f t="shared" si="6"/>
        <v>220.52</v>
      </c>
      <c r="G65" s="329" t="s">
        <v>185</v>
      </c>
      <c r="H65" s="330">
        <v>84</v>
      </c>
      <c r="I65" s="208">
        <f t="shared" si="0"/>
        <v>2833.9100000000012</v>
      </c>
      <c r="J65" s="127">
        <f t="shared" si="1"/>
        <v>117</v>
      </c>
      <c r="L65" s="2"/>
      <c r="M65" s="83"/>
      <c r="N65" s="15"/>
      <c r="O65" s="151"/>
      <c r="P65" s="245"/>
      <c r="Q65" s="69">
        <f t="shared" si="7"/>
        <v>0</v>
      </c>
      <c r="R65" s="70"/>
      <c r="S65" s="71"/>
      <c r="T65" s="208">
        <f t="shared" si="9"/>
        <v>0</v>
      </c>
      <c r="U65" s="127">
        <f t="shared" si="10"/>
        <v>0</v>
      </c>
      <c r="W65" s="2"/>
      <c r="X65" s="83"/>
      <c r="Y65" s="15"/>
      <c r="Z65" s="151"/>
      <c r="AA65" s="245"/>
      <c r="AB65" s="69">
        <f t="shared" si="8"/>
        <v>0</v>
      </c>
      <c r="AC65" s="70"/>
      <c r="AD65" s="71"/>
      <c r="AE65" s="208">
        <f t="shared" si="4"/>
        <v>3192.7000000000012</v>
      </c>
      <c r="AF65" s="127">
        <f t="shared" si="5"/>
        <v>155</v>
      </c>
    </row>
    <row r="66" spans="1:32" x14ac:dyDescent="0.25">
      <c r="A66" s="2"/>
      <c r="B66" s="83"/>
      <c r="C66" s="15">
        <v>1</v>
      </c>
      <c r="D66" s="744">
        <v>23.95</v>
      </c>
      <c r="E66" s="570">
        <v>44841</v>
      </c>
      <c r="F66" s="534">
        <f t="shared" si="6"/>
        <v>23.95</v>
      </c>
      <c r="G66" s="329" t="s">
        <v>186</v>
      </c>
      <c r="H66" s="330">
        <v>84</v>
      </c>
      <c r="I66" s="208">
        <f t="shared" si="0"/>
        <v>2809.9600000000014</v>
      </c>
      <c r="J66" s="127">
        <f t="shared" si="1"/>
        <v>116</v>
      </c>
      <c r="L66" s="2"/>
      <c r="M66" s="83"/>
      <c r="N66" s="15"/>
      <c r="O66" s="151"/>
      <c r="P66" s="245"/>
      <c r="Q66" s="69">
        <f t="shared" si="7"/>
        <v>0</v>
      </c>
      <c r="R66" s="70"/>
      <c r="S66" s="71"/>
      <c r="T66" s="208">
        <f t="shared" si="9"/>
        <v>0</v>
      </c>
      <c r="U66" s="127">
        <f t="shared" si="10"/>
        <v>0</v>
      </c>
      <c r="W66" s="2"/>
      <c r="X66" s="83"/>
      <c r="Y66" s="15"/>
      <c r="Z66" s="151"/>
      <c r="AA66" s="245"/>
      <c r="AB66" s="69">
        <f t="shared" si="8"/>
        <v>0</v>
      </c>
      <c r="AC66" s="70"/>
      <c r="AD66" s="71"/>
      <c r="AE66" s="208">
        <f t="shared" si="4"/>
        <v>3192.7000000000012</v>
      </c>
      <c r="AF66" s="127">
        <f t="shared" si="5"/>
        <v>155</v>
      </c>
    </row>
    <row r="67" spans="1:32" x14ac:dyDescent="0.25">
      <c r="A67" s="2"/>
      <c r="B67" s="83"/>
      <c r="C67" s="15">
        <v>6</v>
      </c>
      <c r="D67" s="744">
        <v>149.43</v>
      </c>
      <c r="E67" s="570">
        <v>44842</v>
      </c>
      <c r="F67" s="534">
        <f t="shared" si="6"/>
        <v>149.43</v>
      </c>
      <c r="G67" s="329" t="s">
        <v>187</v>
      </c>
      <c r="H67" s="330">
        <v>84</v>
      </c>
      <c r="I67" s="208">
        <f t="shared" si="0"/>
        <v>2660.5300000000016</v>
      </c>
      <c r="J67" s="127">
        <f t="shared" si="1"/>
        <v>110</v>
      </c>
      <c r="L67" s="2"/>
      <c r="M67" s="83"/>
      <c r="N67" s="15"/>
      <c r="O67" s="151"/>
      <c r="P67" s="245"/>
      <c r="Q67" s="69">
        <f t="shared" si="7"/>
        <v>0</v>
      </c>
      <c r="R67" s="70"/>
      <c r="S67" s="71"/>
      <c r="T67" s="208">
        <f t="shared" si="9"/>
        <v>0</v>
      </c>
      <c r="U67" s="127">
        <f t="shared" si="10"/>
        <v>0</v>
      </c>
      <c r="W67" s="2"/>
      <c r="X67" s="83"/>
      <c r="Y67" s="15"/>
      <c r="Z67" s="151"/>
      <c r="AA67" s="245"/>
      <c r="AB67" s="69">
        <f t="shared" si="8"/>
        <v>0</v>
      </c>
      <c r="AC67" s="70"/>
      <c r="AD67" s="71"/>
      <c r="AE67" s="208">
        <f t="shared" si="4"/>
        <v>3192.7000000000012</v>
      </c>
      <c r="AF67" s="127">
        <f t="shared" si="5"/>
        <v>155</v>
      </c>
    </row>
    <row r="68" spans="1:32" x14ac:dyDescent="0.25">
      <c r="A68" s="2"/>
      <c r="B68" s="83"/>
      <c r="C68" s="15">
        <v>5</v>
      </c>
      <c r="D68" s="744">
        <v>113.59</v>
      </c>
      <c r="E68" s="570">
        <v>44845</v>
      </c>
      <c r="F68" s="534">
        <f t="shared" si="6"/>
        <v>113.59</v>
      </c>
      <c r="G68" s="329" t="s">
        <v>190</v>
      </c>
      <c r="H68" s="330">
        <v>84</v>
      </c>
      <c r="I68" s="208">
        <f t="shared" si="0"/>
        <v>2546.9400000000014</v>
      </c>
      <c r="J68" s="127">
        <f t="shared" si="1"/>
        <v>105</v>
      </c>
      <c r="L68" s="2"/>
      <c r="M68" s="83"/>
      <c r="N68" s="15"/>
      <c r="O68" s="151"/>
      <c r="P68" s="245"/>
      <c r="Q68" s="69">
        <f t="shared" si="7"/>
        <v>0</v>
      </c>
      <c r="R68" s="70"/>
      <c r="S68" s="71"/>
      <c r="T68" s="208">
        <f t="shared" si="9"/>
        <v>0</v>
      </c>
      <c r="U68" s="127">
        <f t="shared" si="10"/>
        <v>0</v>
      </c>
      <c r="W68" s="2"/>
      <c r="X68" s="83"/>
      <c r="Y68" s="15"/>
      <c r="Z68" s="151"/>
      <c r="AA68" s="245"/>
      <c r="AB68" s="69">
        <f t="shared" si="8"/>
        <v>0</v>
      </c>
      <c r="AC68" s="70"/>
      <c r="AD68" s="71"/>
      <c r="AE68" s="208">
        <f t="shared" si="4"/>
        <v>3192.7000000000012</v>
      </c>
      <c r="AF68" s="127">
        <f t="shared" si="5"/>
        <v>155</v>
      </c>
    </row>
    <row r="69" spans="1:32" x14ac:dyDescent="0.25">
      <c r="A69" s="2"/>
      <c r="B69" s="83"/>
      <c r="C69" s="15">
        <v>5</v>
      </c>
      <c r="D69" s="744">
        <v>111.26</v>
      </c>
      <c r="E69" s="570">
        <v>44853</v>
      </c>
      <c r="F69" s="534">
        <f t="shared" si="6"/>
        <v>111.26</v>
      </c>
      <c r="G69" s="329" t="s">
        <v>198</v>
      </c>
      <c r="H69" s="330">
        <v>84</v>
      </c>
      <c r="I69" s="208">
        <f t="shared" ref="I69:I91" si="11">I68-F69</f>
        <v>2435.6800000000012</v>
      </c>
      <c r="J69" s="127">
        <f t="shared" ref="J69:J91" si="12">J68-C69</f>
        <v>100</v>
      </c>
      <c r="L69" s="2"/>
      <c r="M69" s="83"/>
      <c r="N69" s="15"/>
      <c r="O69" s="151"/>
      <c r="P69" s="245"/>
      <c r="Q69" s="69">
        <f t="shared" ref="Q69:Q100" si="13">O69</f>
        <v>0</v>
      </c>
      <c r="R69" s="70"/>
      <c r="S69" s="71"/>
      <c r="T69" s="208">
        <f t="shared" ref="T69:T100" si="14">T68-Q69</f>
        <v>0</v>
      </c>
      <c r="U69" s="127">
        <f t="shared" ref="U69:U100" si="15">U68-N69</f>
        <v>0</v>
      </c>
      <c r="W69" s="2"/>
      <c r="X69" s="83"/>
      <c r="Y69" s="15"/>
      <c r="Z69" s="151"/>
      <c r="AA69" s="245"/>
      <c r="AB69" s="69"/>
      <c r="AC69" s="70"/>
      <c r="AD69" s="71"/>
      <c r="AE69" s="208">
        <f t="shared" ref="AE69:AE91" si="16">AE68-AB69</f>
        <v>3192.7000000000012</v>
      </c>
      <c r="AF69" s="127">
        <f t="shared" ref="AF69:AF91" si="17">AF68-Y69</f>
        <v>155</v>
      </c>
    </row>
    <row r="70" spans="1:32" x14ac:dyDescent="0.25">
      <c r="A70" s="2"/>
      <c r="B70" s="83"/>
      <c r="C70" s="15">
        <v>5</v>
      </c>
      <c r="D70" s="744">
        <v>123.65</v>
      </c>
      <c r="E70" s="570">
        <v>44853</v>
      </c>
      <c r="F70" s="534">
        <f t="shared" si="6"/>
        <v>123.65</v>
      </c>
      <c r="G70" s="329" t="s">
        <v>199</v>
      </c>
      <c r="H70" s="330">
        <v>84</v>
      </c>
      <c r="I70" s="208">
        <f t="shared" si="11"/>
        <v>2312.0300000000011</v>
      </c>
      <c r="J70" s="127">
        <f t="shared" si="12"/>
        <v>95</v>
      </c>
      <c r="L70" s="2"/>
      <c r="M70" s="83"/>
      <c r="N70" s="15"/>
      <c r="O70" s="151"/>
      <c r="P70" s="245"/>
      <c r="Q70" s="69">
        <f t="shared" si="13"/>
        <v>0</v>
      </c>
      <c r="R70" s="70"/>
      <c r="S70" s="71"/>
      <c r="T70" s="208">
        <f t="shared" si="14"/>
        <v>0</v>
      </c>
      <c r="U70" s="127">
        <f t="shared" si="15"/>
        <v>0</v>
      </c>
      <c r="W70" s="2"/>
      <c r="X70" s="83"/>
      <c r="Y70" s="15"/>
      <c r="Z70" s="151"/>
      <c r="AA70" s="245"/>
      <c r="AB70" s="69"/>
      <c r="AC70" s="70"/>
      <c r="AD70" s="71"/>
      <c r="AE70" s="208">
        <f t="shared" si="16"/>
        <v>3192.7000000000012</v>
      </c>
      <c r="AF70" s="127">
        <f t="shared" si="17"/>
        <v>155</v>
      </c>
    </row>
    <row r="71" spans="1:32" x14ac:dyDescent="0.25">
      <c r="A71" s="2"/>
      <c r="B71" s="83"/>
      <c r="C71" s="15">
        <v>4</v>
      </c>
      <c r="D71" s="744">
        <v>102.95</v>
      </c>
      <c r="E71" s="570">
        <v>44854</v>
      </c>
      <c r="F71" s="534">
        <f t="shared" si="6"/>
        <v>102.95</v>
      </c>
      <c r="G71" s="329" t="s">
        <v>202</v>
      </c>
      <c r="H71" s="330">
        <v>84</v>
      </c>
      <c r="I71" s="208">
        <f t="shared" si="11"/>
        <v>2209.0800000000013</v>
      </c>
      <c r="J71" s="127">
        <f t="shared" si="12"/>
        <v>91</v>
      </c>
      <c r="L71" s="2"/>
      <c r="M71" s="83"/>
      <c r="N71" s="15"/>
      <c r="O71" s="151"/>
      <c r="P71" s="245"/>
      <c r="Q71" s="69">
        <f t="shared" si="13"/>
        <v>0</v>
      </c>
      <c r="R71" s="70"/>
      <c r="S71" s="71"/>
      <c r="T71" s="208">
        <f t="shared" si="14"/>
        <v>0</v>
      </c>
      <c r="U71" s="127">
        <f t="shared" si="15"/>
        <v>0</v>
      </c>
      <c r="W71" s="2"/>
      <c r="X71" s="83"/>
      <c r="Y71" s="15"/>
      <c r="Z71" s="151"/>
      <c r="AA71" s="245"/>
      <c r="AB71" s="69"/>
      <c r="AC71" s="70"/>
      <c r="AD71" s="71"/>
      <c r="AE71" s="208">
        <f t="shared" si="16"/>
        <v>3192.7000000000012</v>
      </c>
      <c r="AF71" s="127">
        <f t="shared" si="17"/>
        <v>155</v>
      </c>
    </row>
    <row r="72" spans="1:32" x14ac:dyDescent="0.25">
      <c r="A72" s="2"/>
      <c r="B72" s="83"/>
      <c r="C72" s="15">
        <v>4</v>
      </c>
      <c r="D72" s="744">
        <v>105.15</v>
      </c>
      <c r="E72" s="570">
        <v>44855</v>
      </c>
      <c r="F72" s="534">
        <f t="shared" si="6"/>
        <v>105.15</v>
      </c>
      <c r="G72" s="329" t="s">
        <v>204</v>
      </c>
      <c r="H72" s="330">
        <v>84</v>
      </c>
      <c r="I72" s="208">
        <f t="shared" si="11"/>
        <v>2103.9300000000012</v>
      </c>
      <c r="J72" s="127">
        <f t="shared" si="12"/>
        <v>87</v>
      </c>
      <c r="L72" s="2"/>
      <c r="M72" s="83"/>
      <c r="N72" s="15"/>
      <c r="O72" s="151"/>
      <c r="P72" s="245"/>
      <c r="Q72" s="69">
        <f t="shared" si="13"/>
        <v>0</v>
      </c>
      <c r="R72" s="70"/>
      <c r="S72" s="71"/>
      <c r="T72" s="208">
        <f t="shared" si="14"/>
        <v>0</v>
      </c>
      <c r="U72" s="127">
        <f t="shared" si="15"/>
        <v>0</v>
      </c>
      <c r="W72" s="2"/>
      <c r="X72" s="83"/>
      <c r="Y72" s="15"/>
      <c r="Z72" s="151"/>
      <c r="AA72" s="245"/>
      <c r="AB72" s="69"/>
      <c r="AC72" s="70"/>
      <c r="AD72" s="71"/>
      <c r="AE72" s="208">
        <f t="shared" si="16"/>
        <v>3192.7000000000012</v>
      </c>
      <c r="AF72" s="127">
        <f t="shared" si="17"/>
        <v>155</v>
      </c>
    </row>
    <row r="73" spans="1:32" x14ac:dyDescent="0.25">
      <c r="A73" s="2"/>
      <c r="B73" s="83"/>
      <c r="C73" s="15">
        <v>2</v>
      </c>
      <c r="D73" s="744">
        <v>56.1</v>
      </c>
      <c r="E73" s="570">
        <v>44856</v>
      </c>
      <c r="F73" s="534">
        <f t="shared" si="6"/>
        <v>56.1</v>
      </c>
      <c r="G73" s="329" t="s">
        <v>206</v>
      </c>
      <c r="H73" s="330">
        <v>84</v>
      </c>
      <c r="I73" s="208">
        <f t="shared" si="11"/>
        <v>2047.8300000000013</v>
      </c>
      <c r="J73" s="127">
        <f t="shared" si="12"/>
        <v>85</v>
      </c>
      <c r="L73" s="2"/>
      <c r="M73" s="83"/>
      <c r="N73" s="15"/>
      <c r="O73" s="151"/>
      <c r="P73" s="245"/>
      <c r="Q73" s="69">
        <f t="shared" si="13"/>
        <v>0</v>
      </c>
      <c r="R73" s="70"/>
      <c r="S73" s="71"/>
      <c r="T73" s="208">
        <f t="shared" si="14"/>
        <v>0</v>
      </c>
      <c r="U73" s="127">
        <f t="shared" si="15"/>
        <v>0</v>
      </c>
      <c r="W73" s="2"/>
      <c r="X73" s="83"/>
      <c r="Y73" s="15"/>
      <c r="Z73" s="151"/>
      <c r="AA73" s="245"/>
      <c r="AB73" s="69"/>
      <c r="AC73" s="70"/>
      <c r="AD73" s="71"/>
      <c r="AE73" s="208">
        <f t="shared" si="16"/>
        <v>3192.7000000000012</v>
      </c>
      <c r="AF73" s="127">
        <f t="shared" si="17"/>
        <v>155</v>
      </c>
    </row>
    <row r="74" spans="1:32" x14ac:dyDescent="0.25">
      <c r="A74" s="2"/>
      <c r="B74" s="83"/>
      <c r="C74" s="15">
        <v>5</v>
      </c>
      <c r="D74" s="744">
        <v>114.44</v>
      </c>
      <c r="E74" s="570">
        <v>44860</v>
      </c>
      <c r="F74" s="534">
        <f t="shared" si="6"/>
        <v>114.44</v>
      </c>
      <c r="G74" s="329" t="s">
        <v>211</v>
      </c>
      <c r="H74" s="330">
        <v>84</v>
      </c>
      <c r="I74" s="208">
        <f t="shared" si="11"/>
        <v>1933.3900000000012</v>
      </c>
      <c r="J74" s="127">
        <f t="shared" si="12"/>
        <v>80</v>
      </c>
      <c r="L74" s="2"/>
      <c r="M74" s="83"/>
      <c r="N74" s="15"/>
      <c r="O74" s="151"/>
      <c r="P74" s="245"/>
      <c r="Q74" s="69">
        <f t="shared" si="13"/>
        <v>0</v>
      </c>
      <c r="R74" s="70"/>
      <c r="S74" s="71"/>
      <c r="T74" s="208">
        <f t="shared" si="14"/>
        <v>0</v>
      </c>
      <c r="U74" s="127">
        <f t="shared" si="15"/>
        <v>0</v>
      </c>
      <c r="W74" s="2"/>
      <c r="X74" s="83"/>
      <c r="Y74" s="15"/>
      <c r="Z74" s="151"/>
      <c r="AA74" s="245"/>
      <c r="AB74" s="69"/>
      <c r="AC74" s="70"/>
      <c r="AD74" s="71"/>
      <c r="AE74" s="208">
        <f t="shared" si="16"/>
        <v>3192.7000000000012</v>
      </c>
      <c r="AF74" s="127">
        <f t="shared" si="17"/>
        <v>155</v>
      </c>
    </row>
    <row r="75" spans="1:32" x14ac:dyDescent="0.25">
      <c r="A75" s="2"/>
      <c r="B75" s="83"/>
      <c r="C75" s="15">
        <v>5</v>
      </c>
      <c r="D75" s="744">
        <v>114.31</v>
      </c>
      <c r="E75" s="570">
        <v>44862</v>
      </c>
      <c r="F75" s="534">
        <f t="shared" si="6"/>
        <v>114.31</v>
      </c>
      <c r="G75" s="329" t="s">
        <v>213</v>
      </c>
      <c r="H75" s="330">
        <v>84</v>
      </c>
      <c r="I75" s="827">
        <f t="shared" si="11"/>
        <v>1819.0800000000013</v>
      </c>
      <c r="J75" s="828">
        <f t="shared" si="12"/>
        <v>75</v>
      </c>
      <c r="L75" s="2"/>
      <c r="M75" s="83"/>
      <c r="N75" s="15"/>
      <c r="O75" s="151"/>
      <c r="P75" s="245"/>
      <c r="Q75" s="69">
        <f t="shared" si="13"/>
        <v>0</v>
      </c>
      <c r="R75" s="70"/>
      <c r="S75" s="71"/>
      <c r="T75" s="208">
        <f t="shared" si="14"/>
        <v>0</v>
      </c>
      <c r="U75" s="127">
        <f t="shared" si="15"/>
        <v>0</v>
      </c>
      <c r="W75" s="2"/>
      <c r="X75" s="83"/>
      <c r="Y75" s="15"/>
      <c r="Z75" s="151"/>
      <c r="AA75" s="245"/>
      <c r="AB75" s="69"/>
      <c r="AC75" s="70"/>
      <c r="AD75" s="71"/>
      <c r="AE75" s="208">
        <f t="shared" si="16"/>
        <v>3192.7000000000012</v>
      </c>
      <c r="AF75" s="127">
        <f t="shared" si="17"/>
        <v>155</v>
      </c>
    </row>
    <row r="76" spans="1:32" x14ac:dyDescent="0.25">
      <c r="A76" s="2"/>
      <c r="B76" s="83"/>
      <c r="C76" s="15">
        <v>7</v>
      </c>
      <c r="D76" s="934">
        <v>160.03</v>
      </c>
      <c r="E76" s="841">
        <v>44866</v>
      </c>
      <c r="F76" s="829">
        <f t="shared" si="6"/>
        <v>160.03</v>
      </c>
      <c r="G76" s="831" t="s">
        <v>235</v>
      </c>
      <c r="H76" s="832">
        <v>84</v>
      </c>
      <c r="I76" s="208">
        <f t="shared" si="11"/>
        <v>1659.0500000000013</v>
      </c>
      <c r="J76" s="127">
        <f t="shared" si="12"/>
        <v>68</v>
      </c>
      <c r="L76" s="2"/>
      <c r="M76" s="83"/>
      <c r="N76" s="15"/>
      <c r="O76" s="151"/>
      <c r="P76" s="245"/>
      <c r="Q76" s="69">
        <f t="shared" si="13"/>
        <v>0</v>
      </c>
      <c r="R76" s="70"/>
      <c r="S76" s="71"/>
      <c r="T76" s="208">
        <f t="shared" si="14"/>
        <v>0</v>
      </c>
      <c r="U76" s="127">
        <f t="shared" si="15"/>
        <v>0</v>
      </c>
      <c r="W76" s="2"/>
      <c r="X76" s="83"/>
      <c r="Y76" s="15"/>
      <c r="Z76" s="151"/>
      <c r="AA76" s="245"/>
      <c r="AB76" s="69"/>
      <c r="AC76" s="70"/>
      <c r="AD76" s="71"/>
      <c r="AE76" s="208">
        <f t="shared" si="16"/>
        <v>3192.7000000000012</v>
      </c>
      <c r="AF76" s="127">
        <f t="shared" si="17"/>
        <v>155</v>
      </c>
    </row>
    <row r="77" spans="1:32" x14ac:dyDescent="0.25">
      <c r="A77" s="2"/>
      <c r="B77" s="83"/>
      <c r="C77" s="15">
        <v>4</v>
      </c>
      <c r="D77" s="934">
        <v>106.31</v>
      </c>
      <c r="E77" s="841">
        <v>44867</v>
      </c>
      <c r="F77" s="829">
        <f t="shared" si="6"/>
        <v>106.31</v>
      </c>
      <c r="G77" s="831" t="s">
        <v>236</v>
      </c>
      <c r="H77" s="832">
        <v>84</v>
      </c>
      <c r="I77" s="208">
        <f t="shared" si="11"/>
        <v>1552.7400000000014</v>
      </c>
      <c r="J77" s="127">
        <f t="shared" si="12"/>
        <v>64</v>
      </c>
      <c r="L77" s="2"/>
      <c r="M77" s="83"/>
      <c r="N77" s="15"/>
      <c r="O77" s="151"/>
      <c r="P77" s="245"/>
      <c r="Q77" s="69">
        <f t="shared" si="13"/>
        <v>0</v>
      </c>
      <c r="R77" s="70"/>
      <c r="S77" s="71"/>
      <c r="T77" s="208">
        <f t="shared" si="14"/>
        <v>0</v>
      </c>
      <c r="U77" s="127">
        <f t="shared" si="15"/>
        <v>0</v>
      </c>
      <c r="W77" s="2"/>
      <c r="X77" s="83"/>
      <c r="Y77" s="15"/>
      <c r="Z77" s="151"/>
      <c r="AA77" s="245"/>
      <c r="AB77" s="69"/>
      <c r="AC77" s="70"/>
      <c r="AD77" s="71"/>
      <c r="AE77" s="208">
        <f t="shared" si="16"/>
        <v>3192.7000000000012</v>
      </c>
      <c r="AF77" s="127">
        <f t="shared" si="17"/>
        <v>155</v>
      </c>
    </row>
    <row r="78" spans="1:32" x14ac:dyDescent="0.25">
      <c r="A78" s="2"/>
      <c r="B78" s="83"/>
      <c r="C78" s="15">
        <v>8</v>
      </c>
      <c r="D78" s="934">
        <v>204.06</v>
      </c>
      <c r="E78" s="841">
        <v>44869</v>
      </c>
      <c r="F78" s="829">
        <f t="shared" si="6"/>
        <v>204.06</v>
      </c>
      <c r="G78" s="831" t="s">
        <v>241</v>
      </c>
      <c r="H78" s="832">
        <v>84</v>
      </c>
      <c r="I78" s="208">
        <f t="shared" si="11"/>
        <v>1348.6800000000014</v>
      </c>
      <c r="J78" s="127">
        <f t="shared" si="12"/>
        <v>56</v>
      </c>
      <c r="L78" s="2"/>
      <c r="M78" s="83"/>
      <c r="N78" s="15"/>
      <c r="O78" s="151"/>
      <c r="P78" s="245"/>
      <c r="Q78" s="69">
        <f t="shared" si="13"/>
        <v>0</v>
      </c>
      <c r="R78" s="70"/>
      <c r="S78" s="71"/>
      <c r="T78" s="208">
        <f t="shared" si="14"/>
        <v>0</v>
      </c>
      <c r="U78" s="127">
        <f t="shared" si="15"/>
        <v>0</v>
      </c>
      <c r="W78" s="2"/>
      <c r="X78" s="83"/>
      <c r="Y78" s="15"/>
      <c r="Z78" s="151"/>
      <c r="AA78" s="245"/>
      <c r="AB78" s="69"/>
      <c r="AC78" s="70"/>
      <c r="AD78" s="71"/>
      <c r="AE78" s="208">
        <f t="shared" si="16"/>
        <v>3192.7000000000012</v>
      </c>
      <c r="AF78" s="127">
        <f t="shared" si="17"/>
        <v>155</v>
      </c>
    </row>
    <row r="79" spans="1:32" x14ac:dyDescent="0.25">
      <c r="A79" s="2"/>
      <c r="B79" s="83"/>
      <c r="C79" s="15">
        <v>5</v>
      </c>
      <c r="D79" s="934">
        <v>127.98</v>
      </c>
      <c r="E79" s="841">
        <v>44874</v>
      </c>
      <c r="F79" s="829">
        <f t="shared" si="6"/>
        <v>127.98</v>
      </c>
      <c r="G79" s="831" t="s">
        <v>254</v>
      </c>
      <c r="H79" s="832">
        <v>84</v>
      </c>
      <c r="I79" s="208">
        <f t="shared" si="11"/>
        <v>1220.7000000000014</v>
      </c>
      <c r="J79" s="127">
        <f t="shared" si="12"/>
        <v>51</v>
      </c>
      <c r="L79" s="2"/>
      <c r="M79" s="83"/>
      <c r="N79" s="15"/>
      <c r="O79" s="151"/>
      <c r="P79" s="245"/>
      <c r="Q79" s="69">
        <f t="shared" si="13"/>
        <v>0</v>
      </c>
      <c r="R79" s="70"/>
      <c r="S79" s="71"/>
      <c r="T79" s="208">
        <f t="shared" si="14"/>
        <v>0</v>
      </c>
      <c r="U79" s="127">
        <f t="shared" si="15"/>
        <v>0</v>
      </c>
      <c r="W79" s="2"/>
      <c r="X79" s="83"/>
      <c r="Y79" s="15"/>
      <c r="Z79" s="151"/>
      <c r="AA79" s="245"/>
      <c r="AB79" s="69"/>
      <c r="AC79" s="70"/>
      <c r="AD79" s="71"/>
      <c r="AE79" s="208">
        <f t="shared" si="16"/>
        <v>3192.7000000000012</v>
      </c>
      <c r="AF79" s="127">
        <f t="shared" si="17"/>
        <v>155</v>
      </c>
    </row>
    <row r="80" spans="1:32" x14ac:dyDescent="0.25">
      <c r="A80" s="2"/>
      <c r="B80" s="83"/>
      <c r="C80" s="15">
        <v>1</v>
      </c>
      <c r="D80" s="934">
        <v>26.52</v>
      </c>
      <c r="E80" s="841">
        <v>44875</v>
      </c>
      <c r="F80" s="829">
        <f t="shared" si="6"/>
        <v>26.52</v>
      </c>
      <c r="G80" s="831" t="s">
        <v>258</v>
      </c>
      <c r="H80" s="832">
        <v>84</v>
      </c>
      <c r="I80" s="208">
        <f t="shared" si="11"/>
        <v>1194.1800000000014</v>
      </c>
      <c r="J80" s="127">
        <f t="shared" si="12"/>
        <v>50</v>
      </c>
      <c r="L80" s="2"/>
      <c r="M80" s="83"/>
      <c r="N80" s="15"/>
      <c r="O80" s="151"/>
      <c r="P80" s="245"/>
      <c r="Q80" s="69">
        <f t="shared" si="13"/>
        <v>0</v>
      </c>
      <c r="R80" s="70"/>
      <c r="S80" s="71"/>
      <c r="T80" s="208">
        <f t="shared" si="14"/>
        <v>0</v>
      </c>
      <c r="U80" s="127">
        <f t="shared" si="15"/>
        <v>0</v>
      </c>
      <c r="W80" s="2"/>
      <c r="X80" s="83"/>
      <c r="Y80" s="15"/>
      <c r="Z80" s="151"/>
      <c r="AA80" s="245"/>
      <c r="AB80" s="69"/>
      <c r="AC80" s="70"/>
      <c r="AD80" s="71"/>
      <c r="AE80" s="208">
        <f t="shared" si="16"/>
        <v>3192.7000000000012</v>
      </c>
      <c r="AF80" s="127">
        <f t="shared" si="17"/>
        <v>155</v>
      </c>
    </row>
    <row r="81" spans="1:32" x14ac:dyDescent="0.25">
      <c r="A81" s="2"/>
      <c r="B81" s="83"/>
      <c r="C81" s="15">
        <v>1</v>
      </c>
      <c r="D81" s="934">
        <v>19.899999999999999</v>
      </c>
      <c r="E81" s="841">
        <v>44875</v>
      </c>
      <c r="F81" s="829">
        <f t="shared" si="6"/>
        <v>19.899999999999999</v>
      </c>
      <c r="G81" s="831" t="s">
        <v>259</v>
      </c>
      <c r="H81" s="832">
        <v>84</v>
      </c>
      <c r="I81" s="208">
        <f t="shared" si="11"/>
        <v>1174.2800000000013</v>
      </c>
      <c r="J81" s="127">
        <f t="shared" si="12"/>
        <v>49</v>
      </c>
      <c r="L81" s="2"/>
      <c r="M81" s="83"/>
      <c r="N81" s="15"/>
      <c r="O81" s="151"/>
      <c r="P81" s="245"/>
      <c r="Q81" s="69">
        <f t="shared" si="13"/>
        <v>0</v>
      </c>
      <c r="R81" s="70"/>
      <c r="S81" s="71"/>
      <c r="T81" s="208">
        <f t="shared" si="14"/>
        <v>0</v>
      </c>
      <c r="U81" s="127">
        <f t="shared" si="15"/>
        <v>0</v>
      </c>
      <c r="W81" s="2"/>
      <c r="X81" s="83"/>
      <c r="Y81" s="15"/>
      <c r="Z81" s="151"/>
      <c r="AA81" s="245"/>
      <c r="AB81" s="69"/>
      <c r="AC81" s="70"/>
      <c r="AD81" s="71"/>
      <c r="AE81" s="208">
        <f t="shared" si="16"/>
        <v>3192.7000000000012</v>
      </c>
      <c r="AF81" s="127">
        <f t="shared" si="17"/>
        <v>155</v>
      </c>
    </row>
    <row r="82" spans="1:32" x14ac:dyDescent="0.25">
      <c r="A82" s="2"/>
      <c r="B82" s="83"/>
      <c r="C82" s="15">
        <v>2</v>
      </c>
      <c r="D82" s="934">
        <v>50.72</v>
      </c>
      <c r="E82" s="841">
        <v>44877</v>
      </c>
      <c r="F82" s="829">
        <f t="shared" si="6"/>
        <v>50.72</v>
      </c>
      <c r="G82" s="831" t="s">
        <v>266</v>
      </c>
      <c r="H82" s="832">
        <v>84</v>
      </c>
      <c r="I82" s="208">
        <f t="shared" si="11"/>
        <v>1123.5600000000013</v>
      </c>
      <c r="J82" s="127">
        <f t="shared" si="12"/>
        <v>47</v>
      </c>
      <c r="L82" s="2"/>
      <c r="M82" s="83"/>
      <c r="N82" s="15"/>
      <c r="O82" s="151"/>
      <c r="P82" s="245"/>
      <c r="Q82" s="69">
        <f t="shared" si="13"/>
        <v>0</v>
      </c>
      <c r="R82" s="70"/>
      <c r="S82" s="71"/>
      <c r="T82" s="208">
        <f t="shared" si="14"/>
        <v>0</v>
      </c>
      <c r="U82" s="127">
        <f t="shared" si="15"/>
        <v>0</v>
      </c>
      <c r="W82" s="2"/>
      <c r="X82" s="83"/>
      <c r="Y82" s="15"/>
      <c r="Z82" s="151"/>
      <c r="AA82" s="245"/>
      <c r="AB82" s="69"/>
      <c r="AC82" s="70"/>
      <c r="AD82" s="71"/>
      <c r="AE82" s="208">
        <f t="shared" si="16"/>
        <v>3192.7000000000012</v>
      </c>
      <c r="AF82" s="127">
        <f t="shared" si="17"/>
        <v>155</v>
      </c>
    </row>
    <row r="83" spans="1:32" x14ac:dyDescent="0.25">
      <c r="A83" s="2"/>
      <c r="B83" s="83"/>
      <c r="C83" s="15">
        <v>4</v>
      </c>
      <c r="D83" s="934">
        <v>108.24</v>
      </c>
      <c r="E83" s="841">
        <v>44877</v>
      </c>
      <c r="F83" s="829">
        <f t="shared" si="6"/>
        <v>108.24</v>
      </c>
      <c r="G83" s="831" t="s">
        <v>269</v>
      </c>
      <c r="H83" s="832">
        <v>84</v>
      </c>
      <c r="I83" s="208">
        <f t="shared" si="11"/>
        <v>1015.3200000000013</v>
      </c>
      <c r="J83" s="127">
        <f t="shared" si="12"/>
        <v>43</v>
      </c>
      <c r="L83" s="2"/>
      <c r="M83" s="83"/>
      <c r="N83" s="15"/>
      <c r="O83" s="151"/>
      <c r="P83" s="245"/>
      <c r="Q83" s="69">
        <f t="shared" si="13"/>
        <v>0</v>
      </c>
      <c r="R83" s="70"/>
      <c r="S83" s="71"/>
      <c r="T83" s="208">
        <f t="shared" si="14"/>
        <v>0</v>
      </c>
      <c r="U83" s="127">
        <f t="shared" si="15"/>
        <v>0</v>
      </c>
      <c r="W83" s="2"/>
      <c r="X83" s="83"/>
      <c r="Y83" s="15"/>
      <c r="Z83" s="151"/>
      <c r="AA83" s="245"/>
      <c r="AB83" s="69"/>
      <c r="AC83" s="70"/>
      <c r="AD83" s="71"/>
      <c r="AE83" s="208">
        <f t="shared" si="16"/>
        <v>3192.7000000000012</v>
      </c>
      <c r="AF83" s="127">
        <f t="shared" si="17"/>
        <v>155</v>
      </c>
    </row>
    <row r="84" spans="1:32" x14ac:dyDescent="0.25">
      <c r="A84" s="2"/>
      <c r="B84" s="83"/>
      <c r="C84" s="15">
        <v>4</v>
      </c>
      <c r="D84" s="934">
        <v>105.45</v>
      </c>
      <c r="E84" s="841">
        <v>44880</v>
      </c>
      <c r="F84" s="829">
        <f t="shared" si="6"/>
        <v>105.45</v>
      </c>
      <c r="G84" s="831" t="s">
        <v>277</v>
      </c>
      <c r="H84" s="832">
        <v>84</v>
      </c>
      <c r="I84" s="208">
        <f t="shared" si="11"/>
        <v>909.87000000000126</v>
      </c>
      <c r="J84" s="127">
        <f t="shared" si="12"/>
        <v>39</v>
      </c>
      <c r="L84" s="2"/>
      <c r="M84" s="83"/>
      <c r="N84" s="15"/>
      <c r="O84" s="151"/>
      <c r="P84" s="245"/>
      <c r="Q84" s="69">
        <f t="shared" si="13"/>
        <v>0</v>
      </c>
      <c r="R84" s="70"/>
      <c r="S84" s="71"/>
      <c r="T84" s="208">
        <f t="shared" si="14"/>
        <v>0</v>
      </c>
      <c r="U84" s="127">
        <f t="shared" si="15"/>
        <v>0</v>
      </c>
      <c r="W84" s="2"/>
      <c r="X84" s="83"/>
      <c r="Y84" s="15"/>
      <c r="Z84" s="151"/>
      <c r="AA84" s="245"/>
      <c r="AB84" s="69"/>
      <c r="AC84" s="70"/>
      <c r="AD84" s="71"/>
      <c r="AE84" s="208">
        <f t="shared" si="16"/>
        <v>3192.7000000000012</v>
      </c>
      <c r="AF84" s="127">
        <f t="shared" si="17"/>
        <v>155</v>
      </c>
    </row>
    <row r="85" spans="1:32" x14ac:dyDescent="0.25">
      <c r="A85" s="2"/>
      <c r="B85" s="83"/>
      <c r="C85" s="15">
        <v>3</v>
      </c>
      <c r="D85" s="934">
        <v>79.87</v>
      </c>
      <c r="E85" s="841">
        <v>44881</v>
      </c>
      <c r="F85" s="829">
        <f t="shared" si="6"/>
        <v>79.87</v>
      </c>
      <c r="G85" s="831" t="s">
        <v>279</v>
      </c>
      <c r="H85" s="832">
        <v>84</v>
      </c>
      <c r="I85" s="208">
        <f t="shared" si="11"/>
        <v>830.00000000000125</v>
      </c>
      <c r="J85" s="127">
        <f t="shared" si="12"/>
        <v>36</v>
      </c>
      <c r="L85" s="2"/>
      <c r="M85" s="83"/>
      <c r="N85" s="15"/>
      <c r="O85" s="151"/>
      <c r="P85" s="245"/>
      <c r="Q85" s="69">
        <f t="shared" si="13"/>
        <v>0</v>
      </c>
      <c r="R85" s="70"/>
      <c r="S85" s="71"/>
      <c r="T85" s="208">
        <f t="shared" si="14"/>
        <v>0</v>
      </c>
      <c r="U85" s="127">
        <f t="shared" si="15"/>
        <v>0</v>
      </c>
      <c r="W85" s="2"/>
      <c r="X85" s="83"/>
      <c r="Y85" s="15"/>
      <c r="Z85" s="151"/>
      <c r="AA85" s="245"/>
      <c r="AB85" s="69"/>
      <c r="AC85" s="70"/>
      <c r="AD85" s="71"/>
      <c r="AE85" s="208">
        <f t="shared" si="16"/>
        <v>3192.7000000000012</v>
      </c>
      <c r="AF85" s="127">
        <f t="shared" si="17"/>
        <v>155</v>
      </c>
    </row>
    <row r="86" spans="1:32" x14ac:dyDescent="0.25">
      <c r="A86" s="2"/>
      <c r="B86" s="83"/>
      <c r="C86" s="15">
        <v>2</v>
      </c>
      <c r="D86" s="934">
        <v>54.7</v>
      </c>
      <c r="E86" s="841">
        <v>44883</v>
      </c>
      <c r="F86" s="829">
        <f t="shared" si="6"/>
        <v>54.7</v>
      </c>
      <c r="G86" s="831" t="s">
        <v>285</v>
      </c>
      <c r="H86" s="832">
        <v>84</v>
      </c>
      <c r="I86" s="208">
        <f t="shared" si="11"/>
        <v>775.30000000000121</v>
      </c>
      <c r="J86" s="127">
        <f t="shared" si="12"/>
        <v>34</v>
      </c>
      <c r="L86" s="2"/>
      <c r="M86" s="83"/>
      <c r="N86" s="15"/>
      <c r="O86" s="151"/>
      <c r="P86" s="245"/>
      <c r="Q86" s="69">
        <f t="shared" si="13"/>
        <v>0</v>
      </c>
      <c r="R86" s="70"/>
      <c r="S86" s="71"/>
      <c r="T86" s="208">
        <f t="shared" si="14"/>
        <v>0</v>
      </c>
      <c r="U86" s="127">
        <f t="shared" si="15"/>
        <v>0</v>
      </c>
      <c r="W86" s="2"/>
      <c r="X86" s="83"/>
      <c r="Y86" s="15"/>
      <c r="Z86" s="151"/>
      <c r="AA86" s="245"/>
      <c r="AB86" s="69"/>
      <c r="AC86" s="70"/>
      <c r="AD86" s="71"/>
      <c r="AE86" s="208">
        <f t="shared" si="16"/>
        <v>3192.7000000000012</v>
      </c>
      <c r="AF86" s="127">
        <f t="shared" si="17"/>
        <v>155</v>
      </c>
    </row>
    <row r="87" spans="1:32" x14ac:dyDescent="0.25">
      <c r="A87" s="2"/>
      <c r="B87" s="83"/>
      <c r="C87" s="15">
        <v>8</v>
      </c>
      <c r="D87" s="934">
        <v>213.28</v>
      </c>
      <c r="E87" s="841">
        <v>44883</v>
      </c>
      <c r="F87" s="829">
        <f t="shared" si="6"/>
        <v>213.28</v>
      </c>
      <c r="G87" s="831" t="s">
        <v>286</v>
      </c>
      <c r="H87" s="832">
        <v>84</v>
      </c>
      <c r="I87" s="208">
        <f t="shared" si="11"/>
        <v>562.02000000000123</v>
      </c>
      <c r="J87" s="127">
        <f t="shared" si="12"/>
        <v>26</v>
      </c>
      <c r="L87" s="2"/>
      <c r="M87" s="83"/>
      <c r="N87" s="15"/>
      <c r="O87" s="151"/>
      <c r="P87" s="245"/>
      <c r="Q87" s="69">
        <f t="shared" si="13"/>
        <v>0</v>
      </c>
      <c r="R87" s="70"/>
      <c r="S87" s="71"/>
      <c r="T87" s="208">
        <f t="shared" si="14"/>
        <v>0</v>
      </c>
      <c r="U87" s="127">
        <f t="shared" si="15"/>
        <v>0</v>
      </c>
      <c r="W87" s="2"/>
      <c r="X87" s="83"/>
      <c r="Y87" s="15"/>
      <c r="Z87" s="151"/>
      <c r="AA87" s="245"/>
      <c r="AB87" s="69"/>
      <c r="AC87" s="70"/>
      <c r="AD87" s="71"/>
      <c r="AE87" s="208">
        <f t="shared" si="16"/>
        <v>3192.7000000000012</v>
      </c>
      <c r="AF87" s="127">
        <f t="shared" si="17"/>
        <v>155</v>
      </c>
    </row>
    <row r="88" spans="1:32" x14ac:dyDescent="0.25">
      <c r="A88" s="2"/>
      <c r="B88" s="83"/>
      <c r="C88" s="15">
        <v>1</v>
      </c>
      <c r="D88" s="934">
        <v>26.14</v>
      </c>
      <c r="E88" s="841">
        <v>44883</v>
      </c>
      <c r="F88" s="829">
        <f t="shared" si="6"/>
        <v>26.14</v>
      </c>
      <c r="G88" s="831" t="s">
        <v>289</v>
      </c>
      <c r="H88" s="832">
        <v>84</v>
      </c>
      <c r="I88" s="208">
        <f t="shared" si="11"/>
        <v>535.88000000000125</v>
      </c>
      <c r="J88" s="127">
        <f t="shared" si="12"/>
        <v>25</v>
      </c>
      <c r="L88" s="2"/>
      <c r="M88" s="83"/>
      <c r="N88" s="15"/>
      <c r="O88" s="151"/>
      <c r="P88" s="245"/>
      <c r="Q88" s="69">
        <f t="shared" si="13"/>
        <v>0</v>
      </c>
      <c r="R88" s="70"/>
      <c r="S88" s="71"/>
      <c r="T88" s="208">
        <f t="shared" si="14"/>
        <v>0</v>
      </c>
      <c r="U88" s="127">
        <f t="shared" si="15"/>
        <v>0</v>
      </c>
      <c r="W88" s="2"/>
      <c r="X88" s="83"/>
      <c r="Y88" s="15"/>
      <c r="Z88" s="151"/>
      <c r="AA88" s="245"/>
      <c r="AB88" s="69"/>
      <c r="AC88" s="70"/>
      <c r="AD88" s="71"/>
      <c r="AE88" s="208">
        <f t="shared" si="16"/>
        <v>3192.7000000000012</v>
      </c>
      <c r="AF88" s="127">
        <f t="shared" si="17"/>
        <v>155</v>
      </c>
    </row>
    <row r="89" spans="1:32" x14ac:dyDescent="0.25">
      <c r="A89" s="2"/>
      <c r="B89" s="83"/>
      <c r="C89" s="15">
        <v>5</v>
      </c>
      <c r="D89" s="934">
        <v>137.38999999999999</v>
      </c>
      <c r="E89" s="841">
        <v>44889</v>
      </c>
      <c r="F89" s="829">
        <f t="shared" si="6"/>
        <v>137.38999999999999</v>
      </c>
      <c r="G89" s="831" t="s">
        <v>302</v>
      </c>
      <c r="H89" s="832">
        <v>84</v>
      </c>
      <c r="I89" s="208">
        <f t="shared" si="11"/>
        <v>398.49000000000126</v>
      </c>
      <c r="J89" s="127">
        <f t="shared" si="12"/>
        <v>20</v>
      </c>
      <c r="L89" s="2"/>
      <c r="M89" s="83"/>
      <c r="N89" s="15"/>
      <c r="O89" s="151"/>
      <c r="P89" s="245"/>
      <c r="Q89" s="69">
        <f t="shared" si="13"/>
        <v>0</v>
      </c>
      <c r="R89" s="70"/>
      <c r="S89" s="71"/>
      <c r="T89" s="208">
        <f t="shared" si="14"/>
        <v>0</v>
      </c>
      <c r="U89" s="127">
        <f t="shared" si="15"/>
        <v>0</v>
      </c>
      <c r="W89" s="2"/>
      <c r="X89" s="83"/>
      <c r="Y89" s="15"/>
      <c r="Z89" s="151"/>
      <c r="AA89" s="245"/>
      <c r="AB89" s="69"/>
      <c r="AC89" s="70"/>
      <c r="AD89" s="71"/>
      <c r="AE89" s="208">
        <f t="shared" si="16"/>
        <v>3192.7000000000012</v>
      </c>
      <c r="AF89" s="127">
        <f t="shared" si="17"/>
        <v>155</v>
      </c>
    </row>
    <row r="90" spans="1:32" x14ac:dyDescent="0.25">
      <c r="A90" s="2"/>
      <c r="B90" s="83"/>
      <c r="C90" s="15">
        <v>3</v>
      </c>
      <c r="D90" s="934">
        <v>72.59</v>
      </c>
      <c r="E90" s="841">
        <v>44890</v>
      </c>
      <c r="F90" s="829">
        <f t="shared" si="6"/>
        <v>72.59</v>
      </c>
      <c r="G90" s="831" t="s">
        <v>305</v>
      </c>
      <c r="H90" s="832">
        <v>84</v>
      </c>
      <c r="I90" s="208">
        <f t="shared" si="11"/>
        <v>325.90000000000123</v>
      </c>
      <c r="J90" s="127">
        <f t="shared" si="12"/>
        <v>17</v>
      </c>
      <c r="L90" s="2"/>
      <c r="M90" s="83"/>
      <c r="N90" s="15"/>
      <c r="O90" s="151"/>
      <c r="P90" s="245"/>
      <c r="Q90" s="69">
        <f t="shared" si="13"/>
        <v>0</v>
      </c>
      <c r="R90" s="70"/>
      <c r="S90" s="71"/>
      <c r="T90" s="208">
        <f t="shared" si="14"/>
        <v>0</v>
      </c>
      <c r="U90" s="127">
        <f t="shared" si="15"/>
        <v>0</v>
      </c>
      <c r="W90" s="2"/>
      <c r="X90" s="83"/>
      <c r="Y90" s="15"/>
      <c r="Z90" s="151"/>
      <c r="AA90" s="245"/>
      <c r="AB90" s="69"/>
      <c r="AC90" s="70"/>
      <c r="AD90" s="71"/>
      <c r="AE90" s="208">
        <f t="shared" si="16"/>
        <v>3192.7000000000012</v>
      </c>
      <c r="AF90" s="127">
        <f t="shared" si="17"/>
        <v>155</v>
      </c>
    </row>
    <row r="91" spans="1:32" ht="14.25" customHeight="1" x14ac:dyDescent="0.25">
      <c r="A91" s="2"/>
      <c r="B91" s="83"/>
      <c r="C91" s="15">
        <v>2</v>
      </c>
      <c r="D91" s="934">
        <v>55.23</v>
      </c>
      <c r="E91" s="841">
        <v>44890</v>
      </c>
      <c r="F91" s="829">
        <f t="shared" si="6"/>
        <v>55.23</v>
      </c>
      <c r="G91" s="831" t="s">
        <v>307</v>
      </c>
      <c r="H91" s="832">
        <v>84</v>
      </c>
      <c r="I91" s="208">
        <f t="shared" si="11"/>
        <v>270.67000000000121</v>
      </c>
      <c r="J91" s="127">
        <f t="shared" si="12"/>
        <v>15</v>
      </c>
      <c r="L91" s="2"/>
      <c r="M91" s="83"/>
      <c r="N91" s="15"/>
      <c r="O91" s="151">
        <v>0</v>
      </c>
      <c r="P91" s="245"/>
      <c r="Q91" s="69">
        <f t="shared" si="13"/>
        <v>0</v>
      </c>
      <c r="R91" s="70"/>
      <c r="S91" s="71"/>
      <c r="T91" s="208">
        <f t="shared" si="14"/>
        <v>0</v>
      </c>
      <c r="U91" s="127">
        <f t="shared" si="15"/>
        <v>0</v>
      </c>
      <c r="W91" s="2"/>
      <c r="X91" s="83"/>
      <c r="Y91" s="15"/>
      <c r="Z91" s="151">
        <v>0</v>
      </c>
      <c r="AA91" s="245"/>
      <c r="AB91" s="69">
        <f t="shared" ref="AB91:AB101" si="18">Z91</f>
        <v>0</v>
      </c>
      <c r="AC91" s="70"/>
      <c r="AD91" s="71"/>
      <c r="AE91" s="208">
        <f t="shared" si="16"/>
        <v>3192.7000000000012</v>
      </c>
      <c r="AF91" s="127">
        <f t="shared" si="17"/>
        <v>155</v>
      </c>
    </row>
    <row r="92" spans="1:32" ht="14.25" customHeight="1" x14ac:dyDescent="0.25">
      <c r="A92" s="2"/>
      <c r="B92" s="83"/>
      <c r="C92" s="15">
        <v>6</v>
      </c>
      <c r="D92" s="934">
        <v>154</v>
      </c>
      <c r="E92" s="841">
        <v>44891</v>
      </c>
      <c r="F92" s="829">
        <f t="shared" si="6"/>
        <v>154</v>
      </c>
      <c r="G92" s="831" t="s">
        <v>315</v>
      </c>
      <c r="H92" s="832">
        <v>84</v>
      </c>
      <c r="I92" s="827">
        <f t="shared" ref="I92:I101" si="19">I91-F92</f>
        <v>116.67000000000121</v>
      </c>
      <c r="J92" s="828">
        <f t="shared" ref="J92:J101" si="20">J91-C92</f>
        <v>9</v>
      </c>
      <c r="L92" s="2"/>
      <c r="M92" s="83"/>
      <c r="N92" s="15"/>
      <c r="O92" s="151"/>
      <c r="P92" s="245"/>
      <c r="Q92" s="69">
        <f t="shared" si="13"/>
        <v>0</v>
      </c>
      <c r="R92" s="70"/>
      <c r="S92" s="71"/>
      <c r="T92" s="208">
        <f t="shared" si="14"/>
        <v>0</v>
      </c>
      <c r="U92" s="127">
        <f t="shared" si="15"/>
        <v>0</v>
      </c>
      <c r="W92" s="2"/>
      <c r="X92" s="83"/>
      <c r="Y92" s="15"/>
      <c r="Z92" s="151"/>
      <c r="AA92" s="245"/>
      <c r="AB92" s="69"/>
      <c r="AC92" s="70"/>
      <c r="AD92" s="71"/>
      <c r="AE92" s="208"/>
      <c r="AF92" s="127"/>
    </row>
    <row r="93" spans="1:32" ht="14.25" customHeight="1" x14ac:dyDescent="0.25">
      <c r="A93" s="2"/>
      <c r="B93" s="83"/>
      <c r="C93" s="15"/>
      <c r="D93" s="679"/>
      <c r="E93" s="677"/>
      <c r="F93" s="676">
        <f t="shared" si="6"/>
        <v>0</v>
      </c>
      <c r="G93" s="678"/>
      <c r="H93" s="205"/>
      <c r="I93" s="208">
        <f t="shared" si="19"/>
        <v>116.67000000000121</v>
      </c>
      <c r="J93" s="127">
        <f t="shared" si="20"/>
        <v>9</v>
      </c>
      <c r="L93" s="2"/>
      <c r="M93" s="83"/>
      <c r="N93" s="15"/>
      <c r="O93" s="151"/>
      <c r="P93" s="245"/>
      <c r="Q93" s="69">
        <f t="shared" si="13"/>
        <v>0</v>
      </c>
      <c r="R93" s="70"/>
      <c r="S93" s="71"/>
      <c r="T93" s="208">
        <f t="shared" si="14"/>
        <v>0</v>
      </c>
      <c r="U93" s="127">
        <f t="shared" si="15"/>
        <v>0</v>
      </c>
      <c r="W93" s="2"/>
      <c r="X93" s="83"/>
      <c r="Y93" s="15"/>
      <c r="Z93" s="151"/>
      <c r="AA93" s="245"/>
      <c r="AB93" s="69"/>
      <c r="AC93" s="70"/>
      <c r="AD93" s="71"/>
      <c r="AE93" s="208"/>
      <c r="AF93" s="127"/>
    </row>
    <row r="94" spans="1:32" ht="14.25" customHeight="1" x14ac:dyDescent="0.25">
      <c r="A94" s="2"/>
      <c r="B94" s="83"/>
      <c r="C94" s="15"/>
      <c r="D94" s="679"/>
      <c r="E94" s="677"/>
      <c r="F94" s="676">
        <f t="shared" si="6"/>
        <v>0</v>
      </c>
      <c r="G94" s="678"/>
      <c r="H94" s="205"/>
      <c r="I94" s="208">
        <f t="shared" si="19"/>
        <v>116.67000000000121</v>
      </c>
      <c r="J94" s="127">
        <f t="shared" si="20"/>
        <v>9</v>
      </c>
      <c r="L94" s="2"/>
      <c r="M94" s="83"/>
      <c r="N94" s="15"/>
      <c r="O94" s="151"/>
      <c r="P94" s="245"/>
      <c r="Q94" s="69">
        <f t="shared" si="13"/>
        <v>0</v>
      </c>
      <c r="R94" s="70"/>
      <c r="S94" s="71"/>
      <c r="T94" s="208">
        <f t="shared" si="14"/>
        <v>0</v>
      </c>
      <c r="U94" s="127">
        <f t="shared" si="15"/>
        <v>0</v>
      </c>
      <c r="W94" s="2"/>
      <c r="X94" s="83"/>
      <c r="Y94" s="15"/>
      <c r="Z94" s="151"/>
      <c r="AA94" s="245"/>
      <c r="AB94" s="69"/>
      <c r="AC94" s="70"/>
      <c r="AD94" s="71"/>
      <c r="AE94" s="208"/>
      <c r="AF94" s="127"/>
    </row>
    <row r="95" spans="1:32" ht="14.25" customHeight="1" x14ac:dyDescent="0.25">
      <c r="A95" s="2"/>
      <c r="B95" s="83"/>
      <c r="C95" s="15">
        <v>9</v>
      </c>
      <c r="D95" s="679"/>
      <c r="E95" s="677"/>
      <c r="F95" s="676">
        <v>116.67</v>
      </c>
      <c r="G95" s="1154"/>
      <c r="H95" s="1155"/>
      <c r="I95" s="666">
        <f t="shared" si="19"/>
        <v>1.2079226507921703E-12</v>
      </c>
      <c r="J95" s="1156">
        <f t="shared" si="20"/>
        <v>0</v>
      </c>
      <c r="L95" s="2"/>
      <c r="M95" s="83"/>
      <c r="N95" s="15"/>
      <c r="O95" s="151"/>
      <c r="P95" s="245"/>
      <c r="Q95" s="69">
        <f t="shared" si="13"/>
        <v>0</v>
      </c>
      <c r="R95" s="70"/>
      <c r="S95" s="71"/>
      <c r="T95" s="208">
        <f t="shared" si="14"/>
        <v>0</v>
      </c>
      <c r="U95" s="127">
        <f t="shared" si="15"/>
        <v>0</v>
      </c>
      <c r="W95" s="2"/>
      <c r="X95" s="83"/>
      <c r="Y95" s="15"/>
      <c r="Z95" s="151"/>
      <c r="AA95" s="245"/>
      <c r="AB95" s="69"/>
      <c r="AC95" s="70"/>
      <c r="AD95" s="71"/>
      <c r="AE95" s="208"/>
      <c r="AF95" s="127"/>
    </row>
    <row r="96" spans="1:32" ht="14.25" customHeight="1" x14ac:dyDescent="0.25">
      <c r="A96" s="2"/>
      <c r="B96" s="83"/>
      <c r="C96" s="15"/>
      <c r="D96" s="679"/>
      <c r="E96" s="677"/>
      <c r="F96" s="676">
        <f t="shared" si="6"/>
        <v>0</v>
      </c>
      <c r="G96" s="1154"/>
      <c r="H96" s="1155"/>
      <c r="I96" s="666">
        <f t="shared" si="19"/>
        <v>1.2079226507921703E-12</v>
      </c>
      <c r="J96" s="1156">
        <f t="shared" si="20"/>
        <v>0</v>
      </c>
      <c r="L96" s="2"/>
      <c r="M96" s="83"/>
      <c r="N96" s="15"/>
      <c r="O96" s="151"/>
      <c r="P96" s="245"/>
      <c r="Q96" s="69">
        <f t="shared" si="13"/>
        <v>0</v>
      </c>
      <c r="R96" s="70"/>
      <c r="S96" s="71"/>
      <c r="T96" s="208">
        <f t="shared" si="14"/>
        <v>0</v>
      </c>
      <c r="U96" s="127">
        <f t="shared" si="15"/>
        <v>0</v>
      </c>
      <c r="W96" s="2"/>
      <c r="X96" s="83"/>
      <c r="Y96" s="15"/>
      <c r="Z96" s="151"/>
      <c r="AA96" s="245"/>
      <c r="AB96" s="69"/>
      <c r="AC96" s="70"/>
      <c r="AD96" s="71"/>
      <c r="AE96" s="208"/>
      <c r="AF96" s="127"/>
    </row>
    <row r="97" spans="1:32" ht="14.25" customHeight="1" x14ac:dyDescent="0.25">
      <c r="A97" s="2"/>
      <c r="B97" s="83"/>
      <c r="C97" s="15"/>
      <c r="D97" s="679"/>
      <c r="E97" s="677"/>
      <c r="F97" s="676">
        <f t="shared" si="6"/>
        <v>0</v>
      </c>
      <c r="G97" s="1154"/>
      <c r="H97" s="1155"/>
      <c r="I97" s="666">
        <f t="shared" si="19"/>
        <v>1.2079226507921703E-12</v>
      </c>
      <c r="J97" s="1156">
        <f t="shared" si="20"/>
        <v>0</v>
      </c>
      <c r="L97" s="2"/>
      <c r="M97" s="83"/>
      <c r="N97" s="15"/>
      <c r="O97" s="151"/>
      <c r="P97" s="245"/>
      <c r="Q97" s="69">
        <f t="shared" si="13"/>
        <v>0</v>
      </c>
      <c r="R97" s="70"/>
      <c r="S97" s="71"/>
      <c r="T97" s="208">
        <f t="shared" si="14"/>
        <v>0</v>
      </c>
      <c r="U97" s="127">
        <f t="shared" si="15"/>
        <v>0</v>
      </c>
      <c r="W97" s="2"/>
      <c r="X97" s="83"/>
      <c r="Y97" s="15"/>
      <c r="Z97" s="151"/>
      <c r="AA97" s="245"/>
      <c r="AB97" s="69"/>
      <c r="AC97" s="70"/>
      <c r="AD97" s="71"/>
      <c r="AE97" s="208"/>
      <c r="AF97" s="127"/>
    </row>
    <row r="98" spans="1:32" ht="14.25" customHeight="1" x14ac:dyDescent="0.25">
      <c r="A98" s="2"/>
      <c r="B98" s="83"/>
      <c r="C98" s="15"/>
      <c r="D98" s="679"/>
      <c r="E98" s="677"/>
      <c r="F98" s="676">
        <f t="shared" si="6"/>
        <v>0</v>
      </c>
      <c r="G98" s="1154"/>
      <c r="H98" s="1155"/>
      <c r="I98" s="666">
        <f t="shared" si="19"/>
        <v>1.2079226507921703E-12</v>
      </c>
      <c r="J98" s="1156">
        <f t="shared" si="20"/>
        <v>0</v>
      </c>
      <c r="L98" s="2"/>
      <c r="M98" s="83"/>
      <c r="N98" s="15"/>
      <c r="O98" s="151"/>
      <c r="P98" s="245"/>
      <c r="Q98" s="69">
        <f t="shared" si="13"/>
        <v>0</v>
      </c>
      <c r="R98" s="70"/>
      <c r="S98" s="71"/>
      <c r="T98" s="208">
        <f t="shared" si="14"/>
        <v>0</v>
      </c>
      <c r="U98" s="127">
        <f t="shared" si="15"/>
        <v>0</v>
      </c>
      <c r="W98" s="2"/>
      <c r="X98" s="83"/>
      <c r="Y98" s="15"/>
      <c r="Z98" s="151"/>
      <c r="AA98" s="245"/>
      <c r="AB98" s="69"/>
      <c r="AC98" s="70"/>
      <c r="AD98" s="71"/>
      <c r="AE98" s="208"/>
      <c r="AF98" s="127"/>
    </row>
    <row r="99" spans="1:32" ht="14.25" customHeight="1" x14ac:dyDescent="0.25">
      <c r="A99" s="2"/>
      <c r="B99" s="83"/>
      <c r="C99" s="15"/>
      <c r="D99" s="679"/>
      <c r="E99" s="677"/>
      <c r="F99" s="676">
        <f t="shared" si="6"/>
        <v>0</v>
      </c>
      <c r="G99" s="1154"/>
      <c r="H99" s="1155"/>
      <c r="I99" s="666">
        <f t="shared" si="19"/>
        <v>1.2079226507921703E-12</v>
      </c>
      <c r="J99" s="1156">
        <f t="shared" si="20"/>
        <v>0</v>
      </c>
      <c r="L99" s="2"/>
      <c r="M99" s="83"/>
      <c r="N99" s="15"/>
      <c r="O99" s="151"/>
      <c r="P99" s="245"/>
      <c r="Q99" s="69">
        <f t="shared" si="13"/>
        <v>0</v>
      </c>
      <c r="R99" s="70"/>
      <c r="S99" s="71"/>
      <c r="T99" s="208">
        <f t="shared" si="14"/>
        <v>0</v>
      </c>
      <c r="U99" s="127">
        <f t="shared" si="15"/>
        <v>0</v>
      </c>
      <c r="W99" s="2"/>
      <c r="X99" s="83"/>
      <c r="Y99" s="15"/>
      <c r="Z99" s="151"/>
      <c r="AA99" s="245"/>
      <c r="AB99" s="69"/>
      <c r="AC99" s="70"/>
      <c r="AD99" s="71"/>
      <c r="AE99" s="208"/>
      <c r="AF99" s="127"/>
    </row>
    <row r="100" spans="1:32" ht="14.25" customHeight="1" x14ac:dyDescent="0.25">
      <c r="A100" s="2"/>
      <c r="B100" s="83"/>
      <c r="C100" s="15"/>
      <c r="D100" s="679"/>
      <c r="E100" s="677"/>
      <c r="F100" s="676">
        <f t="shared" si="6"/>
        <v>0</v>
      </c>
      <c r="G100" s="1154"/>
      <c r="H100" s="1155"/>
      <c r="I100" s="666">
        <f t="shared" si="19"/>
        <v>1.2079226507921703E-12</v>
      </c>
      <c r="J100" s="1156">
        <f t="shared" si="20"/>
        <v>0</v>
      </c>
      <c r="L100" s="2"/>
      <c r="M100" s="83"/>
      <c r="N100" s="15"/>
      <c r="O100" s="151"/>
      <c r="P100" s="245"/>
      <c r="Q100" s="69">
        <f t="shared" si="13"/>
        <v>0</v>
      </c>
      <c r="R100" s="70"/>
      <c r="S100" s="71"/>
      <c r="T100" s="208">
        <f t="shared" si="14"/>
        <v>0</v>
      </c>
      <c r="U100" s="127">
        <f t="shared" si="15"/>
        <v>0</v>
      </c>
      <c r="W100" s="2"/>
      <c r="X100" s="83"/>
      <c r="Y100" s="15"/>
      <c r="Z100" s="151"/>
      <c r="AA100" s="245"/>
      <c r="AB100" s="69"/>
      <c r="AC100" s="70"/>
      <c r="AD100" s="71"/>
      <c r="AE100" s="208"/>
      <c r="AF100" s="127"/>
    </row>
    <row r="101" spans="1:32" ht="15.75" thickBot="1" x14ac:dyDescent="0.3">
      <c r="A101" s="4"/>
      <c r="B101" s="74"/>
      <c r="C101" s="37"/>
      <c r="D101" s="945">
        <v>0</v>
      </c>
      <c r="E101" s="946"/>
      <c r="F101" s="940">
        <f t="shared" si="6"/>
        <v>0</v>
      </c>
      <c r="G101" s="941"/>
      <c r="H101" s="947"/>
      <c r="I101" s="948">
        <f t="shared" si="19"/>
        <v>1.2079226507921703E-12</v>
      </c>
      <c r="J101" s="949">
        <f t="shared" si="20"/>
        <v>0</v>
      </c>
      <c r="L101" s="4"/>
      <c r="M101" s="74"/>
      <c r="N101" s="37"/>
      <c r="O101" s="309">
        <v>0</v>
      </c>
      <c r="P101" s="157"/>
      <c r="Q101" s="150">
        <f t="shared" si="7"/>
        <v>0</v>
      </c>
      <c r="R101" s="139"/>
      <c r="S101" s="198"/>
      <c r="T101" s="24"/>
      <c r="U101" s="24"/>
      <c r="W101" s="4"/>
      <c r="X101" s="74"/>
      <c r="Y101" s="37"/>
      <c r="Z101" s="309">
        <v>0</v>
      </c>
      <c r="AA101" s="157"/>
      <c r="AB101" s="150">
        <f t="shared" si="18"/>
        <v>0</v>
      </c>
      <c r="AC101" s="139"/>
      <c r="AD101" s="198"/>
      <c r="AE101" s="24"/>
      <c r="AF101" s="24"/>
    </row>
    <row r="102" spans="1:32" ht="16.5" thickTop="1" thickBot="1" x14ac:dyDescent="0.3">
      <c r="C102" s="90">
        <f>SUM(C10:C101)</f>
        <v>275</v>
      </c>
      <c r="D102" s="151">
        <v>0</v>
      </c>
      <c r="E102" s="38"/>
      <c r="F102" s="5">
        <f>SUM(F10:F101)</f>
        <v>7017.9</v>
      </c>
      <c r="N102" s="90">
        <f>SUM(N10:N101)</f>
        <v>57</v>
      </c>
      <c r="O102" s="151">
        <v>0</v>
      </c>
      <c r="P102" s="38"/>
      <c r="Q102" s="5">
        <f>SUM(Q10:Q101)</f>
        <v>1416.4099999999999</v>
      </c>
      <c r="Y102" s="90">
        <f>SUM(Y10:Y101)</f>
        <v>767</v>
      </c>
      <c r="Z102" s="151">
        <v>0</v>
      </c>
      <c r="AA102" s="38"/>
      <c r="AB102" s="5">
        <f>SUM(AB10:AB101)</f>
        <v>15371.3</v>
      </c>
    </row>
    <row r="103" spans="1:32" ht="15.75" thickBot="1" x14ac:dyDescent="0.3">
      <c r="A103" s="51"/>
      <c r="D103" s="151">
        <v>0</v>
      </c>
      <c r="E103" s="68">
        <f>F4+F5+F6-+C102+F7</f>
        <v>0</v>
      </c>
      <c r="F103" s="5"/>
      <c r="L103" s="51"/>
      <c r="O103" s="151">
        <v>0</v>
      </c>
      <c r="P103" s="68">
        <f>Q4+Q5+Q6-+N102+Q7</f>
        <v>0</v>
      </c>
      <c r="Q103" s="5"/>
      <c r="W103" s="51"/>
      <c r="Z103" s="151">
        <v>0</v>
      </c>
      <c r="AA103" s="68">
        <f>AB4+AB5+AB6-+Y102+AB7</f>
        <v>155</v>
      </c>
      <c r="AB103" s="5"/>
    </row>
    <row r="104" spans="1:32" ht="15.75" thickBot="1" x14ac:dyDescent="0.3">
      <c r="A104" s="119"/>
      <c r="D104" s="47"/>
      <c r="F104" s="5"/>
      <c r="L104" s="119"/>
      <c r="O104" s="47"/>
      <c r="Q104" s="5"/>
      <c r="W104" s="119"/>
      <c r="Z104" s="47"/>
      <c r="AB104" s="5"/>
    </row>
    <row r="105" spans="1:32" ht="16.5" thickTop="1" thickBot="1" x14ac:dyDescent="0.3">
      <c r="A105" s="47"/>
      <c r="C105" s="1424" t="s">
        <v>11</v>
      </c>
      <c r="D105" s="1425"/>
      <c r="E105" s="145">
        <f>E5+E4+E6+-F102+E7</f>
        <v>7.276401703393276E-13</v>
      </c>
      <c r="F105" s="5"/>
      <c r="L105" s="47"/>
      <c r="N105" s="1424" t="s">
        <v>11</v>
      </c>
      <c r="O105" s="1425"/>
      <c r="P105" s="145">
        <f>P5+P4+P6+-Q102+P7</f>
        <v>2.2737367544323206E-13</v>
      </c>
      <c r="Q105" s="5"/>
      <c r="W105" s="47"/>
      <c r="Y105" s="1424" t="s">
        <v>11</v>
      </c>
      <c r="Z105" s="1425"/>
      <c r="AA105" s="145">
        <f>AA5+AA4+AA6+-AB102+AA7</f>
        <v>3192.7000000000007</v>
      </c>
      <c r="AB105" s="5"/>
    </row>
  </sheetData>
  <mergeCells count="18">
    <mergeCell ref="Y105:Z105"/>
    <mergeCell ref="W1:AE1"/>
    <mergeCell ref="W5:W7"/>
    <mergeCell ref="C105:D105"/>
    <mergeCell ref="A5:A7"/>
    <mergeCell ref="B5:B7"/>
    <mergeCell ref="I8:I9"/>
    <mergeCell ref="N105:O105"/>
    <mergeCell ref="L5:L7"/>
    <mergeCell ref="M5:M7"/>
    <mergeCell ref="X5:X7"/>
    <mergeCell ref="AE8:AE9"/>
    <mergeCell ref="AF8:AF9"/>
    <mergeCell ref="U8:U9"/>
    <mergeCell ref="A1:I1"/>
    <mergeCell ref="J8:J9"/>
    <mergeCell ref="L1:T1"/>
    <mergeCell ref="T8:T9"/>
  </mergeCells>
  <pageMargins left="0.7" right="0.7" top="0.75" bottom="0.75" header="0.3" footer="0.3"/>
  <pageSetup paperSize="9" orientation="portrait" horizontalDpi="200" verticalDpi="20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53"/>
  <sheetViews>
    <sheetView topLeftCell="A19" workbookViewId="0">
      <selection activeCell="G44" sqref="G44"/>
    </sheetView>
  </sheetViews>
  <sheetFormatPr baseColWidth="10" defaultRowHeight="15" x14ac:dyDescent="0.25"/>
  <cols>
    <col min="1" max="1" width="25.85546875" bestFit="1" customWidth="1"/>
    <col min="2" max="2" width="15.5703125" customWidth="1"/>
    <col min="3" max="3" width="12.85546875" customWidth="1"/>
  </cols>
  <sheetData>
    <row r="1" spans="1:10" ht="45.75" x14ac:dyDescent="0.65">
      <c r="A1" s="1454" t="s">
        <v>331</v>
      </c>
      <c r="B1" s="1454"/>
      <c r="C1" s="1454"/>
      <c r="D1" s="1454"/>
      <c r="E1" s="1454"/>
      <c r="F1" s="1454"/>
      <c r="G1" s="1454"/>
      <c r="H1" s="1454"/>
      <c r="I1" s="1454"/>
      <c r="J1" s="99">
        <v>1</v>
      </c>
    </row>
    <row r="2" spans="1:10" ht="15.75" thickBot="1" x14ac:dyDescent="0.3">
      <c r="D2" s="47"/>
      <c r="F2" s="5"/>
    </row>
    <row r="3" spans="1:10" ht="16.5" thickTop="1" thickBot="1" x14ac:dyDescent="0.3">
      <c r="A3" s="8" t="s">
        <v>0</v>
      </c>
      <c r="B3" s="364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C4" s="235"/>
      <c r="D4" s="335"/>
      <c r="E4" s="254"/>
      <c r="F4" s="240"/>
      <c r="G4" s="73"/>
    </row>
    <row r="5" spans="1:10" ht="15" customHeight="1" x14ac:dyDescent="0.25">
      <c r="A5" s="576"/>
      <c r="B5" s="1461" t="s">
        <v>145</v>
      </c>
      <c r="C5" s="235">
        <v>86</v>
      </c>
      <c r="D5" s="335">
        <v>44841</v>
      </c>
      <c r="E5" s="254">
        <v>2000</v>
      </c>
      <c r="F5" s="240">
        <v>200</v>
      </c>
      <c r="G5" s="147">
        <f>F50</f>
        <v>0</v>
      </c>
      <c r="H5" s="58">
        <f>E4+E5+E6-G5</f>
        <v>2000</v>
      </c>
    </row>
    <row r="6" spans="1:10" ht="16.5" customHeight="1" x14ac:dyDescent="0.25">
      <c r="A6" s="576" t="s">
        <v>176</v>
      </c>
      <c r="B6" s="1462"/>
      <c r="C6" s="235"/>
      <c r="D6" s="335"/>
      <c r="E6" s="254"/>
      <c r="F6" s="240"/>
      <c r="G6" s="73"/>
    </row>
    <row r="7" spans="1:10" ht="15.75" customHeight="1" thickBot="1" x14ac:dyDescent="0.35">
      <c r="A7" s="576"/>
      <c r="B7" s="1462"/>
      <c r="C7" s="235"/>
      <c r="D7" s="335"/>
      <c r="E7" s="254"/>
      <c r="F7" s="240"/>
      <c r="G7" s="73"/>
      <c r="I7" s="371"/>
      <c r="J7" s="371"/>
    </row>
    <row r="8" spans="1:10" ht="16.5" customHeight="1" thickTop="1" thickBot="1" x14ac:dyDescent="0.3">
      <c r="B8" s="412"/>
      <c r="C8" s="235"/>
      <c r="D8" s="118"/>
      <c r="E8" s="333"/>
      <c r="F8" s="334"/>
      <c r="G8" s="73"/>
      <c r="I8" s="1433" t="s">
        <v>47</v>
      </c>
      <c r="J8" s="1452" t="s">
        <v>4</v>
      </c>
    </row>
    <row r="9" spans="1:10" ht="16.5" customHeight="1" thickTop="1" thickBot="1" x14ac:dyDescent="0.3">
      <c r="A9" s="1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22" t="s">
        <v>15</v>
      </c>
      <c r="H9" s="29"/>
      <c r="I9" s="1434"/>
      <c r="J9" s="1453"/>
    </row>
    <row r="10" spans="1:10" ht="15.75" thickTop="1" x14ac:dyDescent="0.25">
      <c r="A10" s="2"/>
      <c r="B10" s="83">
        <v>10</v>
      </c>
      <c r="C10" s="15">
        <v>5</v>
      </c>
      <c r="D10" s="151">
        <f>B10*C10</f>
        <v>50</v>
      </c>
      <c r="E10" s="244">
        <v>44868</v>
      </c>
      <c r="F10" s="69">
        <f t="shared" ref="F10:F50" si="0">D10</f>
        <v>50</v>
      </c>
      <c r="G10" s="70" t="s">
        <v>239</v>
      </c>
      <c r="H10" s="71">
        <v>93</v>
      </c>
      <c r="I10" s="827">
        <f>E4+E5+E6-F10+E7+E8</f>
        <v>1950</v>
      </c>
      <c r="J10" s="828">
        <f>F4+F5+F6+F7-C10+F8</f>
        <v>195</v>
      </c>
    </row>
    <row r="11" spans="1:10" x14ac:dyDescent="0.25">
      <c r="A11" s="2"/>
      <c r="B11" s="83">
        <v>10</v>
      </c>
      <c r="C11" s="15">
        <v>1</v>
      </c>
      <c r="D11" s="151">
        <f>B11*C11</f>
        <v>10</v>
      </c>
      <c r="E11" s="245">
        <v>44870</v>
      </c>
      <c r="F11" s="69">
        <f t="shared" si="0"/>
        <v>10</v>
      </c>
      <c r="G11" s="70" t="s">
        <v>242</v>
      </c>
      <c r="H11" s="71">
        <v>93</v>
      </c>
      <c r="I11" s="208">
        <f>I10-F11</f>
        <v>1940</v>
      </c>
      <c r="J11" s="127">
        <f>J10-C11</f>
        <v>194</v>
      </c>
    </row>
    <row r="12" spans="1:10" x14ac:dyDescent="0.25">
      <c r="A12" s="80" t="s">
        <v>32</v>
      </c>
      <c r="B12" s="83">
        <v>10</v>
      </c>
      <c r="C12" s="15">
        <v>1</v>
      </c>
      <c r="D12" s="151">
        <f t="shared" ref="D12:D43" si="1">B12*C12</f>
        <v>10</v>
      </c>
      <c r="E12" s="244">
        <v>44870</v>
      </c>
      <c r="F12" s="69">
        <f t="shared" si="0"/>
        <v>10</v>
      </c>
      <c r="G12" s="70" t="s">
        <v>245</v>
      </c>
      <c r="H12" s="71">
        <v>93</v>
      </c>
      <c r="I12" s="208">
        <f t="shared" ref="I12:I36" si="2">I11-F12</f>
        <v>1930</v>
      </c>
      <c r="J12" s="127">
        <f t="shared" ref="J12:J36" si="3">J11-C12</f>
        <v>193</v>
      </c>
    </row>
    <row r="13" spans="1:10" x14ac:dyDescent="0.25">
      <c r="A13" s="81"/>
      <c r="B13" s="83">
        <v>10</v>
      </c>
      <c r="C13" s="15">
        <v>1</v>
      </c>
      <c r="D13" s="151">
        <f t="shared" si="1"/>
        <v>10</v>
      </c>
      <c r="E13" s="252">
        <v>44872</v>
      </c>
      <c r="F13" s="69">
        <f t="shared" si="0"/>
        <v>10</v>
      </c>
      <c r="G13" s="70" t="s">
        <v>246</v>
      </c>
      <c r="H13" s="71">
        <v>93</v>
      </c>
      <c r="I13" s="208">
        <f t="shared" si="2"/>
        <v>1920</v>
      </c>
      <c r="J13" s="127">
        <f t="shared" si="3"/>
        <v>192</v>
      </c>
    </row>
    <row r="14" spans="1:10" x14ac:dyDescent="0.25">
      <c r="A14" s="83"/>
      <c r="B14" s="83">
        <v>10</v>
      </c>
      <c r="C14" s="15">
        <v>1</v>
      </c>
      <c r="D14" s="151">
        <f t="shared" si="1"/>
        <v>10</v>
      </c>
      <c r="E14" s="252">
        <v>44872</v>
      </c>
      <c r="F14" s="69">
        <f t="shared" si="0"/>
        <v>10</v>
      </c>
      <c r="G14" s="70" t="s">
        <v>248</v>
      </c>
      <c r="H14" s="71">
        <v>93</v>
      </c>
      <c r="I14" s="208">
        <f t="shared" si="2"/>
        <v>1910</v>
      </c>
      <c r="J14" s="127">
        <f t="shared" si="3"/>
        <v>191</v>
      </c>
    </row>
    <row r="15" spans="1:10" x14ac:dyDescent="0.25">
      <c r="A15" s="82" t="s">
        <v>33</v>
      </c>
      <c r="B15" s="83">
        <v>10</v>
      </c>
      <c r="C15" s="15">
        <v>1</v>
      </c>
      <c r="D15" s="151">
        <f t="shared" si="1"/>
        <v>10</v>
      </c>
      <c r="E15" s="252">
        <v>44875</v>
      </c>
      <c r="F15" s="69">
        <f t="shared" si="0"/>
        <v>10</v>
      </c>
      <c r="G15" s="70" t="s">
        <v>256</v>
      </c>
      <c r="H15" s="71">
        <v>93</v>
      </c>
      <c r="I15" s="208">
        <f t="shared" si="2"/>
        <v>1900</v>
      </c>
      <c r="J15" s="127">
        <f t="shared" si="3"/>
        <v>190</v>
      </c>
    </row>
    <row r="16" spans="1:10" x14ac:dyDescent="0.25">
      <c r="A16" s="81"/>
      <c r="B16" s="83">
        <v>10</v>
      </c>
      <c r="C16" s="15">
        <v>10</v>
      </c>
      <c r="D16" s="151">
        <f t="shared" si="1"/>
        <v>100</v>
      </c>
      <c r="E16" s="244">
        <v>44875</v>
      </c>
      <c r="F16" s="69">
        <f t="shared" si="0"/>
        <v>100</v>
      </c>
      <c r="G16" s="70" t="s">
        <v>260</v>
      </c>
      <c r="H16" s="71">
        <v>93</v>
      </c>
      <c r="I16" s="208">
        <f t="shared" si="2"/>
        <v>1800</v>
      </c>
      <c r="J16" s="127">
        <f t="shared" si="3"/>
        <v>180</v>
      </c>
    </row>
    <row r="17" spans="1:10" x14ac:dyDescent="0.25">
      <c r="A17" s="83"/>
      <c r="B17" s="83">
        <v>10</v>
      </c>
      <c r="C17" s="15">
        <v>2</v>
      </c>
      <c r="D17" s="151">
        <f t="shared" si="1"/>
        <v>20</v>
      </c>
      <c r="E17" s="252">
        <v>44877</v>
      </c>
      <c r="F17" s="69">
        <f t="shared" si="0"/>
        <v>20</v>
      </c>
      <c r="G17" s="70" t="s">
        <v>264</v>
      </c>
      <c r="H17" s="71">
        <v>93</v>
      </c>
      <c r="I17" s="208">
        <f t="shared" si="2"/>
        <v>1780</v>
      </c>
      <c r="J17" s="127">
        <f t="shared" si="3"/>
        <v>178</v>
      </c>
    </row>
    <row r="18" spans="1:10" x14ac:dyDescent="0.25">
      <c r="A18" s="2"/>
      <c r="B18" s="83">
        <v>10</v>
      </c>
      <c r="C18" s="15">
        <v>1</v>
      </c>
      <c r="D18" s="151">
        <f t="shared" si="1"/>
        <v>10</v>
      </c>
      <c r="E18" s="252">
        <v>44882</v>
      </c>
      <c r="F18" s="69">
        <f t="shared" si="0"/>
        <v>10</v>
      </c>
      <c r="G18" s="406" t="s">
        <v>282</v>
      </c>
      <c r="H18" s="71">
        <v>93</v>
      </c>
      <c r="I18" s="208">
        <f t="shared" si="2"/>
        <v>1770</v>
      </c>
      <c r="J18" s="127">
        <f t="shared" si="3"/>
        <v>177</v>
      </c>
    </row>
    <row r="19" spans="1:10" x14ac:dyDescent="0.25">
      <c r="A19" s="2"/>
      <c r="B19" s="83">
        <v>10</v>
      </c>
      <c r="C19" s="53">
        <v>1</v>
      </c>
      <c r="D19" s="151">
        <f t="shared" si="1"/>
        <v>10</v>
      </c>
      <c r="E19" s="252">
        <v>44883</v>
      </c>
      <c r="F19" s="69">
        <f t="shared" si="0"/>
        <v>10</v>
      </c>
      <c r="G19" s="70" t="s">
        <v>283</v>
      </c>
      <c r="H19" s="71">
        <v>93</v>
      </c>
      <c r="I19" s="208">
        <f t="shared" si="2"/>
        <v>1760</v>
      </c>
      <c r="J19" s="127">
        <f t="shared" si="3"/>
        <v>176</v>
      </c>
    </row>
    <row r="20" spans="1:10" x14ac:dyDescent="0.25">
      <c r="A20" s="2"/>
      <c r="B20" s="83">
        <v>10</v>
      </c>
      <c r="C20" s="15">
        <v>10</v>
      </c>
      <c r="D20" s="151">
        <f t="shared" si="1"/>
        <v>100</v>
      </c>
      <c r="E20" s="244">
        <v>44884</v>
      </c>
      <c r="F20" s="69">
        <f t="shared" si="0"/>
        <v>100</v>
      </c>
      <c r="G20" s="70" t="s">
        <v>290</v>
      </c>
      <c r="H20" s="71">
        <v>93</v>
      </c>
      <c r="I20" s="208">
        <f t="shared" si="2"/>
        <v>1660</v>
      </c>
      <c r="J20" s="127">
        <f t="shared" si="3"/>
        <v>166</v>
      </c>
    </row>
    <row r="21" spans="1:10" x14ac:dyDescent="0.25">
      <c r="A21" s="2"/>
      <c r="B21" s="83">
        <v>10</v>
      </c>
      <c r="C21" s="15">
        <v>2</v>
      </c>
      <c r="D21" s="151">
        <f t="shared" si="1"/>
        <v>20</v>
      </c>
      <c r="E21" s="244">
        <v>44887</v>
      </c>
      <c r="F21" s="69">
        <f t="shared" si="0"/>
        <v>20</v>
      </c>
      <c r="G21" s="70" t="s">
        <v>292</v>
      </c>
      <c r="H21" s="71">
        <v>93</v>
      </c>
      <c r="I21" s="208">
        <f t="shared" si="2"/>
        <v>1640</v>
      </c>
      <c r="J21" s="127">
        <f t="shared" si="3"/>
        <v>164</v>
      </c>
    </row>
    <row r="22" spans="1:10" x14ac:dyDescent="0.25">
      <c r="A22" s="2"/>
      <c r="B22" s="83">
        <v>10</v>
      </c>
      <c r="C22" s="15">
        <v>8</v>
      </c>
      <c r="D22" s="151">
        <f t="shared" si="1"/>
        <v>80</v>
      </c>
      <c r="E22" s="245">
        <v>44890</v>
      </c>
      <c r="F22" s="69">
        <f t="shared" si="0"/>
        <v>80</v>
      </c>
      <c r="G22" s="70" t="s">
        <v>304</v>
      </c>
      <c r="H22" s="71">
        <v>93</v>
      </c>
      <c r="I22" s="208">
        <f t="shared" si="2"/>
        <v>1560</v>
      </c>
      <c r="J22" s="127">
        <f t="shared" si="3"/>
        <v>156</v>
      </c>
    </row>
    <row r="23" spans="1:10" x14ac:dyDescent="0.25">
      <c r="A23" s="2"/>
      <c r="B23" s="83">
        <v>10</v>
      </c>
      <c r="C23" s="15">
        <v>1</v>
      </c>
      <c r="D23" s="151">
        <f t="shared" si="1"/>
        <v>10</v>
      </c>
      <c r="E23" s="245">
        <v>44891</v>
      </c>
      <c r="F23" s="69">
        <f t="shared" si="0"/>
        <v>10</v>
      </c>
      <c r="G23" s="70" t="s">
        <v>311</v>
      </c>
      <c r="H23" s="71">
        <v>93</v>
      </c>
      <c r="I23" s="827">
        <f t="shared" si="2"/>
        <v>1550</v>
      </c>
      <c r="J23" s="828">
        <f t="shared" si="3"/>
        <v>155</v>
      </c>
    </row>
    <row r="24" spans="1:10" x14ac:dyDescent="0.25">
      <c r="A24" s="2"/>
      <c r="B24" s="83">
        <v>10</v>
      </c>
      <c r="C24" s="15">
        <v>1</v>
      </c>
      <c r="D24" s="744">
        <f t="shared" si="1"/>
        <v>10</v>
      </c>
      <c r="E24" s="570">
        <v>44895</v>
      </c>
      <c r="F24" s="534">
        <f t="shared" si="0"/>
        <v>10</v>
      </c>
      <c r="G24" s="329" t="s">
        <v>575</v>
      </c>
      <c r="H24" s="330">
        <v>93</v>
      </c>
      <c r="I24" s="208">
        <f t="shared" si="2"/>
        <v>1540</v>
      </c>
      <c r="J24" s="127">
        <f t="shared" si="3"/>
        <v>154</v>
      </c>
    </row>
    <row r="25" spans="1:10" x14ac:dyDescent="0.25">
      <c r="A25" s="2"/>
      <c r="B25" s="83">
        <v>10</v>
      </c>
      <c r="C25" s="15">
        <v>1</v>
      </c>
      <c r="D25" s="744">
        <f t="shared" si="1"/>
        <v>10</v>
      </c>
      <c r="E25" s="570">
        <v>44896</v>
      </c>
      <c r="F25" s="534">
        <f t="shared" si="0"/>
        <v>10</v>
      </c>
      <c r="G25" s="329" t="s">
        <v>590</v>
      </c>
      <c r="H25" s="330">
        <v>93</v>
      </c>
      <c r="I25" s="208">
        <f t="shared" si="2"/>
        <v>1530</v>
      </c>
      <c r="J25" s="127">
        <f t="shared" si="3"/>
        <v>153</v>
      </c>
    </row>
    <row r="26" spans="1:10" x14ac:dyDescent="0.25">
      <c r="A26" s="2"/>
      <c r="B26" s="83">
        <v>10</v>
      </c>
      <c r="C26" s="15">
        <v>1</v>
      </c>
      <c r="D26" s="744">
        <f t="shared" si="1"/>
        <v>10</v>
      </c>
      <c r="E26" s="570">
        <v>44897</v>
      </c>
      <c r="F26" s="534">
        <f t="shared" si="0"/>
        <v>10</v>
      </c>
      <c r="G26" s="329" t="s">
        <v>594</v>
      </c>
      <c r="H26" s="330">
        <v>93</v>
      </c>
      <c r="I26" s="208">
        <f t="shared" si="2"/>
        <v>1520</v>
      </c>
      <c r="J26" s="127">
        <f t="shared" si="3"/>
        <v>152</v>
      </c>
    </row>
    <row r="27" spans="1:10" x14ac:dyDescent="0.25">
      <c r="A27" s="2"/>
      <c r="B27" s="83">
        <v>10</v>
      </c>
      <c r="C27" s="15">
        <v>8</v>
      </c>
      <c r="D27" s="744">
        <f t="shared" si="1"/>
        <v>80</v>
      </c>
      <c r="E27" s="570">
        <v>44901</v>
      </c>
      <c r="F27" s="534">
        <f t="shared" si="0"/>
        <v>80</v>
      </c>
      <c r="G27" s="329" t="s">
        <v>625</v>
      </c>
      <c r="H27" s="330">
        <v>93</v>
      </c>
      <c r="I27" s="208">
        <f t="shared" si="2"/>
        <v>1440</v>
      </c>
      <c r="J27" s="127">
        <f t="shared" si="3"/>
        <v>144</v>
      </c>
    </row>
    <row r="28" spans="1:10" x14ac:dyDescent="0.25">
      <c r="A28" s="2"/>
      <c r="B28" s="83">
        <v>10</v>
      </c>
      <c r="C28" s="15">
        <v>2</v>
      </c>
      <c r="D28" s="744">
        <f t="shared" si="1"/>
        <v>20</v>
      </c>
      <c r="E28" s="570">
        <v>44901</v>
      </c>
      <c r="F28" s="534">
        <f t="shared" si="0"/>
        <v>20</v>
      </c>
      <c r="G28" s="329" t="s">
        <v>628</v>
      </c>
      <c r="H28" s="330">
        <v>93</v>
      </c>
      <c r="I28" s="208">
        <f t="shared" si="2"/>
        <v>1420</v>
      </c>
      <c r="J28" s="127">
        <f t="shared" si="3"/>
        <v>142</v>
      </c>
    </row>
    <row r="29" spans="1:10" x14ac:dyDescent="0.25">
      <c r="A29" s="2"/>
      <c r="B29" s="83">
        <v>10</v>
      </c>
      <c r="C29" s="15">
        <v>1</v>
      </c>
      <c r="D29" s="744">
        <f t="shared" si="1"/>
        <v>10</v>
      </c>
      <c r="E29" s="570">
        <v>44902</v>
      </c>
      <c r="F29" s="534">
        <f t="shared" si="0"/>
        <v>10</v>
      </c>
      <c r="G29" s="329" t="s">
        <v>630</v>
      </c>
      <c r="H29" s="330">
        <v>93</v>
      </c>
      <c r="I29" s="208">
        <f t="shared" si="2"/>
        <v>1410</v>
      </c>
      <c r="J29" s="127">
        <f t="shared" si="3"/>
        <v>141</v>
      </c>
    </row>
    <row r="30" spans="1:10" x14ac:dyDescent="0.25">
      <c r="A30" s="2"/>
      <c r="B30" s="83">
        <v>10</v>
      </c>
      <c r="C30" s="15">
        <v>2</v>
      </c>
      <c r="D30" s="744">
        <f t="shared" si="1"/>
        <v>20</v>
      </c>
      <c r="E30" s="570">
        <v>44903</v>
      </c>
      <c r="F30" s="534">
        <f t="shared" si="0"/>
        <v>20</v>
      </c>
      <c r="G30" s="329" t="s">
        <v>640</v>
      </c>
      <c r="H30" s="330">
        <v>93</v>
      </c>
      <c r="I30" s="208">
        <f t="shared" si="2"/>
        <v>1390</v>
      </c>
      <c r="J30" s="127">
        <f t="shared" si="3"/>
        <v>139</v>
      </c>
    </row>
    <row r="31" spans="1:10" x14ac:dyDescent="0.25">
      <c r="A31" s="2"/>
      <c r="B31" s="83">
        <v>10</v>
      </c>
      <c r="C31" s="15">
        <v>15</v>
      </c>
      <c r="D31" s="744">
        <f t="shared" si="1"/>
        <v>150</v>
      </c>
      <c r="E31" s="570">
        <v>44905</v>
      </c>
      <c r="F31" s="534">
        <f t="shared" si="0"/>
        <v>150</v>
      </c>
      <c r="G31" s="329" t="s">
        <v>668</v>
      </c>
      <c r="H31" s="330">
        <v>93</v>
      </c>
      <c r="I31" s="208">
        <f t="shared" si="2"/>
        <v>1240</v>
      </c>
      <c r="J31" s="127">
        <f t="shared" si="3"/>
        <v>124</v>
      </c>
    </row>
    <row r="32" spans="1:10" x14ac:dyDescent="0.25">
      <c r="A32" s="2"/>
      <c r="B32" s="83">
        <v>10</v>
      </c>
      <c r="C32" s="15">
        <v>2</v>
      </c>
      <c r="D32" s="744">
        <f t="shared" si="1"/>
        <v>20</v>
      </c>
      <c r="E32" s="570">
        <v>44907</v>
      </c>
      <c r="F32" s="534">
        <f t="shared" si="0"/>
        <v>20</v>
      </c>
      <c r="G32" s="329" t="s">
        <v>687</v>
      </c>
      <c r="H32" s="330">
        <v>93</v>
      </c>
      <c r="I32" s="208">
        <f t="shared" si="2"/>
        <v>1220</v>
      </c>
      <c r="J32" s="127">
        <f t="shared" si="3"/>
        <v>122</v>
      </c>
    </row>
    <row r="33" spans="1:10" x14ac:dyDescent="0.25">
      <c r="A33" s="2"/>
      <c r="B33" s="83">
        <v>10</v>
      </c>
      <c r="C33" s="15">
        <v>3</v>
      </c>
      <c r="D33" s="744">
        <f t="shared" si="1"/>
        <v>30</v>
      </c>
      <c r="E33" s="570">
        <v>44912</v>
      </c>
      <c r="F33" s="534">
        <f t="shared" si="0"/>
        <v>30</v>
      </c>
      <c r="G33" s="329" t="s">
        <v>741</v>
      </c>
      <c r="H33" s="330">
        <v>93</v>
      </c>
      <c r="I33" s="208">
        <f t="shared" si="2"/>
        <v>1190</v>
      </c>
      <c r="J33" s="127">
        <f t="shared" si="3"/>
        <v>119</v>
      </c>
    </row>
    <row r="34" spans="1:10" x14ac:dyDescent="0.25">
      <c r="A34" s="2"/>
      <c r="B34" s="83">
        <v>10</v>
      </c>
      <c r="C34" s="15">
        <v>12</v>
      </c>
      <c r="D34" s="744">
        <f t="shared" si="1"/>
        <v>120</v>
      </c>
      <c r="E34" s="570">
        <v>44912</v>
      </c>
      <c r="F34" s="534">
        <f t="shared" si="0"/>
        <v>120</v>
      </c>
      <c r="G34" s="329" t="s">
        <v>744</v>
      </c>
      <c r="H34" s="330">
        <v>93</v>
      </c>
      <c r="I34" s="208">
        <f t="shared" si="2"/>
        <v>1070</v>
      </c>
      <c r="J34" s="127">
        <f t="shared" si="3"/>
        <v>107</v>
      </c>
    </row>
    <row r="35" spans="1:10" x14ac:dyDescent="0.25">
      <c r="A35" s="2"/>
      <c r="B35" s="83">
        <v>10</v>
      </c>
      <c r="C35" s="15">
        <v>1</v>
      </c>
      <c r="D35" s="744">
        <f t="shared" si="1"/>
        <v>10</v>
      </c>
      <c r="E35" s="570">
        <v>44914</v>
      </c>
      <c r="F35" s="534">
        <f t="shared" si="0"/>
        <v>10</v>
      </c>
      <c r="G35" s="329" t="s">
        <v>750</v>
      </c>
      <c r="H35" s="330">
        <v>93</v>
      </c>
      <c r="I35" s="208">
        <f t="shared" si="2"/>
        <v>1060</v>
      </c>
      <c r="J35" s="127">
        <f t="shared" si="3"/>
        <v>106</v>
      </c>
    </row>
    <row r="36" spans="1:10" x14ac:dyDescent="0.25">
      <c r="A36" s="2"/>
      <c r="B36" s="83">
        <v>10</v>
      </c>
      <c r="C36" s="15">
        <v>1</v>
      </c>
      <c r="D36" s="744">
        <f t="shared" si="1"/>
        <v>10</v>
      </c>
      <c r="E36" s="570">
        <v>44914</v>
      </c>
      <c r="F36" s="534">
        <f t="shared" si="0"/>
        <v>10</v>
      </c>
      <c r="G36" s="329" t="s">
        <v>751</v>
      </c>
      <c r="H36" s="330">
        <v>93</v>
      </c>
      <c r="I36" s="208">
        <f t="shared" si="2"/>
        <v>1050</v>
      </c>
      <c r="J36" s="127">
        <f t="shared" si="3"/>
        <v>105</v>
      </c>
    </row>
    <row r="37" spans="1:10" x14ac:dyDescent="0.25">
      <c r="A37" s="2"/>
      <c r="B37" s="83">
        <v>10</v>
      </c>
      <c r="C37" s="15">
        <v>2</v>
      </c>
      <c r="D37" s="744">
        <f t="shared" si="1"/>
        <v>20</v>
      </c>
      <c r="E37" s="570">
        <v>44915</v>
      </c>
      <c r="F37" s="534">
        <f t="shared" si="0"/>
        <v>20</v>
      </c>
      <c r="G37" s="329" t="s">
        <v>762</v>
      </c>
      <c r="H37" s="330">
        <v>93</v>
      </c>
      <c r="I37" s="208">
        <f t="shared" ref="I37:I48" si="4">I36-F37</f>
        <v>1030</v>
      </c>
      <c r="J37" s="127">
        <f t="shared" ref="J37:J48" si="5">J36-C37</f>
        <v>103</v>
      </c>
    </row>
    <row r="38" spans="1:10" x14ac:dyDescent="0.25">
      <c r="A38" s="2"/>
      <c r="B38" s="83">
        <v>10</v>
      </c>
      <c r="C38" s="15">
        <v>1</v>
      </c>
      <c r="D38" s="744">
        <f t="shared" si="1"/>
        <v>10</v>
      </c>
      <c r="E38" s="570">
        <v>44917</v>
      </c>
      <c r="F38" s="534">
        <f t="shared" si="0"/>
        <v>10</v>
      </c>
      <c r="G38" s="329" t="s">
        <v>784</v>
      </c>
      <c r="H38" s="330">
        <v>93</v>
      </c>
      <c r="I38" s="208">
        <f t="shared" si="4"/>
        <v>1020</v>
      </c>
      <c r="J38" s="127">
        <f t="shared" si="5"/>
        <v>102</v>
      </c>
    </row>
    <row r="39" spans="1:10" x14ac:dyDescent="0.25">
      <c r="A39" s="2"/>
      <c r="B39" s="83">
        <v>10</v>
      </c>
      <c r="C39" s="15">
        <v>10</v>
      </c>
      <c r="D39" s="744">
        <f t="shared" si="1"/>
        <v>100</v>
      </c>
      <c r="E39" s="570">
        <v>44922</v>
      </c>
      <c r="F39" s="534">
        <f t="shared" si="0"/>
        <v>100</v>
      </c>
      <c r="G39" s="329" t="s">
        <v>834</v>
      </c>
      <c r="H39" s="330">
        <v>93</v>
      </c>
      <c r="I39" s="208">
        <f t="shared" si="4"/>
        <v>920</v>
      </c>
      <c r="J39" s="127">
        <f t="shared" si="5"/>
        <v>92</v>
      </c>
    </row>
    <row r="40" spans="1:10" x14ac:dyDescent="0.25">
      <c r="A40" s="2"/>
      <c r="B40" s="83">
        <v>10</v>
      </c>
      <c r="C40" s="15">
        <v>1</v>
      </c>
      <c r="D40" s="744">
        <f t="shared" si="1"/>
        <v>10</v>
      </c>
      <c r="E40" s="570">
        <v>44928</v>
      </c>
      <c r="F40" s="534">
        <f t="shared" si="0"/>
        <v>10</v>
      </c>
      <c r="G40" s="329" t="s">
        <v>868</v>
      </c>
      <c r="H40" s="330">
        <v>93</v>
      </c>
      <c r="I40" s="208">
        <f t="shared" si="4"/>
        <v>910</v>
      </c>
      <c r="J40" s="127">
        <f t="shared" si="5"/>
        <v>91</v>
      </c>
    </row>
    <row r="41" spans="1:10" x14ac:dyDescent="0.25">
      <c r="A41" s="2"/>
      <c r="B41" s="83">
        <v>10</v>
      </c>
      <c r="C41" s="15">
        <v>1</v>
      </c>
      <c r="D41" s="744">
        <f t="shared" si="1"/>
        <v>10</v>
      </c>
      <c r="E41" s="570">
        <v>44929</v>
      </c>
      <c r="F41" s="534">
        <f t="shared" si="0"/>
        <v>10</v>
      </c>
      <c r="G41" s="329" t="s">
        <v>871</v>
      </c>
      <c r="H41" s="330">
        <v>93</v>
      </c>
      <c r="I41" s="208">
        <f t="shared" si="4"/>
        <v>900</v>
      </c>
      <c r="J41" s="127">
        <f t="shared" si="5"/>
        <v>90</v>
      </c>
    </row>
    <row r="42" spans="1:10" x14ac:dyDescent="0.25">
      <c r="A42" s="2"/>
      <c r="B42" s="83">
        <v>10</v>
      </c>
      <c r="C42" s="15">
        <v>10</v>
      </c>
      <c r="D42" s="744">
        <f t="shared" si="1"/>
        <v>100</v>
      </c>
      <c r="E42" s="570">
        <v>44932</v>
      </c>
      <c r="F42" s="534">
        <f t="shared" si="0"/>
        <v>100</v>
      </c>
      <c r="G42" s="329" t="s">
        <v>902</v>
      </c>
      <c r="H42" s="330">
        <v>93</v>
      </c>
      <c r="I42" s="208">
        <f t="shared" si="4"/>
        <v>800</v>
      </c>
      <c r="J42" s="127">
        <f t="shared" si="5"/>
        <v>80</v>
      </c>
    </row>
    <row r="43" spans="1:10" x14ac:dyDescent="0.25">
      <c r="A43" s="2"/>
      <c r="B43" s="83">
        <v>10</v>
      </c>
      <c r="C43" s="15">
        <v>1</v>
      </c>
      <c r="D43" s="744">
        <f t="shared" si="1"/>
        <v>10</v>
      </c>
      <c r="E43" s="570">
        <v>44933</v>
      </c>
      <c r="F43" s="534">
        <f t="shared" si="0"/>
        <v>10</v>
      </c>
      <c r="G43" s="329" t="s">
        <v>907</v>
      </c>
      <c r="H43" s="330">
        <v>93</v>
      </c>
      <c r="I43" s="208">
        <f t="shared" si="4"/>
        <v>790</v>
      </c>
      <c r="J43" s="127">
        <f t="shared" si="5"/>
        <v>79</v>
      </c>
    </row>
    <row r="44" spans="1:10" x14ac:dyDescent="0.25">
      <c r="A44" s="2"/>
      <c r="B44" s="83">
        <v>10</v>
      </c>
      <c r="C44" s="15"/>
      <c r="D44" s="744"/>
      <c r="E44" s="570"/>
      <c r="F44" s="534">
        <f t="shared" si="0"/>
        <v>0</v>
      </c>
      <c r="G44" s="329"/>
      <c r="H44" s="330"/>
      <c r="I44" s="208">
        <f t="shared" si="4"/>
        <v>790</v>
      </c>
      <c r="J44" s="127">
        <f t="shared" si="5"/>
        <v>79</v>
      </c>
    </row>
    <row r="45" spans="1:10" x14ac:dyDescent="0.25">
      <c r="A45" s="2"/>
      <c r="B45" s="83">
        <v>10</v>
      </c>
      <c r="C45" s="15"/>
      <c r="D45" s="744"/>
      <c r="E45" s="570"/>
      <c r="F45" s="534">
        <f t="shared" si="0"/>
        <v>0</v>
      </c>
      <c r="G45" s="329"/>
      <c r="H45" s="330"/>
      <c r="I45" s="208">
        <f t="shared" si="4"/>
        <v>790</v>
      </c>
      <c r="J45" s="127">
        <f t="shared" si="5"/>
        <v>79</v>
      </c>
    </row>
    <row r="46" spans="1:10" x14ac:dyDescent="0.25">
      <c r="A46" s="2"/>
      <c r="B46" s="83">
        <v>10</v>
      </c>
      <c r="C46" s="15"/>
      <c r="D46" s="744"/>
      <c r="E46" s="570"/>
      <c r="F46" s="534">
        <f t="shared" si="0"/>
        <v>0</v>
      </c>
      <c r="G46" s="329"/>
      <c r="H46" s="330"/>
      <c r="I46" s="208">
        <f t="shared" si="4"/>
        <v>790</v>
      </c>
      <c r="J46" s="127">
        <f t="shared" si="5"/>
        <v>79</v>
      </c>
    </row>
    <row r="47" spans="1:10" x14ac:dyDescent="0.25">
      <c r="A47" s="2"/>
      <c r="B47" s="83">
        <v>10</v>
      </c>
      <c r="C47" s="15"/>
      <c r="D47" s="744"/>
      <c r="E47" s="570"/>
      <c r="F47" s="534">
        <f t="shared" si="0"/>
        <v>0</v>
      </c>
      <c r="G47" s="329"/>
      <c r="H47" s="330"/>
      <c r="I47" s="208">
        <f t="shared" si="4"/>
        <v>790</v>
      </c>
      <c r="J47" s="127">
        <f t="shared" si="5"/>
        <v>79</v>
      </c>
    </row>
    <row r="48" spans="1:10" ht="14.25" customHeight="1" x14ac:dyDescent="0.25">
      <c r="A48" s="2"/>
      <c r="B48" s="83">
        <v>10</v>
      </c>
      <c r="C48" s="15"/>
      <c r="D48" s="744"/>
      <c r="E48" s="570"/>
      <c r="F48" s="534">
        <f t="shared" si="0"/>
        <v>0</v>
      </c>
      <c r="G48" s="329"/>
      <c r="H48" s="330"/>
      <c r="I48" s="208">
        <f t="shared" si="4"/>
        <v>790</v>
      </c>
      <c r="J48" s="127">
        <f t="shared" si="5"/>
        <v>79</v>
      </c>
    </row>
    <row r="49" spans="1:8" ht="15.75" thickBot="1" x14ac:dyDescent="0.3">
      <c r="A49" s="4"/>
      <c r="B49" s="83">
        <v>10</v>
      </c>
      <c r="C49" s="37"/>
      <c r="D49" s="1001">
        <v>0</v>
      </c>
      <c r="E49" s="1002"/>
      <c r="F49" s="534">
        <f t="shared" si="0"/>
        <v>0</v>
      </c>
      <c r="G49" s="991"/>
      <c r="H49" s="330"/>
    </row>
    <row r="50" spans="1:8" ht="16.5" thickTop="1" thickBot="1" x14ac:dyDescent="0.3">
      <c r="B50" s="83"/>
      <c r="C50" s="90">
        <f>SUM(C10:C49)</f>
        <v>121</v>
      </c>
      <c r="D50" s="151">
        <v>0</v>
      </c>
      <c r="E50" s="38"/>
      <c r="F50" s="69">
        <f t="shared" si="0"/>
        <v>0</v>
      </c>
    </row>
    <row r="51" spans="1:8" ht="15.75" thickBot="1" x14ac:dyDescent="0.3">
      <c r="A51" s="51"/>
      <c r="B51" s="83"/>
      <c r="D51" s="151">
        <v>0</v>
      </c>
      <c r="E51" s="68">
        <f>F4+F5+F6-+C50</f>
        <v>79</v>
      </c>
      <c r="F51" s="5"/>
    </row>
    <row r="52" spans="1:8" ht="15.75" thickBot="1" x14ac:dyDescent="0.3">
      <c r="A52" s="119"/>
      <c r="D52" s="47"/>
      <c r="F52" s="5"/>
    </row>
    <row r="53" spans="1:8" ht="16.5" thickTop="1" thickBot="1" x14ac:dyDescent="0.3">
      <c r="A53" s="47"/>
      <c r="C53" s="1424" t="s">
        <v>11</v>
      </c>
      <c r="D53" s="1425"/>
      <c r="E53" s="145">
        <f>E5+E4+E6+-F50</f>
        <v>2000</v>
      </c>
      <c r="F53" s="5"/>
    </row>
  </sheetData>
  <mergeCells count="5">
    <mergeCell ref="A1:I1"/>
    <mergeCell ref="B5:B7"/>
    <mergeCell ref="I8:I9"/>
    <mergeCell ref="J8:J9"/>
    <mergeCell ref="C53:D53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U78"/>
  <sheetViews>
    <sheetView topLeftCell="K1" workbookViewId="0">
      <selection activeCell="N21" sqref="N21"/>
    </sheetView>
  </sheetViews>
  <sheetFormatPr baseColWidth="10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  <col min="12" max="12" width="32.42578125" bestFit="1" customWidth="1"/>
    <col min="13" max="13" width="17.7109375" style="73" bestFit="1" customWidth="1"/>
    <col min="14" max="14" width="15.5703125" bestFit="1" customWidth="1"/>
    <col min="17" max="17" width="12" customWidth="1"/>
    <col min="20" max="20" width="13.85546875" bestFit="1" customWidth="1"/>
    <col min="21" max="21" width="15.42578125" customWidth="1"/>
  </cols>
  <sheetData>
    <row r="1" spans="1:21" ht="39.75" x14ac:dyDescent="0.5">
      <c r="A1" s="1463" t="s">
        <v>326</v>
      </c>
      <c r="B1" s="1463"/>
      <c r="C1" s="1463"/>
      <c r="D1" s="1463"/>
      <c r="E1" s="1463"/>
      <c r="F1" s="1463"/>
      <c r="G1" s="1463"/>
      <c r="H1" s="268">
        <v>1</v>
      </c>
      <c r="I1" s="394"/>
      <c r="L1" s="1379" t="s">
        <v>339</v>
      </c>
      <c r="M1" s="1379"/>
      <c r="N1" s="1379"/>
      <c r="O1" s="1379"/>
      <c r="P1" s="1379"/>
      <c r="Q1" s="1379"/>
      <c r="R1" s="1379"/>
      <c r="S1" s="268">
        <v>2</v>
      </c>
      <c r="T1" s="394"/>
    </row>
    <row r="2" spans="1:21" ht="15.75" thickBot="1" x14ac:dyDescent="0.3">
      <c r="A2" s="75"/>
      <c r="B2" s="75"/>
      <c r="C2" s="75"/>
      <c r="D2" s="75"/>
      <c r="E2" s="75"/>
      <c r="F2" s="75"/>
      <c r="G2" s="75"/>
      <c r="H2" s="75"/>
      <c r="I2" s="393"/>
      <c r="L2" s="75"/>
      <c r="M2" s="75"/>
      <c r="N2" s="75"/>
      <c r="O2" s="75"/>
      <c r="P2" s="75"/>
      <c r="Q2" s="75"/>
      <c r="R2" s="75"/>
      <c r="S2" s="75"/>
      <c r="T2" s="393"/>
    </row>
    <row r="3" spans="1:21" ht="16.5" thickTop="1" thickBot="1" x14ac:dyDescent="0.3">
      <c r="A3" s="72" t="s">
        <v>0</v>
      </c>
      <c r="B3" s="72" t="s">
        <v>1</v>
      </c>
      <c r="C3" s="72"/>
      <c r="D3" s="72" t="s">
        <v>2</v>
      </c>
      <c r="E3" s="72" t="s">
        <v>3</v>
      </c>
      <c r="F3" s="72" t="s">
        <v>4</v>
      </c>
      <c r="G3" s="278" t="s">
        <v>20</v>
      </c>
      <c r="H3" s="277" t="s">
        <v>6</v>
      </c>
      <c r="I3" s="395"/>
      <c r="L3" s="72" t="s">
        <v>0</v>
      </c>
      <c r="M3" s="72" t="s">
        <v>1</v>
      </c>
      <c r="N3" s="72"/>
      <c r="O3" s="72" t="s">
        <v>2</v>
      </c>
      <c r="P3" s="72" t="s">
        <v>3</v>
      </c>
      <c r="Q3" s="72" t="s">
        <v>4</v>
      </c>
      <c r="R3" s="278" t="s">
        <v>20</v>
      </c>
      <c r="S3" s="277" t="s">
        <v>6</v>
      </c>
      <c r="T3" s="395"/>
    </row>
    <row r="4" spans="1:21" ht="15.75" customHeight="1" thickTop="1" x14ac:dyDescent="0.25">
      <c r="A4" s="75"/>
      <c r="B4" s="75"/>
      <c r="C4" s="391"/>
      <c r="D4" s="134"/>
      <c r="E4" s="86"/>
      <c r="F4" s="73"/>
      <c r="G4" s="237"/>
      <c r="H4" s="148"/>
      <c r="I4" s="399"/>
      <c r="L4" s="75"/>
      <c r="M4" s="75"/>
      <c r="N4" s="391"/>
      <c r="O4" s="134"/>
      <c r="P4" s="86"/>
      <c r="Q4" s="73"/>
      <c r="R4" s="1056"/>
      <c r="S4" s="148"/>
      <c r="T4" s="399"/>
    </row>
    <row r="5" spans="1:21" ht="15" customHeight="1" x14ac:dyDescent="0.25">
      <c r="A5" s="1398" t="s">
        <v>225</v>
      </c>
      <c r="B5" s="1402" t="s">
        <v>77</v>
      </c>
      <c r="C5" s="243">
        <v>91</v>
      </c>
      <c r="D5" s="134">
        <v>44887</v>
      </c>
      <c r="E5" s="75">
        <v>1008.76</v>
      </c>
      <c r="F5" s="73">
        <v>36</v>
      </c>
      <c r="G5" s="48">
        <f>F73</f>
        <v>1008.76</v>
      </c>
      <c r="H5" s="138">
        <f>E5-G5</f>
        <v>0</v>
      </c>
      <c r="I5" s="396"/>
      <c r="L5" s="1398" t="s">
        <v>225</v>
      </c>
      <c r="M5" s="1402" t="s">
        <v>77</v>
      </c>
      <c r="N5" s="243">
        <v>90</v>
      </c>
      <c r="O5" s="134">
        <v>44900</v>
      </c>
      <c r="P5" s="75">
        <v>1109.3900000000001</v>
      </c>
      <c r="Q5" s="73">
        <v>40</v>
      </c>
      <c r="R5" s="48">
        <f>Q73</f>
        <v>1109.3899999999999</v>
      </c>
      <c r="S5" s="138">
        <f>P5-R5</f>
        <v>0</v>
      </c>
      <c r="T5" s="396"/>
    </row>
    <row r="6" spans="1:21" ht="15.75" thickBot="1" x14ac:dyDescent="0.3">
      <c r="A6" s="1398"/>
      <c r="B6" s="1464"/>
      <c r="C6" s="393"/>
      <c r="D6" s="134"/>
      <c r="E6" s="75"/>
      <c r="F6" s="73"/>
      <c r="G6" s="73"/>
      <c r="H6" s="75"/>
      <c r="I6" s="243"/>
      <c r="L6" s="1398"/>
      <c r="M6" s="1464"/>
      <c r="N6" s="393"/>
      <c r="O6" s="134"/>
      <c r="P6" s="75"/>
      <c r="Q6" s="73"/>
      <c r="R6" s="73"/>
      <c r="S6" s="75"/>
      <c r="T6" s="243"/>
    </row>
    <row r="7" spans="1:21" ht="14.25" customHeight="1" thickBot="1" x14ac:dyDescent="0.3">
      <c r="A7" s="225"/>
      <c r="B7" s="469"/>
      <c r="C7" s="393"/>
      <c r="D7" s="134"/>
      <c r="E7" s="75"/>
      <c r="F7" s="73"/>
      <c r="G7" s="73"/>
      <c r="H7" s="75"/>
      <c r="I7" s="243"/>
      <c r="L7" s="225"/>
      <c r="M7" s="469"/>
      <c r="N7" s="393"/>
      <c r="O7" s="134"/>
      <c r="P7" s="75"/>
      <c r="Q7" s="73"/>
      <c r="R7" s="73"/>
      <c r="S7" s="75"/>
      <c r="T7" s="243"/>
    </row>
    <row r="8" spans="1:21" ht="16.5" customHeight="1" thickTop="1" thickBot="1" x14ac:dyDescent="0.3">
      <c r="A8" s="75"/>
      <c r="B8" s="285" t="s">
        <v>7</v>
      </c>
      <c r="C8" s="281" t="s">
        <v>8</v>
      </c>
      <c r="D8" s="282" t="s">
        <v>17</v>
      </c>
      <c r="E8" s="283" t="s">
        <v>2</v>
      </c>
      <c r="F8" s="276" t="s">
        <v>18</v>
      </c>
      <c r="G8" s="284" t="s">
        <v>15</v>
      </c>
      <c r="H8" s="279"/>
      <c r="I8" s="397"/>
      <c r="L8" s="75"/>
      <c r="M8" s="285" t="s">
        <v>7</v>
      </c>
      <c r="N8" s="281" t="s">
        <v>8</v>
      </c>
      <c r="O8" s="282" t="s">
        <v>17</v>
      </c>
      <c r="P8" s="283" t="s">
        <v>2</v>
      </c>
      <c r="Q8" s="276" t="s">
        <v>18</v>
      </c>
      <c r="R8" s="284" t="s">
        <v>15</v>
      </c>
      <c r="S8" s="279"/>
      <c r="T8" s="397"/>
    </row>
    <row r="9" spans="1:21" ht="15.75" thickTop="1" x14ac:dyDescent="0.25">
      <c r="A9" s="61"/>
      <c r="B9" s="817">
        <f>F4+F5+F6-C9+F7</f>
        <v>30</v>
      </c>
      <c r="C9" s="15">
        <v>6</v>
      </c>
      <c r="D9" s="69">
        <v>156.5</v>
      </c>
      <c r="E9" s="252">
        <v>44893</v>
      </c>
      <c r="F9" s="92">
        <f t="shared" ref="F9:F15" si="0">D9</f>
        <v>156.5</v>
      </c>
      <c r="G9" s="70" t="s">
        <v>565</v>
      </c>
      <c r="H9" s="71">
        <v>93</v>
      </c>
      <c r="I9" s="393">
        <f>E4+E5+E6-F9+E7</f>
        <v>852.26</v>
      </c>
      <c r="J9" s="60">
        <f>H9*F9</f>
        <v>14554.5</v>
      </c>
      <c r="L9" s="61"/>
      <c r="M9" s="817">
        <f>Q4+Q5+Q6-N9+Q7</f>
        <v>25</v>
      </c>
      <c r="N9" s="15">
        <v>15</v>
      </c>
      <c r="O9" s="69">
        <v>417.14</v>
      </c>
      <c r="P9" s="252">
        <v>44911</v>
      </c>
      <c r="Q9" s="92">
        <f t="shared" ref="Q9:Q37" si="1">O9</f>
        <v>417.14</v>
      </c>
      <c r="R9" s="70" t="s">
        <v>723</v>
      </c>
      <c r="S9" s="71">
        <v>93</v>
      </c>
      <c r="T9" s="393">
        <f>P4+P5+P6-Q9+P7</f>
        <v>692.25000000000011</v>
      </c>
      <c r="U9" s="60">
        <f>S9*Q9</f>
        <v>38794.019999999997</v>
      </c>
    </row>
    <row r="10" spans="1:21" x14ac:dyDescent="0.25">
      <c r="A10" s="75"/>
      <c r="B10" s="182">
        <f>B9-C10</f>
        <v>28</v>
      </c>
      <c r="C10" s="15">
        <v>2</v>
      </c>
      <c r="D10" s="69">
        <v>57.31</v>
      </c>
      <c r="E10" s="848">
        <v>44900</v>
      </c>
      <c r="F10" s="694">
        <f t="shared" si="0"/>
        <v>57.31</v>
      </c>
      <c r="G10" s="695" t="s">
        <v>612</v>
      </c>
      <c r="H10" s="696">
        <v>93</v>
      </c>
      <c r="I10" s="243">
        <f>I9-F10</f>
        <v>794.95</v>
      </c>
      <c r="J10" s="60">
        <f t="shared" ref="J10:J37" si="2">H10*F10</f>
        <v>5329.83</v>
      </c>
      <c r="L10" s="75"/>
      <c r="M10" s="182">
        <f>M9-N10</f>
        <v>24</v>
      </c>
      <c r="N10" s="15">
        <v>1</v>
      </c>
      <c r="O10" s="69">
        <v>25.89</v>
      </c>
      <c r="P10" s="848">
        <v>44912</v>
      </c>
      <c r="Q10" s="694">
        <f t="shared" si="1"/>
        <v>25.89</v>
      </c>
      <c r="R10" s="695" t="s">
        <v>737</v>
      </c>
      <c r="S10" s="696">
        <v>93</v>
      </c>
      <c r="T10" s="243">
        <f>T9-Q10</f>
        <v>666.36000000000013</v>
      </c>
      <c r="U10" s="60">
        <f t="shared" ref="U10:U37" si="3">S10*Q10</f>
        <v>2407.77</v>
      </c>
    </row>
    <row r="11" spans="1:21" x14ac:dyDescent="0.25">
      <c r="A11" s="75"/>
      <c r="B11" s="182">
        <f t="shared" ref="B11:B36" si="4">B10-C11</f>
        <v>27</v>
      </c>
      <c r="C11" s="15">
        <v>1</v>
      </c>
      <c r="D11" s="69">
        <v>29.47</v>
      </c>
      <c r="E11" s="849">
        <v>44900</v>
      </c>
      <c r="F11" s="694">
        <f t="shared" si="0"/>
        <v>29.47</v>
      </c>
      <c r="G11" s="695" t="s">
        <v>612</v>
      </c>
      <c r="H11" s="696">
        <v>93</v>
      </c>
      <c r="I11" s="243">
        <f t="shared" ref="I11:I37" si="5">I10-F11</f>
        <v>765.48</v>
      </c>
      <c r="J11" s="60">
        <f t="shared" si="2"/>
        <v>2740.71</v>
      </c>
      <c r="L11" s="75"/>
      <c r="M11" s="182">
        <f t="shared" ref="M11:M36" si="6">M10-N11</f>
        <v>0</v>
      </c>
      <c r="N11" s="15">
        <v>24</v>
      </c>
      <c r="O11" s="69">
        <v>666.36</v>
      </c>
      <c r="P11" s="849">
        <v>44913</v>
      </c>
      <c r="Q11" s="694">
        <f t="shared" si="1"/>
        <v>666.36</v>
      </c>
      <c r="R11" s="695" t="s">
        <v>749</v>
      </c>
      <c r="S11" s="696">
        <v>93</v>
      </c>
      <c r="T11" s="243">
        <f t="shared" ref="T11:T37" si="7">T10-Q11</f>
        <v>0</v>
      </c>
      <c r="U11" s="60">
        <f t="shared" si="3"/>
        <v>61971.48</v>
      </c>
    </row>
    <row r="12" spans="1:21" x14ac:dyDescent="0.25">
      <c r="A12" s="61"/>
      <c r="B12" s="182">
        <f t="shared" si="4"/>
        <v>6</v>
      </c>
      <c r="C12" s="15">
        <v>21</v>
      </c>
      <c r="D12" s="69">
        <v>595.5</v>
      </c>
      <c r="E12" s="849">
        <v>44907</v>
      </c>
      <c r="F12" s="694">
        <f t="shared" si="0"/>
        <v>595.5</v>
      </c>
      <c r="G12" s="695" t="s">
        <v>684</v>
      </c>
      <c r="H12" s="696">
        <v>93</v>
      </c>
      <c r="I12" s="243">
        <f t="shared" si="5"/>
        <v>169.98000000000002</v>
      </c>
      <c r="J12" s="60">
        <f t="shared" si="2"/>
        <v>55381.5</v>
      </c>
      <c r="L12" s="61"/>
      <c r="M12" s="182">
        <f t="shared" si="6"/>
        <v>0</v>
      </c>
      <c r="N12" s="15"/>
      <c r="O12" s="69"/>
      <c r="P12" s="849"/>
      <c r="Q12" s="694">
        <f t="shared" si="1"/>
        <v>0</v>
      </c>
      <c r="R12" s="1166"/>
      <c r="S12" s="1167"/>
      <c r="T12" s="1174">
        <f t="shared" si="7"/>
        <v>0</v>
      </c>
      <c r="U12" s="1182">
        <f t="shared" si="3"/>
        <v>0</v>
      </c>
    </row>
    <row r="13" spans="1:21" x14ac:dyDescent="0.25">
      <c r="A13" s="75"/>
      <c r="B13" s="182">
        <f t="shared" si="4"/>
        <v>0</v>
      </c>
      <c r="C13" s="15">
        <v>6</v>
      </c>
      <c r="D13" s="69">
        <v>169.98</v>
      </c>
      <c r="E13" s="849">
        <v>44907</v>
      </c>
      <c r="F13" s="694">
        <f t="shared" si="0"/>
        <v>169.98</v>
      </c>
      <c r="G13" s="695" t="s">
        <v>685</v>
      </c>
      <c r="H13" s="696">
        <v>93</v>
      </c>
      <c r="I13" s="243">
        <f t="shared" si="5"/>
        <v>0</v>
      </c>
      <c r="J13" s="60">
        <f t="shared" si="2"/>
        <v>15808.14</v>
      </c>
      <c r="L13" s="75"/>
      <c r="M13" s="182">
        <f t="shared" si="6"/>
        <v>0</v>
      </c>
      <c r="N13" s="15"/>
      <c r="O13" s="69"/>
      <c r="P13" s="849"/>
      <c r="Q13" s="694">
        <f t="shared" si="1"/>
        <v>0</v>
      </c>
      <c r="R13" s="1166"/>
      <c r="S13" s="1167"/>
      <c r="T13" s="1174">
        <f t="shared" si="7"/>
        <v>0</v>
      </c>
      <c r="U13" s="1182">
        <f t="shared" si="3"/>
        <v>0</v>
      </c>
    </row>
    <row r="14" spans="1:21" x14ac:dyDescent="0.25">
      <c r="A14" s="75"/>
      <c r="B14" s="182">
        <f t="shared" si="4"/>
        <v>0</v>
      </c>
      <c r="C14" s="15"/>
      <c r="D14" s="69"/>
      <c r="E14" s="849"/>
      <c r="F14" s="694">
        <f t="shared" si="0"/>
        <v>0</v>
      </c>
      <c r="G14" s="1166"/>
      <c r="H14" s="1167"/>
      <c r="I14" s="1174">
        <f t="shared" si="5"/>
        <v>0</v>
      </c>
      <c r="J14" s="1182">
        <f t="shared" si="2"/>
        <v>0</v>
      </c>
      <c r="L14" s="75"/>
      <c r="M14" s="182">
        <f t="shared" si="6"/>
        <v>0</v>
      </c>
      <c r="N14" s="15"/>
      <c r="O14" s="69"/>
      <c r="P14" s="849"/>
      <c r="Q14" s="694">
        <f t="shared" si="1"/>
        <v>0</v>
      </c>
      <c r="R14" s="1166"/>
      <c r="S14" s="1167"/>
      <c r="T14" s="1174">
        <f t="shared" si="7"/>
        <v>0</v>
      </c>
      <c r="U14" s="1182">
        <f t="shared" si="3"/>
        <v>0</v>
      </c>
    </row>
    <row r="15" spans="1:21" x14ac:dyDescent="0.25">
      <c r="A15" s="75"/>
      <c r="B15" s="182">
        <f t="shared" si="4"/>
        <v>0</v>
      </c>
      <c r="C15" s="15"/>
      <c r="D15" s="92"/>
      <c r="E15" s="836"/>
      <c r="F15" s="694">
        <f t="shared" si="0"/>
        <v>0</v>
      </c>
      <c r="G15" s="1166"/>
      <c r="H15" s="1167"/>
      <c r="I15" s="1174">
        <f t="shared" si="5"/>
        <v>0</v>
      </c>
      <c r="J15" s="1182">
        <f t="shared" si="2"/>
        <v>0</v>
      </c>
      <c r="L15" s="75"/>
      <c r="M15" s="182">
        <f t="shared" si="6"/>
        <v>0</v>
      </c>
      <c r="N15" s="15"/>
      <c r="O15" s="92"/>
      <c r="P15" s="836"/>
      <c r="Q15" s="694">
        <f t="shared" si="1"/>
        <v>0</v>
      </c>
      <c r="R15" s="1166"/>
      <c r="S15" s="1167"/>
      <c r="T15" s="1174">
        <f t="shared" si="7"/>
        <v>0</v>
      </c>
      <c r="U15" s="1182">
        <f t="shared" si="3"/>
        <v>0</v>
      </c>
    </row>
    <row r="16" spans="1:21" x14ac:dyDescent="0.25">
      <c r="A16" s="75"/>
      <c r="B16" s="182">
        <f t="shared" si="4"/>
        <v>0</v>
      </c>
      <c r="C16" s="15"/>
      <c r="D16" s="69"/>
      <c r="E16" s="252"/>
      <c r="F16" s="92">
        <f t="shared" ref="F16:F72" si="8">D16</f>
        <v>0</v>
      </c>
      <c r="G16" s="1166"/>
      <c r="H16" s="1167"/>
      <c r="I16" s="1174">
        <f t="shared" si="5"/>
        <v>0</v>
      </c>
      <c r="J16" s="1182">
        <f t="shared" si="2"/>
        <v>0</v>
      </c>
      <c r="L16" s="75"/>
      <c r="M16" s="182">
        <f t="shared" si="6"/>
        <v>0</v>
      </c>
      <c r="N16" s="15"/>
      <c r="O16" s="69"/>
      <c r="P16" s="252"/>
      <c r="Q16" s="92">
        <f t="shared" si="1"/>
        <v>0</v>
      </c>
      <c r="R16" s="1166"/>
      <c r="S16" s="1167"/>
      <c r="T16" s="1174">
        <f t="shared" si="7"/>
        <v>0</v>
      </c>
      <c r="U16" s="1182">
        <f t="shared" si="3"/>
        <v>0</v>
      </c>
    </row>
    <row r="17" spans="1:21" x14ac:dyDescent="0.25">
      <c r="A17" s="75"/>
      <c r="B17" s="182">
        <f t="shared" si="4"/>
        <v>0</v>
      </c>
      <c r="C17" s="15"/>
      <c r="D17" s="69"/>
      <c r="E17" s="252"/>
      <c r="F17" s="92">
        <f t="shared" si="8"/>
        <v>0</v>
      </c>
      <c r="G17" s="1166"/>
      <c r="H17" s="1167"/>
      <c r="I17" s="1174">
        <f t="shared" si="5"/>
        <v>0</v>
      </c>
      <c r="J17" s="1182">
        <f t="shared" si="2"/>
        <v>0</v>
      </c>
      <c r="L17" s="75"/>
      <c r="M17" s="182">
        <f t="shared" si="6"/>
        <v>0</v>
      </c>
      <c r="N17" s="15"/>
      <c r="O17" s="69"/>
      <c r="P17" s="252"/>
      <c r="Q17" s="92">
        <f t="shared" si="1"/>
        <v>0</v>
      </c>
      <c r="R17" s="70"/>
      <c r="S17" s="71"/>
      <c r="T17" s="243">
        <f t="shared" si="7"/>
        <v>0</v>
      </c>
      <c r="U17" s="60">
        <f t="shared" si="3"/>
        <v>0</v>
      </c>
    </row>
    <row r="18" spans="1:21" x14ac:dyDescent="0.25">
      <c r="A18" s="75"/>
      <c r="B18" s="182">
        <f t="shared" si="4"/>
        <v>0</v>
      </c>
      <c r="C18" s="15"/>
      <c r="D18" s="69"/>
      <c r="E18" s="252"/>
      <c r="F18" s="92">
        <f t="shared" si="8"/>
        <v>0</v>
      </c>
      <c r="G18" s="70"/>
      <c r="H18" s="71"/>
      <c r="I18" s="243">
        <f t="shared" si="5"/>
        <v>0</v>
      </c>
      <c r="J18" s="60">
        <f t="shared" si="2"/>
        <v>0</v>
      </c>
      <c r="L18" s="75"/>
      <c r="M18" s="182">
        <f t="shared" si="6"/>
        <v>0</v>
      </c>
      <c r="N18" s="15"/>
      <c r="O18" s="69"/>
      <c r="P18" s="252"/>
      <c r="Q18" s="92">
        <f t="shared" si="1"/>
        <v>0</v>
      </c>
      <c r="R18" s="70"/>
      <c r="S18" s="71"/>
      <c r="T18" s="243">
        <f t="shared" si="7"/>
        <v>0</v>
      </c>
      <c r="U18" s="60">
        <f t="shared" si="3"/>
        <v>0</v>
      </c>
    </row>
    <row r="19" spans="1:21" x14ac:dyDescent="0.25">
      <c r="A19" s="75"/>
      <c r="B19" s="182">
        <f t="shared" si="4"/>
        <v>0</v>
      </c>
      <c r="C19" s="15"/>
      <c r="D19" s="69"/>
      <c r="E19" s="252"/>
      <c r="F19" s="92">
        <f t="shared" si="8"/>
        <v>0</v>
      </c>
      <c r="G19" s="70"/>
      <c r="H19" s="71"/>
      <c r="I19" s="243">
        <f t="shared" si="5"/>
        <v>0</v>
      </c>
      <c r="J19" s="60">
        <f t="shared" si="2"/>
        <v>0</v>
      </c>
      <c r="L19" s="75"/>
      <c r="M19" s="182">
        <f t="shared" si="6"/>
        <v>0</v>
      </c>
      <c r="N19" s="15"/>
      <c r="O19" s="69"/>
      <c r="P19" s="252"/>
      <c r="Q19" s="92">
        <f t="shared" si="1"/>
        <v>0</v>
      </c>
      <c r="R19" s="70"/>
      <c r="S19" s="71"/>
      <c r="T19" s="243">
        <f t="shared" si="7"/>
        <v>0</v>
      </c>
      <c r="U19" s="60">
        <f t="shared" si="3"/>
        <v>0</v>
      </c>
    </row>
    <row r="20" spans="1:21" x14ac:dyDescent="0.25">
      <c r="A20" s="75"/>
      <c r="B20" s="182">
        <f t="shared" si="4"/>
        <v>0</v>
      </c>
      <c r="C20" s="15"/>
      <c r="D20" s="69"/>
      <c r="E20" s="252"/>
      <c r="F20" s="92">
        <f t="shared" si="8"/>
        <v>0</v>
      </c>
      <c r="G20" s="70"/>
      <c r="H20" s="71"/>
      <c r="I20" s="243">
        <f t="shared" si="5"/>
        <v>0</v>
      </c>
      <c r="J20" s="60">
        <f t="shared" si="2"/>
        <v>0</v>
      </c>
      <c r="L20" s="75"/>
      <c r="M20" s="182">
        <f t="shared" si="6"/>
        <v>0</v>
      </c>
      <c r="N20" s="15"/>
      <c r="O20" s="69"/>
      <c r="P20" s="252"/>
      <c r="Q20" s="92">
        <f t="shared" si="1"/>
        <v>0</v>
      </c>
      <c r="R20" s="70"/>
      <c r="S20" s="71"/>
      <c r="T20" s="243">
        <f t="shared" si="7"/>
        <v>0</v>
      </c>
      <c r="U20" s="60">
        <f t="shared" si="3"/>
        <v>0</v>
      </c>
    </row>
    <row r="21" spans="1:21" x14ac:dyDescent="0.25">
      <c r="A21" s="75"/>
      <c r="B21" s="182">
        <f t="shared" si="4"/>
        <v>0</v>
      </c>
      <c r="C21" s="15"/>
      <c r="D21" s="69"/>
      <c r="E21" s="252"/>
      <c r="F21" s="92">
        <f t="shared" si="8"/>
        <v>0</v>
      </c>
      <c r="G21" s="70"/>
      <c r="H21" s="71"/>
      <c r="I21" s="243">
        <f t="shared" si="5"/>
        <v>0</v>
      </c>
      <c r="J21" s="60">
        <f t="shared" si="2"/>
        <v>0</v>
      </c>
      <c r="L21" s="75"/>
      <c r="M21" s="182">
        <f t="shared" si="6"/>
        <v>0</v>
      </c>
      <c r="N21" s="15"/>
      <c r="O21" s="69"/>
      <c r="P21" s="252"/>
      <c r="Q21" s="92">
        <f t="shared" si="1"/>
        <v>0</v>
      </c>
      <c r="R21" s="70"/>
      <c r="S21" s="71"/>
      <c r="T21" s="243">
        <f t="shared" si="7"/>
        <v>0</v>
      </c>
      <c r="U21" s="60">
        <f t="shared" si="3"/>
        <v>0</v>
      </c>
    </row>
    <row r="22" spans="1:21" x14ac:dyDescent="0.25">
      <c r="A22" s="75"/>
      <c r="B22" s="182">
        <f t="shared" si="4"/>
        <v>0</v>
      </c>
      <c r="C22" s="15"/>
      <c r="D22" s="69"/>
      <c r="E22" s="252"/>
      <c r="F22" s="92">
        <f t="shared" si="8"/>
        <v>0</v>
      </c>
      <c r="G22" s="70"/>
      <c r="H22" s="71"/>
      <c r="I22" s="243">
        <f t="shared" si="5"/>
        <v>0</v>
      </c>
      <c r="J22" s="60">
        <f t="shared" si="2"/>
        <v>0</v>
      </c>
      <c r="L22" s="75"/>
      <c r="M22" s="182">
        <f t="shared" si="6"/>
        <v>0</v>
      </c>
      <c r="N22" s="15"/>
      <c r="O22" s="69"/>
      <c r="P22" s="252"/>
      <c r="Q22" s="92">
        <f t="shared" si="1"/>
        <v>0</v>
      </c>
      <c r="R22" s="70"/>
      <c r="S22" s="71"/>
      <c r="T22" s="243">
        <f t="shared" si="7"/>
        <v>0</v>
      </c>
      <c r="U22" s="60">
        <f t="shared" si="3"/>
        <v>0</v>
      </c>
    </row>
    <row r="23" spans="1:21" x14ac:dyDescent="0.25">
      <c r="A23" s="19"/>
      <c r="B23" s="182">
        <f t="shared" si="4"/>
        <v>0</v>
      </c>
      <c r="C23" s="73"/>
      <c r="D23" s="69"/>
      <c r="E23" s="134"/>
      <c r="F23" s="92">
        <f t="shared" si="8"/>
        <v>0</v>
      </c>
      <c r="G23" s="70"/>
      <c r="H23" s="71"/>
      <c r="I23" s="243">
        <f t="shared" si="5"/>
        <v>0</v>
      </c>
      <c r="J23" s="60">
        <f t="shared" si="2"/>
        <v>0</v>
      </c>
      <c r="L23" s="19"/>
      <c r="M23" s="182">
        <f t="shared" si="6"/>
        <v>0</v>
      </c>
      <c r="N23" s="73"/>
      <c r="O23" s="69"/>
      <c r="P23" s="134"/>
      <c r="Q23" s="92">
        <f t="shared" si="1"/>
        <v>0</v>
      </c>
      <c r="R23" s="70"/>
      <c r="S23" s="71"/>
      <c r="T23" s="243">
        <f t="shared" si="7"/>
        <v>0</v>
      </c>
      <c r="U23" s="60">
        <f t="shared" si="3"/>
        <v>0</v>
      </c>
    </row>
    <row r="24" spans="1:21" x14ac:dyDescent="0.25">
      <c r="A24" s="19"/>
      <c r="B24" s="182">
        <f t="shared" si="4"/>
        <v>0</v>
      </c>
      <c r="C24" s="73"/>
      <c r="D24" s="69"/>
      <c r="E24" s="134"/>
      <c r="F24" s="92">
        <f t="shared" si="8"/>
        <v>0</v>
      </c>
      <c r="G24" s="70"/>
      <c r="H24" s="71"/>
      <c r="I24" s="243">
        <f t="shared" si="5"/>
        <v>0</v>
      </c>
      <c r="J24" s="60">
        <f t="shared" si="2"/>
        <v>0</v>
      </c>
      <c r="L24" s="19"/>
      <c r="M24" s="182">
        <f t="shared" si="6"/>
        <v>0</v>
      </c>
      <c r="N24" s="73"/>
      <c r="O24" s="69"/>
      <c r="P24" s="134"/>
      <c r="Q24" s="92">
        <f t="shared" si="1"/>
        <v>0</v>
      </c>
      <c r="R24" s="70"/>
      <c r="S24" s="71"/>
      <c r="T24" s="243">
        <f t="shared" si="7"/>
        <v>0</v>
      </c>
      <c r="U24" s="60">
        <f t="shared" si="3"/>
        <v>0</v>
      </c>
    </row>
    <row r="25" spans="1:21" x14ac:dyDescent="0.25">
      <c r="A25" s="19"/>
      <c r="B25" s="182">
        <f t="shared" si="4"/>
        <v>0</v>
      </c>
      <c r="C25" s="73"/>
      <c r="D25" s="69"/>
      <c r="E25" s="134"/>
      <c r="F25" s="92">
        <f t="shared" si="8"/>
        <v>0</v>
      </c>
      <c r="G25" s="70"/>
      <c r="H25" s="71"/>
      <c r="I25" s="393">
        <f t="shared" si="5"/>
        <v>0</v>
      </c>
      <c r="J25" s="60">
        <f t="shared" si="2"/>
        <v>0</v>
      </c>
      <c r="L25" s="19"/>
      <c r="M25" s="182">
        <f t="shared" si="6"/>
        <v>0</v>
      </c>
      <c r="N25" s="73"/>
      <c r="O25" s="69"/>
      <c r="P25" s="134"/>
      <c r="Q25" s="92">
        <f t="shared" si="1"/>
        <v>0</v>
      </c>
      <c r="R25" s="70"/>
      <c r="S25" s="71"/>
      <c r="T25" s="393">
        <f t="shared" si="7"/>
        <v>0</v>
      </c>
      <c r="U25" s="60">
        <f t="shared" si="3"/>
        <v>0</v>
      </c>
    </row>
    <row r="26" spans="1:21" x14ac:dyDescent="0.25">
      <c r="A26" s="19"/>
      <c r="B26" s="182">
        <f t="shared" si="4"/>
        <v>0</v>
      </c>
      <c r="C26" s="15"/>
      <c r="D26" s="69"/>
      <c r="E26" s="134"/>
      <c r="F26" s="92">
        <f t="shared" si="8"/>
        <v>0</v>
      </c>
      <c r="G26" s="70"/>
      <c r="H26" s="71"/>
      <c r="I26" s="393">
        <f t="shared" si="5"/>
        <v>0</v>
      </c>
      <c r="J26" s="60">
        <f t="shared" si="2"/>
        <v>0</v>
      </c>
      <c r="L26" s="19"/>
      <c r="M26" s="182">
        <f t="shared" si="6"/>
        <v>0</v>
      </c>
      <c r="N26" s="15"/>
      <c r="O26" s="69"/>
      <c r="P26" s="134"/>
      <c r="Q26" s="92">
        <f t="shared" si="1"/>
        <v>0</v>
      </c>
      <c r="R26" s="70"/>
      <c r="S26" s="71"/>
      <c r="T26" s="393">
        <f t="shared" si="7"/>
        <v>0</v>
      </c>
      <c r="U26" s="60">
        <f t="shared" si="3"/>
        <v>0</v>
      </c>
    </row>
    <row r="27" spans="1:21" x14ac:dyDescent="0.25">
      <c r="A27" s="19"/>
      <c r="B27" s="182">
        <f t="shared" si="4"/>
        <v>0</v>
      </c>
      <c r="C27" s="15"/>
      <c r="D27" s="69"/>
      <c r="E27" s="134"/>
      <c r="F27" s="92">
        <f t="shared" si="8"/>
        <v>0</v>
      </c>
      <c r="G27" s="70"/>
      <c r="H27" s="71"/>
      <c r="I27" s="393">
        <f t="shared" si="5"/>
        <v>0</v>
      </c>
      <c r="J27" s="60">
        <f t="shared" si="2"/>
        <v>0</v>
      </c>
      <c r="L27" s="19"/>
      <c r="M27" s="182">
        <f t="shared" si="6"/>
        <v>0</v>
      </c>
      <c r="N27" s="15"/>
      <c r="O27" s="69"/>
      <c r="P27" s="134"/>
      <c r="Q27" s="92">
        <f t="shared" si="1"/>
        <v>0</v>
      </c>
      <c r="R27" s="70"/>
      <c r="S27" s="71"/>
      <c r="T27" s="393">
        <f t="shared" si="7"/>
        <v>0</v>
      </c>
      <c r="U27" s="60">
        <f t="shared" si="3"/>
        <v>0</v>
      </c>
    </row>
    <row r="28" spans="1:21" x14ac:dyDescent="0.25">
      <c r="A28" s="19"/>
      <c r="B28" s="182">
        <f t="shared" si="4"/>
        <v>0</v>
      </c>
      <c r="C28" s="15"/>
      <c r="D28" s="69"/>
      <c r="E28" s="134"/>
      <c r="F28" s="92">
        <f t="shared" si="8"/>
        <v>0</v>
      </c>
      <c r="G28" s="70"/>
      <c r="H28" s="71"/>
      <c r="I28" s="393">
        <f t="shared" si="5"/>
        <v>0</v>
      </c>
      <c r="J28" s="60">
        <f t="shared" si="2"/>
        <v>0</v>
      </c>
      <c r="L28" s="19"/>
      <c r="M28" s="182">
        <f t="shared" si="6"/>
        <v>0</v>
      </c>
      <c r="N28" s="15"/>
      <c r="O28" s="69"/>
      <c r="P28" s="134"/>
      <c r="Q28" s="92">
        <f t="shared" si="1"/>
        <v>0</v>
      </c>
      <c r="R28" s="70"/>
      <c r="S28" s="71"/>
      <c r="T28" s="393">
        <f t="shared" si="7"/>
        <v>0</v>
      </c>
      <c r="U28" s="60">
        <f t="shared" si="3"/>
        <v>0</v>
      </c>
    </row>
    <row r="29" spans="1:21" x14ac:dyDescent="0.25">
      <c r="A29" s="19"/>
      <c r="B29" s="182">
        <f t="shared" si="4"/>
        <v>0</v>
      </c>
      <c r="C29" s="15"/>
      <c r="D29" s="69"/>
      <c r="E29" s="134"/>
      <c r="F29" s="92">
        <f t="shared" si="8"/>
        <v>0</v>
      </c>
      <c r="G29" s="70"/>
      <c r="H29" s="71"/>
      <c r="I29" s="393">
        <f t="shared" si="5"/>
        <v>0</v>
      </c>
      <c r="J29" s="60">
        <f t="shared" si="2"/>
        <v>0</v>
      </c>
      <c r="L29" s="19"/>
      <c r="M29" s="182">
        <f t="shared" si="6"/>
        <v>0</v>
      </c>
      <c r="N29" s="15"/>
      <c r="O29" s="69"/>
      <c r="P29" s="134"/>
      <c r="Q29" s="92">
        <f t="shared" si="1"/>
        <v>0</v>
      </c>
      <c r="R29" s="70"/>
      <c r="S29" s="71"/>
      <c r="T29" s="393">
        <f t="shared" si="7"/>
        <v>0</v>
      </c>
      <c r="U29" s="60">
        <f t="shared" si="3"/>
        <v>0</v>
      </c>
    </row>
    <row r="30" spans="1:21" x14ac:dyDescent="0.25">
      <c r="A30" s="19"/>
      <c r="B30" s="182">
        <f t="shared" si="4"/>
        <v>0</v>
      </c>
      <c r="C30" s="15"/>
      <c r="D30" s="69"/>
      <c r="E30" s="134"/>
      <c r="F30" s="92">
        <f t="shared" si="8"/>
        <v>0</v>
      </c>
      <c r="G30" s="70"/>
      <c r="H30" s="71"/>
      <c r="I30" s="393">
        <f t="shared" si="5"/>
        <v>0</v>
      </c>
      <c r="J30" s="60">
        <f t="shared" si="2"/>
        <v>0</v>
      </c>
      <c r="L30" s="19"/>
      <c r="M30" s="182">
        <f t="shared" si="6"/>
        <v>0</v>
      </c>
      <c r="N30" s="15"/>
      <c r="O30" s="69"/>
      <c r="P30" s="134"/>
      <c r="Q30" s="92">
        <f t="shared" si="1"/>
        <v>0</v>
      </c>
      <c r="R30" s="70"/>
      <c r="S30" s="71"/>
      <c r="T30" s="393">
        <f t="shared" si="7"/>
        <v>0</v>
      </c>
      <c r="U30" s="60">
        <f t="shared" si="3"/>
        <v>0</v>
      </c>
    </row>
    <row r="31" spans="1:21" x14ac:dyDescent="0.25">
      <c r="A31" s="19"/>
      <c r="B31" s="182">
        <f t="shared" si="4"/>
        <v>0</v>
      </c>
      <c r="C31" s="15"/>
      <c r="D31" s="69"/>
      <c r="E31" s="134"/>
      <c r="F31" s="92">
        <f t="shared" si="8"/>
        <v>0</v>
      </c>
      <c r="G31" s="70"/>
      <c r="H31" s="71"/>
      <c r="I31" s="393">
        <f t="shared" si="5"/>
        <v>0</v>
      </c>
      <c r="J31" s="60">
        <f t="shared" si="2"/>
        <v>0</v>
      </c>
      <c r="L31" s="19"/>
      <c r="M31" s="182">
        <f t="shared" si="6"/>
        <v>0</v>
      </c>
      <c r="N31" s="15"/>
      <c r="O31" s="69"/>
      <c r="P31" s="134"/>
      <c r="Q31" s="92">
        <f t="shared" si="1"/>
        <v>0</v>
      </c>
      <c r="R31" s="70"/>
      <c r="S31" s="71"/>
      <c r="T31" s="393">
        <f t="shared" si="7"/>
        <v>0</v>
      </c>
      <c r="U31" s="60">
        <f t="shared" si="3"/>
        <v>0</v>
      </c>
    </row>
    <row r="32" spans="1:21" x14ac:dyDescent="0.25">
      <c r="A32" s="19"/>
      <c r="B32" s="182">
        <f t="shared" si="4"/>
        <v>0</v>
      </c>
      <c r="C32" s="15"/>
      <c r="D32" s="69"/>
      <c r="E32" s="134"/>
      <c r="F32" s="92">
        <f t="shared" si="8"/>
        <v>0</v>
      </c>
      <c r="G32" s="70"/>
      <c r="H32" s="71"/>
      <c r="I32" s="393">
        <f t="shared" si="5"/>
        <v>0</v>
      </c>
      <c r="J32" s="60">
        <f t="shared" si="2"/>
        <v>0</v>
      </c>
      <c r="L32" s="19"/>
      <c r="M32" s="182">
        <f t="shared" si="6"/>
        <v>0</v>
      </c>
      <c r="N32" s="15"/>
      <c r="O32" s="69"/>
      <c r="P32" s="134"/>
      <c r="Q32" s="92">
        <f t="shared" si="1"/>
        <v>0</v>
      </c>
      <c r="R32" s="70"/>
      <c r="S32" s="71"/>
      <c r="T32" s="393">
        <f t="shared" si="7"/>
        <v>0</v>
      </c>
      <c r="U32" s="60">
        <f t="shared" si="3"/>
        <v>0</v>
      </c>
    </row>
    <row r="33" spans="1:21" x14ac:dyDescent="0.25">
      <c r="A33" s="19"/>
      <c r="B33" s="182">
        <f t="shared" si="4"/>
        <v>0</v>
      </c>
      <c r="C33" s="15"/>
      <c r="D33" s="69"/>
      <c r="E33" s="134"/>
      <c r="F33" s="92">
        <f t="shared" si="8"/>
        <v>0</v>
      </c>
      <c r="G33" s="70"/>
      <c r="H33" s="71"/>
      <c r="I33" s="393">
        <f t="shared" si="5"/>
        <v>0</v>
      </c>
      <c r="J33" s="60">
        <f t="shared" si="2"/>
        <v>0</v>
      </c>
      <c r="L33" s="19"/>
      <c r="M33" s="182">
        <f t="shared" si="6"/>
        <v>0</v>
      </c>
      <c r="N33" s="15"/>
      <c r="O33" s="69"/>
      <c r="P33" s="134"/>
      <c r="Q33" s="92">
        <f t="shared" si="1"/>
        <v>0</v>
      </c>
      <c r="R33" s="70"/>
      <c r="S33" s="71"/>
      <c r="T33" s="393">
        <f t="shared" si="7"/>
        <v>0</v>
      </c>
      <c r="U33" s="60">
        <f t="shared" si="3"/>
        <v>0</v>
      </c>
    </row>
    <row r="34" spans="1:21" x14ac:dyDescent="0.25">
      <c r="A34" s="19"/>
      <c r="B34" s="182">
        <f t="shared" si="4"/>
        <v>0</v>
      </c>
      <c r="C34" s="15"/>
      <c r="D34" s="69"/>
      <c r="E34" s="134"/>
      <c r="F34" s="92">
        <f t="shared" si="8"/>
        <v>0</v>
      </c>
      <c r="G34" s="70"/>
      <c r="H34" s="71"/>
      <c r="I34" s="393">
        <f t="shared" si="5"/>
        <v>0</v>
      </c>
      <c r="J34" s="60">
        <f t="shared" si="2"/>
        <v>0</v>
      </c>
      <c r="L34" s="19"/>
      <c r="M34" s="182">
        <f t="shared" si="6"/>
        <v>0</v>
      </c>
      <c r="N34" s="15"/>
      <c r="O34" s="69"/>
      <c r="P34" s="134"/>
      <c r="Q34" s="92">
        <f t="shared" si="1"/>
        <v>0</v>
      </c>
      <c r="R34" s="70"/>
      <c r="S34" s="71"/>
      <c r="T34" s="393">
        <f t="shared" si="7"/>
        <v>0</v>
      </c>
      <c r="U34" s="60">
        <f t="shared" si="3"/>
        <v>0</v>
      </c>
    </row>
    <row r="35" spans="1:21" x14ac:dyDescent="0.25">
      <c r="A35" s="19"/>
      <c r="B35" s="182">
        <f t="shared" si="4"/>
        <v>0</v>
      </c>
      <c r="C35" s="15"/>
      <c r="D35" s="69"/>
      <c r="E35" s="134"/>
      <c r="F35" s="92">
        <f t="shared" si="8"/>
        <v>0</v>
      </c>
      <c r="G35" s="70"/>
      <c r="H35" s="71"/>
      <c r="I35" s="393">
        <f t="shared" si="5"/>
        <v>0</v>
      </c>
      <c r="J35" s="60">
        <f t="shared" si="2"/>
        <v>0</v>
      </c>
      <c r="L35" s="19"/>
      <c r="M35" s="182">
        <f t="shared" si="6"/>
        <v>0</v>
      </c>
      <c r="N35" s="15"/>
      <c r="O35" s="69"/>
      <c r="P35" s="134"/>
      <c r="Q35" s="92">
        <f t="shared" si="1"/>
        <v>0</v>
      </c>
      <c r="R35" s="70"/>
      <c r="S35" s="71"/>
      <c r="T35" s="393">
        <f t="shared" si="7"/>
        <v>0</v>
      </c>
      <c r="U35" s="60">
        <f t="shared" si="3"/>
        <v>0</v>
      </c>
    </row>
    <row r="36" spans="1:21" x14ac:dyDescent="0.25">
      <c r="A36" s="19"/>
      <c r="B36" s="182">
        <f t="shared" si="4"/>
        <v>0</v>
      </c>
      <c r="C36" s="15"/>
      <c r="D36" s="69"/>
      <c r="E36" s="134"/>
      <c r="F36" s="92">
        <f t="shared" si="8"/>
        <v>0</v>
      </c>
      <c r="G36" s="70"/>
      <c r="H36" s="71"/>
      <c r="I36" s="393">
        <f t="shared" si="5"/>
        <v>0</v>
      </c>
      <c r="J36" s="60">
        <f t="shared" si="2"/>
        <v>0</v>
      </c>
      <c r="L36" s="19"/>
      <c r="M36" s="182">
        <f t="shared" si="6"/>
        <v>0</v>
      </c>
      <c r="N36" s="15"/>
      <c r="O36" s="69"/>
      <c r="P36" s="134"/>
      <c r="Q36" s="92">
        <f t="shared" si="1"/>
        <v>0</v>
      </c>
      <c r="R36" s="70"/>
      <c r="S36" s="71"/>
      <c r="T36" s="393">
        <f t="shared" si="7"/>
        <v>0</v>
      </c>
      <c r="U36" s="60">
        <f t="shared" si="3"/>
        <v>0</v>
      </c>
    </row>
    <row r="37" spans="1:21" x14ac:dyDescent="0.25">
      <c r="B37" s="182">
        <f>B27-C37</f>
        <v>0</v>
      </c>
      <c r="C37" s="15"/>
      <c r="D37" s="69">
        <v>0</v>
      </c>
      <c r="E37" s="134"/>
      <c r="F37" s="92">
        <f t="shared" si="8"/>
        <v>0</v>
      </c>
      <c r="G37" s="70"/>
      <c r="H37" s="71"/>
      <c r="I37" s="393">
        <f t="shared" si="5"/>
        <v>0</v>
      </c>
      <c r="J37" s="60">
        <f t="shared" si="2"/>
        <v>0</v>
      </c>
      <c r="M37" s="182">
        <f>M27-N37</f>
        <v>0</v>
      </c>
      <c r="N37" s="15"/>
      <c r="O37" s="69">
        <v>0</v>
      </c>
      <c r="P37" s="134"/>
      <c r="Q37" s="92">
        <f t="shared" si="1"/>
        <v>0</v>
      </c>
      <c r="R37" s="70"/>
      <c r="S37" s="71"/>
      <c r="T37" s="393">
        <f t="shared" si="7"/>
        <v>0</v>
      </c>
      <c r="U37" s="60">
        <f t="shared" si="3"/>
        <v>0</v>
      </c>
    </row>
    <row r="38" spans="1:21" x14ac:dyDescent="0.25">
      <c r="B38" s="182"/>
      <c r="C38" s="15"/>
      <c r="D38" s="69"/>
      <c r="E38" s="134"/>
      <c r="F38" s="92"/>
      <c r="G38" s="70"/>
      <c r="H38" s="71"/>
      <c r="I38" s="393"/>
      <c r="J38" s="60"/>
      <c r="M38" s="182"/>
      <c r="N38" s="15"/>
      <c r="O38" s="69"/>
      <c r="P38" s="134"/>
      <c r="Q38" s="92"/>
      <c r="R38" s="70"/>
      <c r="S38" s="71"/>
      <c r="T38" s="393"/>
      <c r="U38" s="60"/>
    </row>
    <row r="39" spans="1:21" x14ac:dyDescent="0.25">
      <c r="B39" s="182"/>
      <c r="C39" s="15"/>
      <c r="D39" s="69"/>
      <c r="E39" s="134"/>
      <c r="F39" s="92"/>
      <c r="G39" s="70"/>
      <c r="H39" s="71"/>
      <c r="I39" s="393"/>
      <c r="J39" s="60"/>
      <c r="M39" s="182"/>
      <c r="N39" s="15"/>
      <c r="O39" s="69"/>
      <c r="P39" s="134"/>
      <c r="Q39" s="92"/>
      <c r="R39" s="70"/>
      <c r="S39" s="71"/>
      <c r="T39" s="393"/>
      <c r="U39" s="60"/>
    </row>
    <row r="40" spans="1:21" x14ac:dyDescent="0.25">
      <c r="B40" s="182"/>
      <c r="C40" s="15"/>
      <c r="D40" s="69"/>
      <c r="E40" s="134"/>
      <c r="F40" s="92"/>
      <c r="G40" s="70"/>
      <c r="H40" s="71"/>
      <c r="I40" s="393"/>
      <c r="J40" s="60"/>
      <c r="M40" s="182"/>
      <c r="N40" s="15"/>
      <c r="O40" s="69"/>
      <c r="P40" s="134"/>
      <c r="Q40" s="92"/>
      <c r="R40" s="70"/>
      <c r="S40" s="71"/>
      <c r="T40" s="393"/>
      <c r="U40" s="60"/>
    </row>
    <row r="41" spans="1:21" x14ac:dyDescent="0.25">
      <c r="B41" s="182"/>
      <c r="C41" s="15"/>
      <c r="D41" s="69"/>
      <c r="E41" s="134"/>
      <c r="F41" s="92"/>
      <c r="G41" s="70"/>
      <c r="H41" s="71"/>
      <c r="I41" s="393"/>
      <c r="J41" s="60"/>
      <c r="M41" s="182"/>
      <c r="N41" s="15"/>
      <c r="O41" s="69"/>
      <c r="P41" s="134"/>
      <c r="Q41" s="92"/>
      <c r="R41" s="70"/>
      <c r="S41" s="71"/>
      <c r="T41" s="393"/>
      <c r="U41" s="60"/>
    </row>
    <row r="42" spans="1:21" x14ac:dyDescent="0.25">
      <c r="B42" s="182"/>
      <c r="C42" s="15"/>
      <c r="D42" s="69"/>
      <c r="E42" s="134"/>
      <c r="F42" s="92"/>
      <c r="G42" s="70"/>
      <c r="H42" s="71"/>
      <c r="I42" s="393"/>
      <c r="J42" s="60"/>
      <c r="M42" s="182"/>
      <c r="N42" s="15"/>
      <c r="O42" s="69"/>
      <c r="P42" s="134"/>
      <c r="Q42" s="92"/>
      <c r="R42" s="70"/>
      <c r="S42" s="71"/>
      <c r="T42" s="393"/>
      <c r="U42" s="60"/>
    </row>
    <row r="43" spans="1:21" x14ac:dyDescent="0.25">
      <c r="B43" s="182"/>
      <c r="C43" s="15"/>
      <c r="D43" s="69"/>
      <c r="E43" s="134"/>
      <c r="F43" s="92"/>
      <c r="G43" s="70"/>
      <c r="H43" s="71"/>
      <c r="I43" s="393"/>
      <c r="J43" s="60"/>
      <c r="M43" s="182"/>
      <c r="N43" s="15"/>
      <c r="O43" s="69"/>
      <c r="P43" s="134"/>
      <c r="Q43" s="92"/>
      <c r="R43" s="70"/>
      <c r="S43" s="71"/>
      <c r="T43" s="393"/>
      <c r="U43" s="60"/>
    </row>
    <row r="44" spans="1:21" x14ac:dyDescent="0.25">
      <c r="B44" s="182"/>
      <c r="C44" s="15"/>
      <c r="D44" s="69"/>
      <c r="E44" s="134"/>
      <c r="F44" s="92"/>
      <c r="G44" s="70"/>
      <c r="H44" s="71"/>
      <c r="I44" s="393"/>
      <c r="J44" s="60"/>
      <c r="M44" s="182"/>
      <c r="N44" s="15"/>
      <c r="O44" s="69"/>
      <c r="P44" s="134"/>
      <c r="Q44" s="92"/>
      <c r="R44" s="70"/>
      <c r="S44" s="71"/>
      <c r="T44" s="393"/>
      <c r="U44" s="60"/>
    </row>
    <row r="45" spans="1:21" x14ac:dyDescent="0.25">
      <c r="B45" s="182"/>
      <c r="C45" s="15"/>
      <c r="D45" s="69"/>
      <c r="E45" s="134"/>
      <c r="F45" s="92"/>
      <c r="G45" s="70"/>
      <c r="H45" s="71"/>
      <c r="I45" s="393"/>
      <c r="J45" s="60"/>
      <c r="M45" s="182"/>
      <c r="N45" s="15"/>
      <c r="O45" s="69"/>
      <c r="P45" s="134"/>
      <c r="Q45" s="92"/>
      <c r="R45" s="70"/>
      <c r="S45" s="71"/>
      <c r="T45" s="393"/>
      <c r="U45" s="60"/>
    </row>
    <row r="46" spans="1:21" x14ac:dyDescent="0.25">
      <c r="B46" s="182"/>
      <c r="C46" s="15"/>
      <c r="D46" s="69"/>
      <c r="E46" s="134"/>
      <c r="F46" s="92"/>
      <c r="G46" s="70"/>
      <c r="H46" s="71"/>
      <c r="I46" s="393"/>
      <c r="J46" s="60"/>
      <c r="M46" s="182"/>
      <c r="N46" s="15"/>
      <c r="O46" s="69"/>
      <c r="P46" s="134"/>
      <c r="Q46" s="92"/>
      <c r="R46" s="70"/>
      <c r="S46" s="71"/>
      <c r="T46" s="393"/>
      <c r="U46" s="60"/>
    </row>
    <row r="47" spans="1:21" x14ac:dyDescent="0.25">
      <c r="B47" s="182"/>
      <c r="C47" s="15"/>
      <c r="D47" s="69"/>
      <c r="E47" s="134"/>
      <c r="F47" s="92"/>
      <c r="G47" s="70"/>
      <c r="H47" s="71"/>
      <c r="I47" s="393"/>
      <c r="J47" s="60"/>
      <c r="M47" s="182"/>
      <c r="N47" s="15"/>
      <c r="O47" s="69"/>
      <c r="P47" s="134"/>
      <c r="Q47" s="92"/>
      <c r="R47" s="70"/>
      <c r="S47" s="71"/>
      <c r="T47" s="393"/>
      <c r="U47" s="60"/>
    </row>
    <row r="48" spans="1:21" x14ac:dyDescent="0.25">
      <c r="B48" s="182"/>
      <c r="C48" s="15"/>
      <c r="D48" s="69"/>
      <c r="E48" s="134"/>
      <c r="F48" s="92"/>
      <c r="G48" s="70"/>
      <c r="H48" s="71"/>
      <c r="I48" s="393"/>
      <c r="J48" s="60"/>
      <c r="M48" s="182"/>
      <c r="N48" s="15"/>
      <c r="O48" s="69"/>
      <c r="P48" s="134"/>
      <c r="Q48" s="92"/>
      <c r="R48" s="70"/>
      <c r="S48" s="71"/>
      <c r="T48" s="393"/>
      <c r="U48" s="60"/>
    </row>
    <row r="49" spans="2:21" x14ac:dyDescent="0.25">
      <c r="B49" s="182"/>
      <c r="C49" s="15"/>
      <c r="D49" s="69"/>
      <c r="E49" s="134"/>
      <c r="F49" s="92"/>
      <c r="G49" s="70"/>
      <c r="H49" s="71"/>
      <c r="I49" s="393"/>
      <c r="J49" s="60"/>
      <c r="M49" s="182"/>
      <c r="N49" s="15"/>
      <c r="O49" s="69"/>
      <c r="P49" s="134"/>
      <c r="Q49" s="92"/>
      <c r="R49" s="70"/>
      <c r="S49" s="71"/>
      <c r="T49" s="393"/>
      <c r="U49" s="60"/>
    </row>
    <row r="50" spans="2:21" x14ac:dyDescent="0.25">
      <c r="B50" s="182"/>
      <c r="C50" s="15"/>
      <c r="D50" s="69"/>
      <c r="E50" s="134"/>
      <c r="F50" s="92"/>
      <c r="G50" s="70"/>
      <c r="H50" s="71"/>
      <c r="I50" s="393"/>
      <c r="J50" s="60"/>
      <c r="M50" s="182"/>
      <c r="N50" s="15"/>
      <c r="O50" s="69"/>
      <c r="P50" s="134"/>
      <c r="Q50" s="92"/>
      <c r="R50" s="70"/>
      <c r="S50" s="71"/>
      <c r="T50" s="393"/>
      <c r="U50" s="60"/>
    </row>
    <row r="51" spans="2:21" x14ac:dyDescent="0.25">
      <c r="B51" s="182"/>
      <c r="C51" s="15"/>
      <c r="D51" s="69"/>
      <c r="E51" s="134"/>
      <c r="F51" s="92"/>
      <c r="G51" s="70"/>
      <c r="H51" s="71"/>
      <c r="I51" s="393"/>
      <c r="J51" s="60"/>
      <c r="M51" s="182"/>
      <c r="N51" s="15"/>
      <c r="O51" s="69"/>
      <c r="P51" s="134"/>
      <c r="Q51" s="92"/>
      <c r="R51" s="70"/>
      <c r="S51" s="71"/>
      <c r="T51" s="393"/>
      <c r="U51" s="60"/>
    </row>
    <row r="52" spans="2:21" x14ac:dyDescent="0.25">
      <c r="B52" s="182"/>
      <c r="C52" s="15"/>
      <c r="D52" s="69"/>
      <c r="E52" s="134"/>
      <c r="F52" s="92"/>
      <c r="G52" s="70"/>
      <c r="H52" s="71"/>
      <c r="I52" s="393"/>
      <c r="J52" s="60"/>
      <c r="M52" s="182"/>
      <c r="N52" s="15"/>
      <c r="O52" s="69"/>
      <c r="P52" s="134"/>
      <c r="Q52" s="92"/>
      <c r="R52" s="70"/>
      <c r="S52" s="71"/>
      <c r="T52" s="393"/>
      <c r="U52" s="60"/>
    </row>
    <row r="53" spans="2:21" x14ac:dyDescent="0.25">
      <c r="B53" s="182"/>
      <c r="C53" s="15"/>
      <c r="D53" s="69"/>
      <c r="E53" s="134"/>
      <c r="F53" s="92"/>
      <c r="G53" s="70"/>
      <c r="H53" s="71"/>
      <c r="I53" s="393"/>
      <c r="J53" s="60"/>
      <c r="M53" s="182"/>
      <c r="N53" s="15"/>
      <c r="O53" s="69"/>
      <c r="P53" s="134"/>
      <c r="Q53" s="92"/>
      <c r="R53" s="70"/>
      <c r="S53" s="71"/>
      <c r="T53" s="393"/>
      <c r="U53" s="60"/>
    </row>
    <row r="54" spans="2:21" x14ac:dyDescent="0.25">
      <c r="B54" s="182"/>
      <c r="C54" s="15"/>
      <c r="D54" s="69"/>
      <c r="E54" s="134"/>
      <c r="F54" s="92"/>
      <c r="G54" s="70"/>
      <c r="H54" s="71"/>
      <c r="I54" s="393"/>
      <c r="J54" s="60"/>
      <c r="M54" s="182"/>
      <c r="N54" s="15"/>
      <c r="O54" s="69"/>
      <c r="P54" s="134"/>
      <c r="Q54" s="92"/>
      <c r="R54" s="70"/>
      <c r="S54" s="71"/>
      <c r="T54" s="393"/>
      <c r="U54" s="60"/>
    </row>
    <row r="55" spans="2:21" x14ac:dyDescent="0.25">
      <c r="B55" s="182"/>
      <c r="C55" s="15"/>
      <c r="D55" s="69"/>
      <c r="E55" s="134"/>
      <c r="F55" s="92"/>
      <c r="G55" s="70"/>
      <c r="H55" s="71"/>
      <c r="I55" s="393"/>
      <c r="J55" s="60"/>
      <c r="M55" s="182"/>
      <c r="N55" s="15"/>
      <c r="O55" s="69"/>
      <c r="P55" s="134"/>
      <c r="Q55" s="92"/>
      <c r="R55" s="70"/>
      <c r="S55" s="71"/>
      <c r="T55" s="393"/>
      <c r="U55" s="60"/>
    </row>
    <row r="56" spans="2:21" x14ac:dyDescent="0.25">
      <c r="B56" s="182"/>
      <c r="C56" s="15"/>
      <c r="D56" s="69"/>
      <c r="E56" s="134"/>
      <c r="F56" s="92"/>
      <c r="G56" s="70"/>
      <c r="H56" s="71"/>
      <c r="I56" s="393"/>
      <c r="J56" s="60"/>
      <c r="M56" s="182"/>
      <c r="N56" s="15"/>
      <c r="O56" s="69"/>
      <c r="P56" s="134"/>
      <c r="Q56" s="92"/>
      <c r="R56" s="70"/>
      <c r="S56" s="71"/>
      <c r="T56" s="393"/>
      <c r="U56" s="60"/>
    </row>
    <row r="57" spans="2:21" x14ac:dyDescent="0.25">
      <c r="B57" s="182"/>
      <c r="C57" s="15"/>
      <c r="D57" s="69"/>
      <c r="E57" s="134"/>
      <c r="F57" s="92"/>
      <c r="G57" s="70"/>
      <c r="H57" s="71"/>
      <c r="I57" s="393"/>
      <c r="J57" s="60"/>
      <c r="M57" s="182"/>
      <c r="N57" s="15"/>
      <c r="O57" s="69"/>
      <c r="P57" s="134"/>
      <c r="Q57" s="92"/>
      <c r="R57" s="70"/>
      <c r="S57" s="71"/>
      <c r="T57" s="393"/>
      <c r="U57" s="60"/>
    </row>
    <row r="58" spans="2:21" x14ac:dyDescent="0.25">
      <c r="B58" s="182"/>
      <c r="C58" s="15"/>
      <c r="D58" s="69"/>
      <c r="E58" s="134"/>
      <c r="F58" s="92"/>
      <c r="G58" s="70"/>
      <c r="H58" s="71"/>
      <c r="I58" s="393"/>
      <c r="J58" s="60"/>
      <c r="M58" s="182"/>
      <c r="N58" s="15"/>
      <c r="O58" s="69"/>
      <c r="P58" s="134"/>
      <c r="Q58" s="92"/>
      <c r="R58" s="70"/>
      <c r="S58" s="71"/>
      <c r="T58" s="393"/>
      <c r="U58" s="60"/>
    </row>
    <row r="59" spans="2:21" x14ac:dyDescent="0.25">
      <c r="B59" s="182"/>
      <c r="C59" s="15"/>
      <c r="D59" s="69"/>
      <c r="E59" s="134"/>
      <c r="F59" s="92"/>
      <c r="G59" s="70"/>
      <c r="H59" s="71"/>
      <c r="I59" s="393"/>
      <c r="J59" s="60"/>
      <c r="M59" s="182"/>
      <c r="N59" s="15"/>
      <c r="O59" s="69"/>
      <c r="P59" s="134"/>
      <c r="Q59" s="92"/>
      <c r="R59" s="70"/>
      <c r="S59" s="71"/>
      <c r="T59" s="393"/>
      <c r="U59" s="60"/>
    </row>
    <row r="60" spans="2:21" x14ac:dyDescent="0.25">
      <c r="B60" s="182"/>
      <c r="C60" s="15"/>
      <c r="D60" s="69"/>
      <c r="E60" s="134"/>
      <c r="F60" s="92"/>
      <c r="G60" s="70"/>
      <c r="H60" s="71"/>
      <c r="I60" s="393"/>
      <c r="J60" s="60"/>
      <c r="M60" s="182"/>
      <c r="N60" s="15"/>
      <c r="O60" s="69"/>
      <c r="P60" s="134"/>
      <c r="Q60" s="92"/>
      <c r="R60" s="70"/>
      <c r="S60" s="71"/>
      <c r="T60" s="393"/>
      <c r="U60" s="60"/>
    </row>
    <row r="61" spans="2:21" x14ac:dyDescent="0.25">
      <c r="B61" s="182"/>
      <c r="C61" s="15"/>
      <c r="D61" s="69"/>
      <c r="E61" s="134"/>
      <c r="F61" s="92"/>
      <c r="G61" s="70"/>
      <c r="H61" s="71"/>
      <c r="I61" s="393"/>
      <c r="J61" s="60"/>
      <c r="M61" s="182"/>
      <c r="N61" s="15"/>
      <c r="O61" s="69"/>
      <c r="P61" s="134"/>
      <c r="Q61" s="92"/>
      <c r="R61" s="70"/>
      <c r="S61" s="71"/>
      <c r="T61" s="393"/>
      <c r="U61" s="60"/>
    </row>
    <row r="62" spans="2:21" x14ac:dyDescent="0.25">
      <c r="B62" s="182"/>
      <c r="C62" s="15"/>
      <c r="D62" s="69"/>
      <c r="E62" s="134"/>
      <c r="F62" s="92"/>
      <c r="G62" s="70"/>
      <c r="H62" s="71"/>
      <c r="I62" s="393"/>
      <c r="J62" s="60"/>
      <c r="M62" s="182"/>
      <c r="N62" s="15"/>
      <c r="O62" s="69"/>
      <c r="P62" s="134"/>
      <c r="Q62" s="92"/>
      <c r="R62" s="70"/>
      <c r="S62" s="71"/>
      <c r="T62" s="393"/>
      <c r="U62" s="60"/>
    </row>
    <row r="63" spans="2:21" x14ac:dyDescent="0.25">
      <c r="B63" s="182"/>
      <c r="C63" s="15"/>
      <c r="D63" s="69"/>
      <c r="E63" s="134"/>
      <c r="F63" s="92"/>
      <c r="G63" s="70"/>
      <c r="H63" s="71"/>
      <c r="I63" s="393"/>
      <c r="J63" s="60"/>
      <c r="M63" s="182"/>
      <c r="N63" s="15"/>
      <c r="O63" s="69"/>
      <c r="P63" s="134"/>
      <c r="Q63" s="92"/>
      <c r="R63" s="70"/>
      <c r="S63" s="71"/>
      <c r="T63" s="393"/>
      <c r="U63" s="60"/>
    </row>
    <row r="64" spans="2:21" x14ac:dyDescent="0.25">
      <c r="B64" s="182"/>
      <c r="C64" s="15"/>
      <c r="D64" s="69"/>
      <c r="E64" s="134"/>
      <c r="F64" s="92"/>
      <c r="G64" s="70"/>
      <c r="H64" s="71"/>
      <c r="I64" s="393"/>
      <c r="J64" s="60"/>
      <c r="M64" s="182"/>
      <c r="N64" s="15"/>
      <c r="O64" s="69"/>
      <c r="P64" s="134"/>
      <c r="Q64" s="92"/>
      <c r="R64" s="70"/>
      <c r="S64" s="71"/>
      <c r="T64" s="393"/>
      <c r="U64" s="60"/>
    </row>
    <row r="65" spans="1:21" x14ac:dyDescent="0.25">
      <c r="B65" s="182"/>
      <c r="C65" s="15"/>
      <c r="D65" s="69"/>
      <c r="E65" s="134"/>
      <c r="F65" s="92"/>
      <c r="G65" s="70"/>
      <c r="H65" s="71"/>
      <c r="I65" s="393"/>
      <c r="J65" s="60"/>
      <c r="M65" s="182"/>
      <c r="N65" s="15"/>
      <c r="O65" s="69"/>
      <c r="P65" s="134"/>
      <c r="Q65" s="92"/>
      <c r="R65" s="70"/>
      <c r="S65" s="71"/>
      <c r="T65" s="393"/>
      <c r="U65" s="60"/>
    </row>
    <row r="66" spans="1:21" x14ac:dyDescent="0.25">
      <c r="B66" s="182"/>
      <c r="C66" s="15"/>
      <c r="D66" s="69"/>
      <c r="E66" s="134"/>
      <c r="F66" s="92"/>
      <c r="G66" s="70"/>
      <c r="H66" s="71"/>
      <c r="I66" s="393"/>
      <c r="J66" s="60"/>
      <c r="M66" s="182"/>
      <c r="N66" s="15"/>
      <c r="O66" s="69"/>
      <c r="P66" s="134"/>
      <c r="Q66" s="92"/>
      <c r="R66" s="70"/>
      <c r="S66" s="71"/>
      <c r="T66" s="393"/>
      <c r="U66" s="60"/>
    </row>
    <row r="67" spans="1:21" x14ac:dyDescent="0.25">
      <c r="B67" s="182"/>
      <c r="C67" s="15"/>
      <c r="D67" s="69"/>
      <c r="E67" s="134"/>
      <c r="F67" s="92"/>
      <c r="G67" s="70"/>
      <c r="H67" s="71"/>
      <c r="I67" s="393"/>
      <c r="J67" s="60"/>
      <c r="M67" s="182"/>
      <c r="N67" s="15"/>
      <c r="O67" s="69"/>
      <c r="P67" s="134"/>
      <c r="Q67" s="92"/>
      <c r="R67" s="70"/>
      <c r="S67" s="71"/>
      <c r="T67" s="393"/>
      <c r="U67" s="60"/>
    </row>
    <row r="68" spans="1:21" x14ac:dyDescent="0.25">
      <c r="B68" s="182"/>
      <c r="C68" s="15"/>
      <c r="D68" s="69"/>
      <c r="E68" s="134"/>
      <c r="F68" s="92"/>
      <c r="G68" s="70"/>
      <c r="H68" s="71"/>
      <c r="I68" s="393"/>
      <c r="J68" s="60"/>
      <c r="M68" s="182"/>
      <c r="N68" s="15"/>
      <c r="O68" s="69"/>
      <c r="P68" s="134"/>
      <c r="Q68" s="92"/>
      <c r="R68" s="70"/>
      <c r="S68" s="71"/>
      <c r="T68" s="393"/>
      <c r="U68" s="60"/>
    </row>
    <row r="69" spans="1:21" x14ac:dyDescent="0.25">
      <c r="B69" s="182"/>
      <c r="C69" s="15"/>
      <c r="D69" s="69"/>
      <c r="E69" s="134"/>
      <c r="F69" s="92"/>
      <c r="G69" s="70"/>
      <c r="H69" s="71"/>
      <c r="I69" s="393"/>
      <c r="J69" s="60"/>
      <c r="M69" s="182"/>
      <c r="N69" s="15"/>
      <c r="O69" s="69"/>
      <c r="P69" s="134"/>
      <c r="Q69" s="92"/>
      <c r="R69" s="70"/>
      <c r="S69" s="71"/>
      <c r="T69" s="393"/>
      <c r="U69" s="60"/>
    </row>
    <row r="70" spans="1:21" x14ac:dyDescent="0.25">
      <c r="B70" s="182"/>
      <c r="C70" s="15"/>
      <c r="D70" s="69"/>
      <c r="E70" s="134"/>
      <c r="F70" s="92"/>
      <c r="G70" s="70"/>
      <c r="H70" s="71"/>
      <c r="I70" s="393"/>
      <c r="J70" s="60"/>
      <c r="M70" s="182"/>
      <c r="N70" s="15"/>
      <c r="O70" s="69"/>
      <c r="P70" s="134"/>
      <c r="Q70" s="92"/>
      <c r="R70" s="70"/>
      <c r="S70" s="71"/>
      <c r="T70" s="393"/>
      <c r="U70" s="60"/>
    </row>
    <row r="71" spans="1:21" x14ac:dyDescent="0.25">
      <c r="B71" s="182"/>
      <c r="C71" s="15"/>
      <c r="D71" s="69"/>
      <c r="E71" s="134"/>
      <c r="F71" s="92"/>
      <c r="G71" s="70"/>
      <c r="H71" s="71"/>
      <c r="I71" s="393"/>
      <c r="J71" s="60"/>
      <c r="M71" s="182"/>
      <c r="N71" s="15"/>
      <c r="O71" s="69"/>
      <c r="P71" s="134"/>
      <c r="Q71" s="92"/>
      <c r="R71" s="70"/>
      <c r="S71" s="71"/>
      <c r="T71" s="393"/>
      <c r="U71" s="60"/>
    </row>
    <row r="72" spans="1:21" ht="15.75" thickBot="1" x14ac:dyDescent="0.3">
      <c r="A72" s="121"/>
      <c r="B72" s="182">
        <f t="shared" ref="B72" si="9">B37-C72</f>
        <v>0</v>
      </c>
      <c r="C72" s="37"/>
      <c r="D72" s="69">
        <v>0</v>
      </c>
      <c r="E72" s="246"/>
      <c r="F72" s="92">
        <f t="shared" si="8"/>
        <v>0</v>
      </c>
      <c r="G72" s="139"/>
      <c r="H72" s="198"/>
      <c r="I72" s="393">
        <f>I37-F72</f>
        <v>0</v>
      </c>
      <c r="J72" s="60">
        <f>SUM(J9:J37)</f>
        <v>93814.680000000008</v>
      </c>
      <c r="L72" s="121"/>
      <c r="M72" s="182">
        <f t="shared" ref="M72" si="10">M37-N72</f>
        <v>0</v>
      </c>
      <c r="N72" s="37"/>
      <c r="O72" s="69">
        <v>0</v>
      </c>
      <c r="P72" s="246"/>
      <c r="Q72" s="92">
        <f t="shared" ref="Q72" si="11">O72</f>
        <v>0</v>
      </c>
      <c r="R72" s="139"/>
      <c r="S72" s="198"/>
      <c r="T72" s="393">
        <f>T37-Q72</f>
        <v>0</v>
      </c>
      <c r="U72" s="60">
        <f>SUM(U9:U37)</f>
        <v>103173.26999999999</v>
      </c>
    </row>
    <row r="73" spans="1:21" ht="15.75" thickTop="1" x14ac:dyDescent="0.25">
      <c r="A73" s="47">
        <f>SUM(A72:A72)</f>
        <v>0</v>
      </c>
      <c r="C73" s="73"/>
      <c r="D73" s="105">
        <f>SUM(D9:D72)</f>
        <v>1008.76</v>
      </c>
      <c r="E73" s="134"/>
      <c r="F73" s="105">
        <f>SUM(F9:F72)</f>
        <v>1008.76</v>
      </c>
      <c r="G73" s="152"/>
      <c r="H73" s="152"/>
      <c r="L73" s="47">
        <f>SUM(L72:L72)</f>
        <v>0</v>
      </c>
      <c r="N73" s="73"/>
      <c r="O73" s="105">
        <f>SUM(O9:O72)</f>
        <v>1109.3899999999999</v>
      </c>
      <c r="P73" s="134"/>
      <c r="Q73" s="105">
        <f>SUM(Q9:Q72)</f>
        <v>1109.3899999999999</v>
      </c>
      <c r="R73" s="152"/>
      <c r="S73" s="152"/>
    </row>
    <row r="74" spans="1:21" ht="15.75" thickBot="1" x14ac:dyDescent="0.3">
      <c r="A74" s="47"/>
      <c r="L74" s="47"/>
    </row>
    <row r="75" spans="1:21" x14ac:dyDescent="0.25">
      <c r="B75" s="184"/>
      <c r="D75" s="1375" t="s">
        <v>21</v>
      </c>
      <c r="E75" s="1376"/>
      <c r="F75" s="141">
        <f>G5-F73</f>
        <v>0</v>
      </c>
      <c r="M75" s="184"/>
      <c r="O75" s="1375" t="s">
        <v>21</v>
      </c>
      <c r="P75" s="1376"/>
      <c r="Q75" s="141">
        <f>R5-Q73</f>
        <v>0</v>
      </c>
    </row>
    <row r="76" spans="1:21" ht="15.75" thickBot="1" x14ac:dyDescent="0.3">
      <c r="A76" s="125"/>
      <c r="D76" s="262" t="s">
        <v>4</v>
      </c>
      <c r="E76" s="263"/>
      <c r="F76" s="49">
        <v>0</v>
      </c>
      <c r="L76" s="125"/>
      <c r="O76" s="1051" t="s">
        <v>4</v>
      </c>
      <c r="P76" s="1052"/>
      <c r="Q76" s="49">
        <v>0</v>
      </c>
    </row>
    <row r="77" spans="1:21" x14ac:dyDescent="0.25">
      <c r="B77" s="184"/>
      <c r="M77" s="184"/>
    </row>
    <row r="78" spans="1:21" ht="16.5" customHeight="1" x14ac:dyDescent="0.25"/>
  </sheetData>
  <sortState ref="C9:H15">
    <sortCondition ref="G9:G15"/>
  </sortState>
  <mergeCells count="8">
    <mergeCell ref="A1:G1"/>
    <mergeCell ref="B5:B6"/>
    <mergeCell ref="D75:E75"/>
    <mergeCell ref="A5:A6"/>
    <mergeCell ref="L1:R1"/>
    <mergeCell ref="L5:L6"/>
    <mergeCell ref="M5:M6"/>
    <mergeCell ref="O75:P75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I83"/>
  <sheetViews>
    <sheetView workbookViewId="0">
      <selection activeCell="C19" sqref="C19"/>
    </sheetView>
  </sheetViews>
  <sheetFormatPr baseColWidth="10" defaultRowHeight="15" x14ac:dyDescent="0.25"/>
  <cols>
    <col min="1" max="1" width="31.42578125" customWidth="1"/>
    <col min="2" max="2" width="18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390" t="s">
        <v>339</v>
      </c>
      <c r="B1" s="1390"/>
      <c r="C1" s="1390"/>
      <c r="D1" s="1390"/>
      <c r="E1" s="1390"/>
      <c r="F1" s="1390"/>
      <c r="G1" s="1390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29"/>
      <c r="D4" s="134"/>
      <c r="E4" s="78"/>
      <c r="F4" s="62"/>
      <c r="G4" s="155"/>
      <c r="H4" s="155"/>
    </row>
    <row r="5" spans="1:9" x14ac:dyDescent="0.25">
      <c r="A5" s="1391" t="s">
        <v>508</v>
      </c>
      <c r="B5" s="1387" t="s">
        <v>507</v>
      </c>
      <c r="C5" s="391">
        <v>52</v>
      </c>
      <c r="D5" s="134">
        <v>44921</v>
      </c>
      <c r="E5" s="208">
        <v>577.23</v>
      </c>
      <c r="F5" s="62">
        <v>19</v>
      </c>
      <c r="G5" s="5"/>
    </row>
    <row r="6" spans="1:9" x14ac:dyDescent="0.25">
      <c r="A6" s="1391"/>
      <c r="B6" s="1387"/>
      <c r="C6" s="229"/>
      <c r="D6" s="134"/>
      <c r="E6" s="78"/>
      <c r="F6" s="62"/>
      <c r="G6" s="47">
        <f>F78</f>
        <v>577.23</v>
      </c>
      <c r="H6" s="7">
        <f>E6-G6+E7+E5-G5</f>
        <v>0</v>
      </c>
    </row>
    <row r="7" spans="1:9" ht="15.75" thickBot="1" x14ac:dyDescent="0.3">
      <c r="B7" s="19"/>
      <c r="C7" s="483"/>
      <c r="D7" s="134"/>
      <c r="E7" s="69"/>
      <c r="F7" s="73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83">
        <f>F6-C9+F5+F7+F4</f>
        <v>17</v>
      </c>
      <c r="C9" s="15">
        <v>2</v>
      </c>
      <c r="D9" s="69">
        <v>58.26</v>
      </c>
      <c r="E9" s="202">
        <v>44922</v>
      </c>
      <c r="F9" s="69">
        <f t="shared" ref="F9:F10" si="0">D9</f>
        <v>58.26</v>
      </c>
      <c r="G9" s="70" t="s">
        <v>812</v>
      </c>
      <c r="H9" s="71">
        <v>54</v>
      </c>
      <c r="I9" s="105">
        <f>E6-F9+E5+E7+E4</f>
        <v>518.97</v>
      </c>
    </row>
    <row r="10" spans="1:9" x14ac:dyDescent="0.25">
      <c r="A10" s="194"/>
      <c r="B10" s="83">
        <f>B9-C10</f>
        <v>13</v>
      </c>
      <c r="C10" s="15">
        <v>4</v>
      </c>
      <c r="D10" s="69">
        <v>120.47</v>
      </c>
      <c r="E10" s="202">
        <v>44924</v>
      </c>
      <c r="F10" s="69">
        <f t="shared" si="0"/>
        <v>120.47</v>
      </c>
      <c r="G10" s="70" t="s">
        <v>843</v>
      </c>
      <c r="H10" s="71">
        <v>54</v>
      </c>
      <c r="I10" s="105">
        <f>I9-F10</f>
        <v>398.5</v>
      </c>
    </row>
    <row r="11" spans="1:9" x14ac:dyDescent="0.25">
      <c r="A11" s="182"/>
      <c r="B11" s="83">
        <f t="shared" ref="B11:B54" si="1">B10-C11</f>
        <v>8</v>
      </c>
      <c r="C11" s="15">
        <v>5</v>
      </c>
      <c r="D11" s="69">
        <v>149.24</v>
      </c>
      <c r="E11" s="202">
        <v>44924</v>
      </c>
      <c r="F11" s="69">
        <f>D11</f>
        <v>149.24</v>
      </c>
      <c r="G11" s="70" t="s">
        <v>849</v>
      </c>
      <c r="H11" s="71">
        <v>54</v>
      </c>
      <c r="I11" s="105">
        <f t="shared" ref="I11:I74" si="2">I10-F11</f>
        <v>249.26</v>
      </c>
    </row>
    <row r="12" spans="1:9" x14ac:dyDescent="0.25">
      <c r="A12" s="182"/>
      <c r="B12" s="83">
        <f t="shared" si="1"/>
        <v>4</v>
      </c>
      <c r="C12" s="15">
        <v>4</v>
      </c>
      <c r="D12" s="69">
        <v>120.97</v>
      </c>
      <c r="E12" s="202">
        <v>44926</v>
      </c>
      <c r="F12" s="69">
        <f>D12</f>
        <v>120.97</v>
      </c>
      <c r="G12" s="70" t="s">
        <v>864</v>
      </c>
      <c r="H12" s="71">
        <v>54</v>
      </c>
      <c r="I12" s="105">
        <f t="shared" si="2"/>
        <v>128.29</v>
      </c>
    </row>
    <row r="13" spans="1:9" x14ac:dyDescent="0.25">
      <c r="A13" s="82" t="s">
        <v>33</v>
      </c>
      <c r="B13" s="83">
        <f t="shared" si="1"/>
        <v>0</v>
      </c>
      <c r="C13" s="15">
        <v>4</v>
      </c>
      <c r="D13" s="69">
        <v>128.29</v>
      </c>
      <c r="E13" s="202">
        <v>44930</v>
      </c>
      <c r="F13" s="69">
        <f t="shared" ref="F13:F73" si="3">D13</f>
        <v>128.29</v>
      </c>
      <c r="G13" s="70" t="s">
        <v>874</v>
      </c>
      <c r="H13" s="71">
        <v>54</v>
      </c>
      <c r="I13" s="105">
        <f t="shared" si="2"/>
        <v>0</v>
      </c>
    </row>
    <row r="14" spans="1:9" x14ac:dyDescent="0.25">
      <c r="A14" s="73"/>
      <c r="B14" s="83">
        <f t="shared" si="1"/>
        <v>0</v>
      </c>
      <c r="C14" s="15"/>
      <c r="D14" s="69"/>
      <c r="E14" s="202"/>
      <c r="F14" s="1165">
        <f t="shared" si="3"/>
        <v>0</v>
      </c>
      <c r="G14" s="1166"/>
      <c r="H14" s="1167"/>
      <c r="I14" s="1163">
        <f t="shared" si="2"/>
        <v>0</v>
      </c>
    </row>
    <row r="15" spans="1:9" x14ac:dyDescent="0.25">
      <c r="A15" s="73"/>
      <c r="B15" s="83">
        <f t="shared" si="1"/>
        <v>0</v>
      </c>
      <c r="C15" s="15"/>
      <c r="D15" s="69"/>
      <c r="E15" s="202"/>
      <c r="F15" s="1165">
        <f t="shared" si="3"/>
        <v>0</v>
      </c>
      <c r="G15" s="1166"/>
      <c r="H15" s="1167"/>
      <c r="I15" s="1163">
        <f t="shared" si="2"/>
        <v>0</v>
      </c>
    </row>
    <row r="16" spans="1:9" x14ac:dyDescent="0.25">
      <c r="B16" s="83">
        <f t="shared" si="1"/>
        <v>0</v>
      </c>
      <c r="C16" s="15"/>
      <c r="D16" s="69"/>
      <c r="E16" s="202"/>
      <c r="F16" s="1165">
        <f t="shared" si="3"/>
        <v>0</v>
      </c>
      <c r="G16" s="1166"/>
      <c r="H16" s="1167"/>
      <c r="I16" s="1163">
        <f t="shared" si="2"/>
        <v>0</v>
      </c>
    </row>
    <row r="17" spans="1:9" x14ac:dyDescent="0.25">
      <c r="B17" s="83">
        <f t="shared" si="1"/>
        <v>0</v>
      </c>
      <c r="C17" s="15"/>
      <c r="D17" s="69"/>
      <c r="E17" s="202"/>
      <c r="F17" s="1165">
        <f t="shared" si="3"/>
        <v>0</v>
      </c>
      <c r="G17" s="1166"/>
      <c r="H17" s="1167"/>
      <c r="I17" s="1163">
        <f t="shared" si="2"/>
        <v>0</v>
      </c>
    </row>
    <row r="18" spans="1:9" x14ac:dyDescent="0.25">
      <c r="A18" s="122"/>
      <c r="B18" s="83">
        <f t="shared" si="1"/>
        <v>0</v>
      </c>
      <c r="C18" s="15"/>
      <c r="D18" s="69"/>
      <c r="E18" s="202"/>
      <c r="F18" s="69">
        <f t="shared" si="3"/>
        <v>0</v>
      </c>
      <c r="G18" s="70"/>
      <c r="H18" s="71"/>
      <c r="I18" s="105">
        <f t="shared" si="2"/>
        <v>0</v>
      </c>
    </row>
    <row r="19" spans="1:9" x14ac:dyDescent="0.25">
      <c r="A19" s="122"/>
      <c r="B19" s="83">
        <f t="shared" si="1"/>
        <v>0</v>
      </c>
      <c r="C19" s="15"/>
      <c r="D19" s="69"/>
      <c r="E19" s="202"/>
      <c r="F19" s="69">
        <f t="shared" si="3"/>
        <v>0</v>
      </c>
      <c r="G19" s="70"/>
      <c r="H19" s="71"/>
      <c r="I19" s="105">
        <f t="shared" si="2"/>
        <v>0</v>
      </c>
    </row>
    <row r="20" spans="1:9" x14ac:dyDescent="0.25">
      <c r="A20" s="122"/>
      <c r="B20" s="83">
        <f t="shared" si="1"/>
        <v>0</v>
      </c>
      <c r="C20" s="15"/>
      <c r="D20" s="69"/>
      <c r="E20" s="202"/>
      <c r="F20" s="69">
        <f t="shared" si="3"/>
        <v>0</v>
      </c>
      <c r="G20" s="70"/>
      <c r="H20" s="71"/>
      <c r="I20" s="105">
        <f t="shared" si="2"/>
        <v>0</v>
      </c>
    </row>
    <row r="21" spans="1:9" x14ac:dyDescent="0.25">
      <c r="A21" s="122"/>
      <c r="B21" s="83">
        <f t="shared" si="1"/>
        <v>0</v>
      </c>
      <c r="C21" s="15"/>
      <c r="D21" s="69"/>
      <c r="E21" s="202"/>
      <c r="F21" s="69">
        <f t="shared" si="3"/>
        <v>0</v>
      </c>
      <c r="G21" s="70"/>
      <c r="H21" s="71"/>
      <c r="I21" s="105">
        <f t="shared" si="2"/>
        <v>0</v>
      </c>
    </row>
    <row r="22" spans="1:9" x14ac:dyDescent="0.25">
      <c r="A22" s="122"/>
      <c r="B22" s="232">
        <f t="shared" si="1"/>
        <v>0</v>
      </c>
      <c r="C22" s="15"/>
      <c r="D22" s="69"/>
      <c r="E22" s="202"/>
      <c r="F22" s="69">
        <f t="shared" si="3"/>
        <v>0</v>
      </c>
      <c r="G22" s="70"/>
      <c r="H22" s="71"/>
      <c r="I22" s="105">
        <f t="shared" si="2"/>
        <v>0</v>
      </c>
    </row>
    <row r="23" spans="1:9" x14ac:dyDescent="0.25">
      <c r="A23" s="123"/>
      <c r="B23" s="232">
        <f t="shared" si="1"/>
        <v>0</v>
      </c>
      <c r="C23" s="15"/>
      <c r="D23" s="69"/>
      <c r="E23" s="202"/>
      <c r="F23" s="69">
        <f t="shared" si="3"/>
        <v>0</v>
      </c>
      <c r="G23" s="70"/>
      <c r="H23" s="71"/>
      <c r="I23" s="105">
        <f t="shared" si="2"/>
        <v>0</v>
      </c>
    </row>
    <row r="24" spans="1:9" x14ac:dyDescent="0.25">
      <c r="A24" s="122"/>
      <c r="B24" s="232">
        <f t="shared" si="1"/>
        <v>0</v>
      </c>
      <c r="C24" s="15"/>
      <c r="D24" s="69"/>
      <c r="E24" s="202"/>
      <c r="F24" s="69">
        <f t="shared" si="3"/>
        <v>0</v>
      </c>
      <c r="G24" s="70"/>
      <c r="H24" s="71"/>
      <c r="I24" s="105">
        <f t="shared" si="2"/>
        <v>0</v>
      </c>
    </row>
    <row r="25" spans="1:9" x14ac:dyDescent="0.25">
      <c r="A25" s="122"/>
      <c r="B25" s="232">
        <f t="shared" si="1"/>
        <v>0</v>
      </c>
      <c r="C25" s="15"/>
      <c r="D25" s="69"/>
      <c r="E25" s="202"/>
      <c r="F25" s="69">
        <f t="shared" si="3"/>
        <v>0</v>
      </c>
      <c r="G25" s="70"/>
      <c r="H25" s="71"/>
      <c r="I25" s="105">
        <f t="shared" si="2"/>
        <v>0</v>
      </c>
    </row>
    <row r="26" spans="1:9" x14ac:dyDescent="0.25">
      <c r="A26" s="122"/>
      <c r="B26" s="182">
        <f t="shared" si="1"/>
        <v>0</v>
      </c>
      <c r="C26" s="15"/>
      <c r="D26" s="69"/>
      <c r="E26" s="202"/>
      <c r="F26" s="69">
        <f t="shared" si="3"/>
        <v>0</v>
      </c>
      <c r="G26" s="70"/>
      <c r="H26" s="71"/>
      <c r="I26" s="105">
        <f t="shared" si="2"/>
        <v>0</v>
      </c>
    </row>
    <row r="27" spans="1:9" x14ac:dyDescent="0.25">
      <c r="A27" s="122"/>
      <c r="B27" s="232">
        <f t="shared" si="1"/>
        <v>0</v>
      </c>
      <c r="C27" s="15"/>
      <c r="D27" s="69"/>
      <c r="E27" s="202"/>
      <c r="F27" s="69">
        <f t="shared" si="3"/>
        <v>0</v>
      </c>
      <c r="G27" s="70"/>
      <c r="H27" s="71"/>
      <c r="I27" s="105">
        <f t="shared" si="2"/>
        <v>0</v>
      </c>
    </row>
    <row r="28" spans="1:9" x14ac:dyDescent="0.25">
      <c r="A28" s="122"/>
      <c r="B28" s="182">
        <f t="shared" si="1"/>
        <v>0</v>
      </c>
      <c r="C28" s="15"/>
      <c r="D28" s="69"/>
      <c r="E28" s="202"/>
      <c r="F28" s="69">
        <f t="shared" si="3"/>
        <v>0</v>
      </c>
      <c r="G28" s="70"/>
      <c r="H28" s="71"/>
      <c r="I28" s="105">
        <f t="shared" si="2"/>
        <v>0</v>
      </c>
    </row>
    <row r="29" spans="1:9" x14ac:dyDescent="0.25">
      <c r="A29" s="122"/>
      <c r="B29" s="232">
        <f t="shared" si="1"/>
        <v>0</v>
      </c>
      <c r="C29" s="15"/>
      <c r="D29" s="69"/>
      <c r="E29" s="202"/>
      <c r="F29" s="69">
        <f t="shared" si="3"/>
        <v>0</v>
      </c>
      <c r="G29" s="70"/>
      <c r="H29" s="71"/>
      <c r="I29" s="105">
        <f t="shared" si="2"/>
        <v>0</v>
      </c>
    </row>
    <row r="30" spans="1:9" x14ac:dyDescent="0.25">
      <c r="A30" s="122"/>
      <c r="B30" s="232">
        <f t="shared" si="1"/>
        <v>0</v>
      </c>
      <c r="C30" s="15"/>
      <c r="D30" s="69"/>
      <c r="E30" s="202"/>
      <c r="F30" s="69">
        <f t="shared" si="3"/>
        <v>0</v>
      </c>
      <c r="G30" s="70"/>
      <c r="H30" s="71"/>
      <c r="I30" s="105">
        <f t="shared" si="2"/>
        <v>0</v>
      </c>
    </row>
    <row r="31" spans="1:9" x14ac:dyDescent="0.25">
      <c r="A31" s="122"/>
      <c r="B31" s="232">
        <f t="shared" si="1"/>
        <v>0</v>
      </c>
      <c r="C31" s="15"/>
      <c r="D31" s="69"/>
      <c r="E31" s="202"/>
      <c r="F31" s="69">
        <f t="shared" si="3"/>
        <v>0</v>
      </c>
      <c r="G31" s="70"/>
      <c r="H31" s="71"/>
      <c r="I31" s="105">
        <f t="shared" si="2"/>
        <v>0</v>
      </c>
    </row>
    <row r="32" spans="1:9" x14ac:dyDescent="0.25">
      <c r="A32" s="122"/>
      <c r="B32" s="232">
        <f t="shared" si="1"/>
        <v>0</v>
      </c>
      <c r="C32" s="15"/>
      <c r="D32" s="69"/>
      <c r="E32" s="202"/>
      <c r="F32" s="69">
        <f t="shared" si="3"/>
        <v>0</v>
      </c>
      <c r="G32" s="70"/>
      <c r="H32" s="71"/>
      <c r="I32" s="105">
        <f t="shared" si="2"/>
        <v>0</v>
      </c>
    </row>
    <row r="33" spans="1:9" x14ac:dyDescent="0.25">
      <c r="A33" s="122"/>
      <c r="B33" s="232">
        <f t="shared" si="1"/>
        <v>0</v>
      </c>
      <c r="C33" s="15"/>
      <c r="D33" s="69"/>
      <c r="E33" s="202"/>
      <c r="F33" s="69">
        <f t="shared" si="3"/>
        <v>0</v>
      </c>
      <c r="G33" s="70"/>
      <c r="H33" s="71"/>
      <c r="I33" s="105">
        <f t="shared" si="2"/>
        <v>0</v>
      </c>
    </row>
    <row r="34" spans="1:9" x14ac:dyDescent="0.25">
      <c r="A34" s="122"/>
      <c r="B34" s="232">
        <f t="shared" si="1"/>
        <v>0</v>
      </c>
      <c r="C34" s="15"/>
      <c r="D34" s="69"/>
      <c r="E34" s="202"/>
      <c r="F34" s="69">
        <f t="shared" si="3"/>
        <v>0</v>
      </c>
      <c r="G34" s="70"/>
      <c r="H34" s="71"/>
      <c r="I34" s="105">
        <f t="shared" si="2"/>
        <v>0</v>
      </c>
    </row>
    <row r="35" spans="1:9" x14ac:dyDescent="0.25">
      <c r="A35" s="122"/>
      <c r="B35" s="232">
        <f t="shared" si="1"/>
        <v>0</v>
      </c>
      <c r="C35" s="15"/>
      <c r="D35" s="69"/>
      <c r="E35" s="202"/>
      <c r="F35" s="69">
        <f t="shared" si="3"/>
        <v>0</v>
      </c>
      <c r="G35" s="70"/>
      <c r="H35" s="71"/>
      <c r="I35" s="105">
        <f t="shared" si="2"/>
        <v>0</v>
      </c>
    </row>
    <row r="36" spans="1:9" x14ac:dyDescent="0.25">
      <c r="A36" s="122" t="s">
        <v>22</v>
      </c>
      <c r="B36" s="232">
        <f t="shared" si="1"/>
        <v>0</v>
      </c>
      <c r="C36" s="15"/>
      <c r="D36" s="69"/>
      <c r="E36" s="202"/>
      <c r="F36" s="69">
        <f t="shared" si="3"/>
        <v>0</v>
      </c>
      <c r="G36" s="70"/>
      <c r="H36" s="71"/>
      <c r="I36" s="105">
        <f t="shared" si="2"/>
        <v>0</v>
      </c>
    </row>
    <row r="37" spans="1:9" x14ac:dyDescent="0.25">
      <c r="A37" s="123"/>
      <c r="B37" s="232">
        <f t="shared" si="1"/>
        <v>0</v>
      </c>
      <c r="C37" s="15"/>
      <c r="D37" s="69"/>
      <c r="E37" s="202"/>
      <c r="F37" s="69">
        <f t="shared" si="3"/>
        <v>0</v>
      </c>
      <c r="G37" s="70"/>
      <c r="H37" s="71"/>
      <c r="I37" s="105">
        <f t="shared" si="2"/>
        <v>0</v>
      </c>
    </row>
    <row r="38" spans="1:9" x14ac:dyDescent="0.25">
      <c r="A38" s="122"/>
      <c r="B38" s="232">
        <f t="shared" si="1"/>
        <v>0</v>
      </c>
      <c r="C38" s="15"/>
      <c r="D38" s="69"/>
      <c r="E38" s="202"/>
      <c r="F38" s="69">
        <f t="shared" si="3"/>
        <v>0</v>
      </c>
      <c r="G38" s="70"/>
      <c r="H38" s="71"/>
      <c r="I38" s="105">
        <f t="shared" si="2"/>
        <v>0</v>
      </c>
    </row>
    <row r="39" spans="1:9" x14ac:dyDescent="0.25">
      <c r="A39" s="122"/>
      <c r="B39" s="83">
        <f t="shared" si="1"/>
        <v>0</v>
      </c>
      <c r="C39" s="15"/>
      <c r="D39" s="69"/>
      <c r="E39" s="202"/>
      <c r="F39" s="69">
        <f t="shared" si="3"/>
        <v>0</v>
      </c>
      <c r="G39" s="70"/>
      <c r="H39" s="71"/>
      <c r="I39" s="105">
        <f t="shared" si="2"/>
        <v>0</v>
      </c>
    </row>
    <row r="40" spans="1:9" x14ac:dyDescent="0.25">
      <c r="A40" s="122"/>
      <c r="B40" s="83">
        <f t="shared" si="1"/>
        <v>0</v>
      </c>
      <c r="C40" s="15"/>
      <c r="D40" s="69"/>
      <c r="E40" s="202"/>
      <c r="F40" s="69">
        <f t="shared" si="3"/>
        <v>0</v>
      </c>
      <c r="G40" s="70"/>
      <c r="H40" s="71"/>
      <c r="I40" s="105">
        <f t="shared" si="2"/>
        <v>0</v>
      </c>
    </row>
    <row r="41" spans="1:9" x14ac:dyDescent="0.25">
      <c r="A41" s="122"/>
      <c r="B41" s="83">
        <f t="shared" si="1"/>
        <v>0</v>
      </c>
      <c r="C41" s="15"/>
      <c r="D41" s="69"/>
      <c r="E41" s="202"/>
      <c r="F41" s="69">
        <f t="shared" si="3"/>
        <v>0</v>
      </c>
      <c r="G41" s="70"/>
      <c r="H41" s="71"/>
      <c r="I41" s="105">
        <f t="shared" si="2"/>
        <v>0</v>
      </c>
    </row>
    <row r="42" spans="1:9" x14ac:dyDescent="0.25">
      <c r="A42" s="122"/>
      <c r="B42" s="83">
        <f t="shared" si="1"/>
        <v>0</v>
      </c>
      <c r="C42" s="15"/>
      <c r="D42" s="69"/>
      <c r="E42" s="202"/>
      <c r="F42" s="69">
        <f t="shared" si="3"/>
        <v>0</v>
      </c>
      <c r="G42" s="70"/>
      <c r="H42" s="71"/>
      <c r="I42" s="105">
        <f t="shared" si="2"/>
        <v>0</v>
      </c>
    </row>
    <row r="43" spans="1:9" x14ac:dyDescent="0.25">
      <c r="A43" s="122"/>
      <c r="B43" s="83">
        <f t="shared" si="1"/>
        <v>0</v>
      </c>
      <c r="C43" s="15"/>
      <c r="D43" s="69"/>
      <c r="E43" s="202"/>
      <c r="F43" s="69">
        <f t="shared" si="3"/>
        <v>0</v>
      </c>
      <c r="G43" s="70"/>
      <c r="H43" s="71"/>
      <c r="I43" s="105">
        <f t="shared" si="2"/>
        <v>0</v>
      </c>
    </row>
    <row r="44" spans="1:9" x14ac:dyDescent="0.25">
      <c r="A44" s="122"/>
      <c r="B44" s="83">
        <f t="shared" si="1"/>
        <v>0</v>
      </c>
      <c r="C44" s="15"/>
      <c r="D44" s="69"/>
      <c r="E44" s="202"/>
      <c r="F44" s="69">
        <f t="shared" si="3"/>
        <v>0</v>
      </c>
      <c r="G44" s="70"/>
      <c r="H44" s="71"/>
      <c r="I44" s="105">
        <f t="shared" si="2"/>
        <v>0</v>
      </c>
    </row>
    <row r="45" spans="1:9" x14ac:dyDescent="0.25">
      <c r="A45" s="122"/>
      <c r="B45" s="83">
        <f t="shared" si="1"/>
        <v>0</v>
      </c>
      <c r="C45" s="15"/>
      <c r="D45" s="69"/>
      <c r="E45" s="202"/>
      <c r="F45" s="69">
        <f t="shared" si="3"/>
        <v>0</v>
      </c>
      <c r="G45" s="70"/>
      <c r="H45" s="71"/>
      <c r="I45" s="105">
        <f t="shared" si="2"/>
        <v>0</v>
      </c>
    </row>
    <row r="46" spans="1:9" x14ac:dyDescent="0.25">
      <c r="A46" s="122"/>
      <c r="B46" s="83">
        <f t="shared" si="1"/>
        <v>0</v>
      </c>
      <c r="C46" s="15"/>
      <c r="D46" s="69"/>
      <c r="E46" s="202"/>
      <c r="F46" s="69">
        <f t="shared" si="3"/>
        <v>0</v>
      </c>
      <c r="G46" s="70"/>
      <c r="H46" s="71"/>
      <c r="I46" s="105">
        <f t="shared" si="2"/>
        <v>0</v>
      </c>
    </row>
    <row r="47" spans="1:9" x14ac:dyDescent="0.25">
      <c r="A47" s="122"/>
      <c r="B47" s="83">
        <f t="shared" si="1"/>
        <v>0</v>
      </c>
      <c r="C47" s="15"/>
      <c r="D47" s="69"/>
      <c r="E47" s="202"/>
      <c r="F47" s="69">
        <f t="shared" si="3"/>
        <v>0</v>
      </c>
      <c r="G47" s="70"/>
      <c r="H47" s="71"/>
      <c r="I47" s="105">
        <f t="shared" si="2"/>
        <v>0</v>
      </c>
    </row>
    <row r="48" spans="1:9" x14ac:dyDescent="0.25">
      <c r="A48" s="122"/>
      <c r="B48" s="83">
        <f t="shared" si="1"/>
        <v>0</v>
      </c>
      <c r="C48" s="15"/>
      <c r="D48" s="69"/>
      <c r="E48" s="202"/>
      <c r="F48" s="69">
        <f t="shared" si="3"/>
        <v>0</v>
      </c>
      <c r="G48" s="70"/>
      <c r="H48" s="71"/>
      <c r="I48" s="105">
        <f t="shared" si="2"/>
        <v>0</v>
      </c>
    </row>
    <row r="49" spans="1:9" x14ac:dyDescent="0.25">
      <c r="A49" s="122"/>
      <c r="B49" s="83">
        <f t="shared" si="1"/>
        <v>0</v>
      </c>
      <c r="C49" s="15"/>
      <c r="D49" s="69"/>
      <c r="E49" s="202"/>
      <c r="F49" s="69">
        <f t="shared" si="3"/>
        <v>0</v>
      </c>
      <c r="G49" s="70"/>
      <c r="H49" s="71"/>
      <c r="I49" s="105">
        <f t="shared" si="2"/>
        <v>0</v>
      </c>
    </row>
    <row r="50" spans="1:9" x14ac:dyDescent="0.25">
      <c r="A50" s="122"/>
      <c r="B50" s="83">
        <f t="shared" si="1"/>
        <v>0</v>
      </c>
      <c r="C50" s="15"/>
      <c r="D50" s="69"/>
      <c r="E50" s="202"/>
      <c r="F50" s="69">
        <f t="shared" si="3"/>
        <v>0</v>
      </c>
      <c r="G50" s="70"/>
      <c r="H50" s="71"/>
      <c r="I50" s="105">
        <f t="shared" si="2"/>
        <v>0</v>
      </c>
    </row>
    <row r="51" spans="1:9" x14ac:dyDescent="0.25">
      <c r="A51" s="122"/>
      <c r="B51" s="83">
        <f t="shared" si="1"/>
        <v>0</v>
      </c>
      <c r="C51" s="15"/>
      <c r="D51" s="69"/>
      <c r="E51" s="202"/>
      <c r="F51" s="69">
        <f t="shared" si="3"/>
        <v>0</v>
      </c>
      <c r="G51" s="70"/>
      <c r="H51" s="71"/>
      <c r="I51" s="105">
        <f t="shared" si="2"/>
        <v>0</v>
      </c>
    </row>
    <row r="52" spans="1:9" x14ac:dyDescent="0.25">
      <c r="A52" s="122"/>
      <c r="B52" s="83">
        <f t="shared" si="1"/>
        <v>0</v>
      </c>
      <c r="C52" s="15"/>
      <c r="D52" s="69"/>
      <c r="E52" s="202"/>
      <c r="F52" s="69">
        <f t="shared" si="3"/>
        <v>0</v>
      </c>
      <c r="G52" s="70"/>
      <c r="H52" s="71"/>
      <c r="I52" s="105">
        <f t="shared" si="2"/>
        <v>0</v>
      </c>
    </row>
    <row r="53" spans="1:9" x14ac:dyDescent="0.25">
      <c r="A53" s="122"/>
      <c r="B53" s="83">
        <f t="shared" si="1"/>
        <v>0</v>
      </c>
      <c r="C53" s="15"/>
      <c r="D53" s="69"/>
      <c r="E53" s="202"/>
      <c r="F53" s="69">
        <f t="shared" si="3"/>
        <v>0</v>
      </c>
      <c r="G53" s="70"/>
      <c r="H53" s="71"/>
      <c r="I53" s="105">
        <f t="shared" si="2"/>
        <v>0</v>
      </c>
    </row>
    <row r="54" spans="1:9" x14ac:dyDescent="0.25">
      <c r="A54" s="122"/>
      <c r="B54" s="83">
        <f t="shared" si="1"/>
        <v>0</v>
      </c>
      <c r="C54" s="15"/>
      <c r="D54" s="69"/>
      <c r="E54" s="202"/>
      <c r="F54" s="69">
        <f t="shared" si="3"/>
        <v>0</v>
      </c>
      <c r="G54" s="70"/>
      <c r="H54" s="71"/>
      <c r="I54" s="105">
        <f t="shared" si="2"/>
        <v>0</v>
      </c>
    </row>
    <row r="55" spans="1:9" x14ac:dyDescent="0.25">
      <c r="A55" s="122"/>
      <c r="B55" s="12">
        <f>B54-C55</f>
        <v>0</v>
      </c>
      <c r="C55" s="15"/>
      <c r="D55" s="69"/>
      <c r="E55" s="202"/>
      <c r="F55" s="69">
        <f t="shared" si="3"/>
        <v>0</v>
      </c>
      <c r="G55" s="70"/>
      <c r="H55" s="71"/>
      <c r="I55" s="105">
        <f t="shared" si="2"/>
        <v>0</v>
      </c>
    </row>
    <row r="56" spans="1:9" x14ac:dyDescent="0.25">
      <c r="A56" s="122"/>
      <c r="B56" s="12">
        <f t="shared" ref="B56:B75" si="4">B55-C56</f>
        <v>0</v>
      </c>
      <c r="C56" s="15"/>
      <c r="D56" s="69"/>
      <c r="E56" s="202"/>
      <c r="F56" s="69">
        <f t="shared" si="3"/>
        <v>0</v>
      </c>
      <c r="G56" s="70"/>
      <c r="H56" s="71"/>
      <c r="I56" s="105">
        <f t="shared" si="2"/>
        <v>0</v>
      </c>
    </row>
    <row r="57" spans="1:9" x14ac:dyDescent="0.25">
      <c r="A57" s="122"/>
      <c r="B57" s="12">
        <f t="shared" si="4"/>
        <v>0</v>
      </c>
      <c r="C57" s="15"/>
      <c r="D57" s="69"/>
      <c r="E57" s="202"/>
      <c r="F57" s="69">
        <f t="shared" si="3"/>
        <v>0</v>
      </c>
      <c r="G57" s="70"/>
      <c r="H57" s="71"/>
      <c r="I57" s="105">
        <f t="shared" si="2"/>
        <v>0</v>
      </c>
    </row>
    <row r="58" spans="1:9" x14ac:dyDescent="0.25">
      <c r="A58" s="122"/>
      <c r="B58" s="12">
        <f t="shared" si="4"/>
        <v>0</v>
      </c>
      <c r="C58" s="15"/>
      <c r="D58" s="69"/>
      <c r="E58" s="202"/>
      <c r="F58" s="69">
        <f t="shared" si="3"/>
        <v>0</v>
      </c>
      <c r="G58" s="70"/>
      <c r="H58" s="71"/>
      <c r="I58" s="105">
        <f t="shared" si="2"/>
        <v>0</v>
      </c>
    </row>
    <row r="59" spans="1:9" x14ac:dyDescent="0.25">
      <c r="A59" s="122"/>
      <c r="B59" s="12">
        <f t="shared" si="4"/>
        <v>0</v>
      </c>
      <c r="C59" s="15"/>
      <c r="D59" s="69"/>
      <c r="E59" s="202"/>
      <c r="F59" s="69">
        <f t="shared" si="3"/>
        <v>0</v>
      </c>
      <c r="G59" s="70"/>
      <c r="H59" s="71"/>
      <c r="I59" s="105">
        <f t="shared" si="2"/>
        <v>0</v>
      </c>
    </row>
    <row r="60" spans="1:9" x14ac:dyDescent="0.25">
      <c r="A60" s="122"/>
      <c r="B60" s="12">
        <f t="shared" si="4"/>
        <v>0</v>
      </c>
      <c r="C60" s="15"/>
      <c r="D60" s="69"/>
      <c r="E60" s="202"/>
      <c r="F60" s="69">
        <f t="shared" si="3"/>
        <v>0</v>
      </c>
      <c r="G60" s="70"/>
      <c r="H60" s="71"/>
      <c r="I60" s="105">
        <f t="shared" si="2"/>
        <v>0</v>
      </c>
    </row>
    <row r="61" spans="1:9" x14ac:dyDescent="0.25">
      <c r="A61" s="122"/>
      <c r="B61" s="12">
        <f t="shared" si="4"/>
        <v>0</v>
      </c>
      <c r="C61" s="15"/>
      <c r="D61" s="69"/>
      <c r="E61" s="202"/>
      <c r="F61" s="69">
        <f t="shared" si="3"/>
        <v>0</v>
      </c>
      <c r="G61" s="70"/>
      <c r="H61" s="71"/>
      <c r="I61" s="105">
        <f t="shared" si="2"/>
        <v>0</v>
      </c>
    </row>
    <row r="62" spans="1:9" x14ac:dyDescent="0.25">
      <c r="A62" s="122"/>
      <c r="B62" s="12">
        <f t="shared" si="4"/>
        <v>0</v>
      </c>
      <c r="C62" s="15"/>
      <c r="D62" s="69"/>
      <c r="E62" s="202"/>
      <c r="F62" s="69">
        <f t="shared" si="3"/>
        <v>0</v>
      </c>
      <c r="G62" s="70"/>
      <c r="H62" s="71"/>
      <c r="I62" s="105">
        <f t="shared" si="2"/>
        <v>0</v>
      </c>
    </row>
    <row r="63" spans="1:9" x14ac:dyDescent="0.25">
      <c r="A63" s="122"/>
      <c r="B63" s="12">
        <f t="shared" si="4"/>
        <v>0</v>
      </c>
      <c r="C63" s="15"/>
      <c r="D63" s="69"/>
      <c r="E63" s="202"/>
      <c r="F63" s="69">
        <f t="shared" si="3"/>
        <v>0</v>
      </c>
      <c r="G63" s="70"/>
      <c r="H63" s="71"/>
      <c r="I63" s="105">
        <f t="shared" si="2"/>
        <v>0</v>
      </c>
    </row>
    <row r="64" spans="1:9" x14ac:dyDescent="0.25">
      <c r="A64" s="122"/>
      <c r="B64" s="12">
        <f t="shared" si="4"/>
        <v>0</v>
      </c>
      <c r="C64" s="15"/>
      <c r="D64" s="69"/>
      <c r="E64" s="202"/>
      <c r="F64" s="69">
        <f t="shared" si="3"/>
        <v>0</v>
      </c>
      <c r="G64" s="70"/>
      <c r="H64" s="71"/>
      <c r="I64" s="105">
        <f t="shared" si="2"/>
        <v>0</v>
      </c>
    </row>
    <row r="65" spans="1:9" x14ac:dyDescent="0.25">
      <c r="A65" s="122"/>
      <c r="B65" s="12">
        <f t="shared" si="4"/>
        <v>0</v>
      </c>
      <c r="C65" s="15"/>
      <c r="D65" s="69"/>
      <c r="E65" s="202"/>
      <c r="F65" s="69">
        <f t="shared" si="3"/>
        <v>0</v>
      </c>
      <c r="G65" s="70"/>
      <c r="H65" s="71"/>
      <c r="I65" s="105">
        <f t="shared" si="2"/>
        <v>0</v>
      </c>
    </row>
    <row r="66" spans="1:9" x14ac:dyDescent="0.25">
      <c r="A66" s="122"/>
      <c r="B66" s="12">
        <f t="shared" si="4"/>
        <v>0</v>
      </c>
      <c r="C66" s="15"/>
      <c r="D66" s="69"/>
      <c r="E66" s="202"/>
      <c r="F66" s="69">
        <f t="shared" si="3"/>
        <v>0</v>
      </c>
      <c r="G66" s="70"/>
      <c r="H66" s="71"/>
      <c r="I66" s="105">
        <f t="shared" si="2"/>
        <v>0</v>
      </c>
    </row>
    <row r="67" spans="1:9" x14ac:dyDescent="0.25">
      <c r="A67" s="122"/>
      <c r="B67" s="12">
        <f t="shared" si="4"/>
        <v>0</v>
      </c>
      <c r="C67" s="15"/>
      <c r="D67" s="69"/>
      <c r="E67" s="202"/>
      <c r="F67" s="69">
        <f t="shared" si="3"/>
        <v>0</v>
      </c>
      <c r="G67" s="70"/>
      <c r="H67" s="71"/>
      <c r="I67" s="105">
        <f t="shared" si="2"/>
        <v>0</v>
      </c>
    </row>
    <row r="68" spans="1:9" x14ac:dyDescent="0.25">
      <c r="A68" s="122"/>
      <c r="B68" s="12">
        <f t="shared" si="4"/>
        <v>0</v>
      </c>
      <c r="C68" s="15"/>
      <c r="D68" s="59"/>
      <c r="E68" s="209"/>
      <c r="F68" s="69">
        <f t="shared" si="3"/>
        <v>0</v>
      </c>
      <c r="G68" s="70"/>
      <c r="H68" s="71"/>
      <c r="I68" s="105">
        <f t="shared" si="2"/>
        <v>0</v>
      </c>
    </row>
    <row r="69" spans="1:9" x14ac:dyDescent="0.25">
      <c r="A69" s="122"/>
      <c r="B69" s="12">
        <f t="shared" si="4"/>
        <v>0</v>
      </c>
      <c r="C69" s="15"/>
      <c r="D69" s="59"/>
      <c r="E69" s="209"/>
      <c r="F69" s="69">
        <f t="shared" si="3"/>
        <v>0</v>
      </c>
      <c r="G69" s="70"/>
      <c r="H69" s="71"/>
      <c r="I69" s="105">
        <f t="shared" si="2"/>
        <v>0</v>
      </c>
    </row>
    <row r="70" spans="1:9" x14ac:dyDescent="0.25">
      <c r="A70" s="122"/>
      <c r="B70" s="12">
        <f t="shared" si="4"/>
        <v>0</v>
      </c>
      <c r="C70" s="15"/>
      <c r="D70" s="59"/>
      <c r="E70" s="209"/>
      <c r="F70" s="69">
        <f t="shared" si="3"/>
        <v>0</v>
      </c>
      <c r="G70" s="70"/>
      <c r="H70" s="71"/>
      <c r="I70" s="105">
        <f t="shared" si="2"/>
        <v>0</v>
      </c>
    </row>
    <row r="71" spans="1:9" x14ac:dyDescent="0.25">
      <c r="A71" s="122"/>
      <c r="B71" s="12">
        <f t="shared" si="4"/>
        <v>0</v>
      </c>
      <c r="C71" s="15"/>
      <c r="D71" s="59"/>
      <c r="E71" s="209"/>
      <c r="F71" s="69">
        <f t="shared" si="3"/>
        <v>0</v>
      </c>
      <c r="G71" s="70"/>
      <c r="H71" s="71"/>
      <c r="I71" s="105">
        <f t="shared" si="2"/>
        <v>0</v>
      </c>
    </row>
    <row r="72" spans="1:9" x14ac:dyDescent="0.25">
      <c r="A72" s="122"/>
      <c r="B72" s="12">
        <f t="shared" si="4"/>
        <v>0</v>
      </c>
      <c r="C72" s="15"/>
      <c r="D72" s="59"/>
      <c r="E72" s="209"/>
      <c r="F72" s="69">
        <f t="shared" si="3"/>
        <v>0</v>
      </c>
      <c r="G72" s="70"/>
      <c r="H72" s="71"/>
      <c r="I72" s="105">
        <f t="shared" si="2"/>
        <v>0</v>
      </c>
    </row>
    <row r="73" spans="1:9" x14ac:dyDescent="0.25">
      <c r="A73" s="122"/>
      <c r="B73" s="12">
        <f t="shared" si="4"/>
        <v>0</v>
      </c>
      <c r="C73" s="15"/>
      <c r="D73" s="59"/>
      <c r="E73" s="209"/>
      <c r="F73" s="69">
        <f t="shared" si="3"/>
        <v>0</v>
      </c>
      <c r="G73" s="70"/>
      <c r="H73" s="71"/>
      <c r="I73" s="105">
        <f t="shared" si="2"/>
        <v>0</v>
      </c>
    </row>
    <row r="74" spans="1:9" x14ac:dyDescent="0.25">
      <c r="A74" s="122"/>
      <c r="B74" s="12">
        <f t="shared" si="4"/>
        <v>0</v>
      </c>
      <c r="C74" s="15"/>
      <c r="D74" s="59"/>
      <c r="E74" s="209"/>
      <c r="F74" s="69">
        <f>D74</f>
        <v>0</v>
      </c>
      <c r="G74" s="70"/>
      <c r="H74" s="71"/>
      <c r="I74" s="105">
        <f t="shared" si="2"/>
        <v>0</v>
      </c>
    </row>
    <row r="75" spans="1:9" x14ac:dyDescent="0.25">
      <c r="A75" s="122"/>
      <c r="B75" s="12">
        <f t="shared" si="4"/>
        <v>0</v>
      </c>
      <c r="C75" s="15"/>
      <c r="D75" s="59"/>
      <c r="E75" s="209"/>
      <c r="F75" s="69">
        <f>D75</f>
        <v>0</v>
      </c>
      <c r="G75" s="70"/>
      <c r="H75" s="71"/>
      <c r="I75" s="105">
        <f t="shared" ref="I75:I76" si="5">I74-F75</f>
        <v>0</v>
      </c>
    </row>
    <row r="76" spans="1:9" x14ac:dyDescent="0.25">
      <c r="A76" s="122"/>
      <c r="C76" s="15"/>
      <c r="D76" s="59"/>
      <c r="E76" s="209"/>
      <c r="F76" s="69">
        <f>D76</f>
        <v>0</v>
      </c>
      <c r="G76" s="70"/>
      <c r="H76" s="71"/>
      <c r="I76" s="105">
        <f t="shared" si="5"/>
        <v>0</v>
      </c>
    </row>
    <row r="77" spans="1:9" ht="15.75" thickBot="1" x14ac:dyDescent="0.3">
      <c r="A77" s="122"/>
      <c r="B77" s="16"/>
      <c r="C77" s="52"/>
      <c r="D77" s="107"/>
      <c r="E77" s="196"/>
      <c r="F77" s="103"/>
      <c r="G77" s="104"/>
      <c r="H77" s="60"/>
    </row>
    <row r="78" spans="1:9" x14ac:dyDescent="0.25">
      <c r="C78" s="53">
        <f>SUM(C9:C77)</f>
        <v>19</v>
      </c>
      <c r="D78" s="6">
        <f>SUM(D9:D77)</f>
        <v>577.23</v>
      </c>
      <c r="F78" s="6">
        <f>SUM(F9:F77)</f>
        <v>577.23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1388" t="s">
        <v>11</v>
      </c>
      <c r="D83" s="1389"/>
      <c r="E83" s="57">
        <f>E5+E6-F78+E7</f>
        <v>0</v>
      </c>
      <c r="F83" s="73"/>
    </row>
  </sheetData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9" activePane="bottomLeft" state="frozen"/>
      <selection pane="bottomLeft" activeCell="B37" sqref="B37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3"/>
  </cols>
  <sheetData>
    <row r="1" spans="1:10" ht="40.5" x14ac:dyDescent="0.55000000000000004">
      <c r="A1" s="1390"/>
      <c r="B1" s="1390"/>
      <c r="C1" s="1390"/>
      <c r="D1" s="1390"/>
      <c r="E1" s="1390"/>
      <c r="F1" s="1390"/>
      <c r="G1" s="1390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B4" s="83"/>
      <c r="C4" s="257"/>
      <c r="D4" s="134"/>
      <c r="E4" s="124"/>
      <c r="F4" s="73"/>
      <c r="G4" s="73"/>
    </row>
    <row r="5" spans="1:10" ht="15" customHeight="1" x14ac:dyDescent="0.25">
      <c r="A5" s="1391"/>
      <c r="B5" s="1465" t="s">
        <v>50</v>
      </c>
      <c r="C5" s="102"/>
      <c r="D5" s="134"/>
      <c r="E5" s="124"/>
      <c r="F5" s="73"/>
      <c r="G5" s="47">
        <f>F55</f>
        <v>0</v>
      </c>
      <c r="H5" s="7">
        <f>E5-G5+E4+E6+E7</f>
        <v>0</v>
      </c>
    </row>
    <row r="6" spans="1:10" ht="15.75" thickBot="1" x14ac:dyDescent="0.3">
      <c r="A6" s="1391"/>
      <c r="B6" s="1465"/>
      <c r="C6" s="102"/>
      <c r="D6" s="231"/>
      <c r="E6" s="105"/>
      <c r="F6" s="73"/>
    </row>
    <row r="7" spans="1:10" ht="15.75" thickBot="1" x14ac:dyDescent="0.3">
      <c r="B7" s="73"/>
      <c r="C7" s="102"/>
      <c r="D7" s="231"/>
      <c r="E7" s="105"/>
      <c r="F7" s="73"/>
      <c r="I7" s="255"/>
    </row>
    <row r="8" spans="1:10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256" t="s">
        <v>51</v>
      </c>
    </row>
    <row r="9" spans="1:10" ht="15.75" thickTop="1" x14ac:dyDescent="0.25">
      <c r="A9" s="55" t="s">
        <v>32</v>
      </c>
      <c r="B9" s="182">
        <f>F4+F5+F6+F7-C9</f>
        <v>0</v>
      </c>
      <c r="C9" s="15"/>
      <c r="D9" s="69"/>
      <c r="E9" s="245"/>
      <c r="F9" s="69">
        <f t="shared" ref="F9:F54" si="0">D9</f>
        <v>0</v>
      </c>
      <c r="G9" s="70"/>
      <c r="H9" s="71"/>
      <c r="I9" s="78">
        <f>E6+E5+E4-F9+E7</f>
        <v>0</v>
      </c>
      <c r="J9" s="127"/>
    </row>
    <row r="10" spans="1:10" x14ac:dyDescent="0.25">
      <c r="A10" s="513"/>
      <c r="B10" s="182">
        <f>B9-C10</f>
        <v>0</v>
      </c>
      <c r="C10" s="15"/>
      <c r="D10" s="69"/>
      <c r="E10" s="245"/>
      <c r="F10" s="69">
        <f t="shared" si="0"/>
        <v>0</v>
      </c>
      <c r="G10" s="70"/>
      <c r="H10" s="71"/>
      <c r="I10" s="78">
        <f>I9-F10</f>
        <v>0</v>
      </c>
      <c r="J10" s="127"/>
    </row>
    <row r="11" spans="1:10" x14ac:dyDescent="0.25">
      <c r="A11" s="12"/>
      <c r="B11" s="182">
        <f t="shared" ref="B11:B53" si="1">B10-C11</f>
        <v>0</v>
      </c>
      <c r="C11" s="15"/>
      <c r="D11" s="69"/>
      <c r="E11" s="245"/>
      <c r="F11" s="69">
        <f t="shared" si="0"/>
        <v>0</v>
      </c>
      <c r="G11" s="70"/>
      <c r="H11" s="71"/>
      <c r="I11" s="78">
        <f t="shared" ref="I11:I54" si="2">I10-F11</f>
        <v>0</v>
      </c>
      <c r="J11" s="127"/>
    </row>
    <row r="12" spans="1:10" x14ac:dyDescent="0.25">
      <c r="A12" s="55" t="s">
        <v>33</v>
      </c>
      <c r="B12" s="182">
        <f t="shared" si="1"/>
        <v>0</v>
      </c>
      <c r="C12" s="15"/>
      <c r="D12" s="69"/>
      <c r="E12" s="245"/>
      <c r="F12" s="69">
        <f t="shared" si="0"/>
        <v>0</v>
      </c>
      <c r="G12" s="70"/>
      <c r="H12" s="71"/>
      <c r="I12" s="78">
        <f t="shared" si="2"/>
        <v>0</v>
      </c>
      <c r="J12" s="127"/>
    </row>
    <row r="13" spans="1:10" x14ac:dyDescent="0.25">
      <c r="A13" s="77"/>
      <c r="B13" s="182">
        <f t="shared" si="1"/>
        <v>0</v>
      </c>
      <c r="C13" s="15"/>
      <c r="D13" s="69"/>
      <c r="E13" s="245"/>
      <c r="F13" s="69">
        <f t="shared" si="0"/>
        <v>0</v>
      </c>
      <c r="G13" s="70"/>
      <c r="H13" s="71"/>
      <c r="I13" s="78">
        <f t="shared" si="2"/>
        <v>0</v>
      </c>
      <c r="J13" s="127"/>
    </row>
    <row r="14" spans="1:10" x14ac:dyDescent="0.25">
      <c r="A14" s="12"/>
      <c r="B14" s="182">
        <f t="shared" si="1"/>
        <v>0</v>
      </c>
      <c r="C14" s="15"/>
      <c r="D14" s="69"/>
      <c r="E14" s="245"/>
      <c r="F14" s="69">
        <f t="shared" si="0"/>
        <v>0</v>
      </c>
      <c r="G14" s="70"/>
      <c r="H14" s="71"/>
      <c r="I14" s="78">
        <f t="shared" si="2"/>
        <v>0</v>
      </c>
      <c r="J14" s="127"/>
    </row>
    <row r="15" spans="1:10" x14ac:dyDescent="0.25">
      <c r="B15" s="182">
        <f t="shared" si="1"/>
        <v>0</v>
      </c>
      <c r="C15" s="53"/>
      <c r="D15" s="69"/>
      <c r="E15" s="245"/>
      <c r="F15" s="69">
        <f t="shared" si="0"/>
        <v>0</v>
      </c>
      <c r="G15" s="70"/>
      <c r="H15" s="71"/>
      <c r="I15" s="78">
        <f t="shared" si="2"/>
        <v>0</v>
      </c>
      <c r="J15" s="127"/>
    </row>
    <row r="16" spans="1:10" x14ac:dyDescent="0.25">
      <c r="B16" s="182">
        <f t="shared" si="1"/>
        <v>0</v>
      </c>
      <c r="C16" s="15"/>
      <c r="D16" s="69"/>
      <c r="E16" s="245"/>
      <c r="F16" s="69">
        <f t="shared" si="0"/>
        <v>0</v>
      </c>
      <c r="G16" s="70"/>
      <c r="H16" s="71"/>
      <c r="I16" s="78">
        <f t="shared" si="2"/>
        <v>0</v>
      </c>
      <c r="J16" s="127"/>
    </row>
    <row r="17" spans="2:10" x14ac:dyDescent="0.25">
      <c r="B17" s="182">
        <f t="shared" si="1"/>
        <v>0</v>
      </c>
      <c r="C17" s="15"/>
      <c r="D17" s="69"/>
      <c r="E17" s="245"/>
      <c r="F17" s="69">
        <f t="shared" si="0"/>
        <v>0</v>
      </c>
      <c r="G17" s="70"/>
      <c r="H17" s="71"/>
      <c r="I17" s="78">
        <f t="shared" si="2"/>
        <v>0</v>
      </c>
      <c r="J17" s="127"/>
    </row>
    <row r="18" spans="2:10" x14ac:dyDescent="0.25">
      <c r="B18" s="182">
        <f t="shared" si="1"/>
        <v>0</v>
      </c>
      <c r="C18" s="53"/>
      <c r="D18" s="69"/>
      <c r="E18" s="245"/>
      <c r="F18" s="69">
        <f t="shared" si="0"/>
        <v>0</v>
      </c>
      <c r="G18" s="70"/>
      <c r="H18" s="71"/>
      <c r="I18" s="78">
        <f t="shared" si="2"/>
        <v>0</v>
      </c>
      <c r="J18" s="127"/>
    </row>
    <row r="19" spans="2:10" x14ac:dyDescent="0.25">
      <c r="B19" s="182">
        <f t="shared" si="1"/>
        <v>0</v>
      </c>
      <c r="C19" s="15"/>
      <c r="D19" s="69"/>
      <c r="E19" s="245"/>
      <c r="F19" s="69">
        <f t="shared" si="0"/>
        <v>0</v>
      </c>
      <c r="G19" s="70"/>
      <c r="H19" s="71"/>
      <c r="I19" s="78">
        <f t="shared" si="2"/>
        <v>0</v>
      </c>
      <c r="J19" s="127"/>
    </row>
    <row r="20" spans="2:10" x14ac:dyDescent="0.25">
      <c r="B20" s="182">
        <f t="shared" si="1"/>
        <v>0</v>
      </c>
      <c r="C20" s="15"/>
      <c r="D20" s="69"/>
      <c r="E20" s="245"/>
      <c r="F20" s="69">
        <f t="shared" si="0"/>
        <v>0</v>
      </c>
      <c r="G20" s="70"/>
      <c r="H20" s="71"/>
      <c r="I20" s="78">
        <f t="shared" si="2"/>
        <v>0</v>
      </c>
      <c r="J20" s="127"/>
    </row>
    <row r="21" spans="2:10" x14ac:dyDescent="0.25">
      <c r="B21" s="182">
        <f t="shared" si="1"/>
        <v>0</v>
      </c>
      <c r="C21" s="15"/>
      <c r="D21" s="69"/>
      <c r="E21" s="245"/>
      <c r="F21" s="69">
        <f t="shared" si="0"/>
        <v>0</v>
      </c>
      <c r="G21" s="70"/>
      <c r="H21" s="71"/>
      <c r="I21" s="78">
        <f t="shared" si="2"/>
        <v>0</v>
      </c>
      <c r="J21" s="127"/>
    </row>
    <row r="22" spans="2:10" x14ac:dyDescent="0.25">
      <c r="B22" s="182">
        <f t="shared" si="1"/>
        <v>0</v>
      </c>
      <c r="C22" s="15"/>
      <c r="D22" s="69"/>
      <c r="E22" s="245"/>
      <c r="F22" s="69">
        <f t="shared" si="0"/>
        <v>0</v>
      </c>
      <c r="G22" s="70"/>
      <c r="H22" s="71"/>
      <c r="I22" s="78">
        <f t="shared" si="2"/>
        <v>0</v>
      </c>
      <c r="J22" s="127"/>
    </row>
    <row r="23" spans="2:10" x14ac:dyDescent="0.25">
      <c r="B23" s="182">
        <f t="shared" si="1"/>
        <v>0</v>
      </c>
      <c r="C23" s="15"/>
      <c r="D23" s="69"/>
      <c r="E23" s="245"/>
      <c r="F23" s="69">
        <f t="shared" si="0"/>
        <v>0</v>
      </c>
      <c r="G23" s="70"/>
      <c r="H23" s="71"/>
      <c r="I23" s="78">
        <f t="shared" si="2"/>
        <v>0</v>
      </c>
      <c r="J23" s="127"/>
    </row>
    <row r="24" spans="2:10" x14ac:dyDescent="0.25">
      <c r="B24" s="182">
        <f t="shared" si="1"/>
        <v>0</v>
      </c>
      <c r="C24" s="15"/>
      <c r="D24" s="69"/>
      <c r="E24" s="245"/>
      <c r="F24" s="69">
        <f t="shared" si="0"/>
        <v>0</v>
      </c>
      <c r="G24" s="70"/>
      <c r="H24" s="71"/>
      <c r="I24" s="78">
        <f t="shared" si="2"/>
        <v>0</v>
      </c>
      <c r="J24" s="127"/>
    </row>
    <row r="25" spans="2:10" x14ac:dyDescent="0.25">
      <c r="B25" s="182">
        <f t="shared" si="1"/>
        <v>0</v>
      </c>
      <c r="C25" s="15"/>
      <c r="D25" s="69"/>
      <c r="E25" s="245"/>
      <c r="F25" s="69">
        <f t="shared" si="0"/>
        <v>0</v>
      </c>
      <c r="G25" s="70"/>
      <c r="H25" s="71"/>
      <c r="I25" s="78">
        <f t="shared" si="2"/>
        <v>0</v>
      </c>
      <c r="J25" s="127"/>
    </row>
    <row r="26" spans="2:10" x14ac:dyDescent="0.25">
      <c r="B26" s="182">
        <f t="shared" si="1"/>
        <v>0</v>
      </c>
      <c r="C26" s="15"/>
      <c r="D26" s="69"/>
      <c r="E26" s="245"/>
      <c r="F26" s="69">
        <f t="shared" si="0"/>
        <v>0</v>
      </c>
      <c r="G26" s="70"/>
      <c r="H26" s="71"/>
      <c r="I26" s="78">
        <f t="shared" si="2"/>
        <v>0</v>
      </c>
      <c r="J26" s="127"/>
    </row>
    <row r="27" spans="2:10" x14ac:dyDescent="0.25">
      <c r="B27" s="182">
        <f t="shared" si="1"/>
        <v>0</v>
      </c>
      <c r="C27" s="15"/>
      <c r="D27" s="69"/>
      <c r="E27" s="245"/>
      <c r="F27" s="69">
        <f t="shared" si="0"/>
        <v>0</v>
      </c>
      <c r="G27" s="70"/>
      <c r="H27" s="71"/>
      <c r="I27" s="78">
        <f t="shared" si="2"/>
        <v>0</v>
      </c>
      <c r="J27" s="127"/>
    </row>
    <row r="28" spans="2:10" x14ac:dyDescent="0.25">
      <c r="B28" s="182">
        <f t="shared" si="1"/>
        <v>0</v>
      </c>
      <c r="C28" s="15"/>
      <c r="D28" s="69"/>
      <c r="E28" s="245"/>
      <c r="F28" s="69">
        <f t="shared" si="0"/>
        <v>0</v>
      </c>
      <c r="G28" s="70"/>
      <c r="H28" s="71"/>
      <c r="I28" s="78">
        <f t="shared" si="2"/>
        <v>0</v>
      </c>
      <c r="J28" s="127"/>
    </row>
    <row r="29" spans="2:10" x14ac:dyDescent="0.25">
      <c r="B29" s="182">
        <f t="shared" si="1"/>
        <v>0</v>
      </c>
      <c r="C29" s="15"/>
      <c r="D29" s="69"/>
      <c r="E29" s="245"/>
      <c r="F29" s="69">
        <f t="shared" si="0"/>
        <v>0</v>
      </c>
      <c r="G29" s="70"/>
      <c r="H29" s="71"/>
      <c r="I29" s="78">
        <f t="shared" si="2"/>
        <v>0</v>
      </c>
      <c r="J29" s="127"/>
    </row>
    <row r="30" spans="2:10" x14ac:dyDescent="0.25">
      <c r="B30" s="182">
        <f t="shared" si="1"/>
        <v>0</v>
      </c>
      <c r="C30" s="15"/>
      <c r="D30" s="69"/>
      <c r="E30" s="245"/>
      <c r="F30" s="69">
        <f t="shared" si="0"/>
        <v>0</v>
      </c>
      <c r="G30" s="70"/>
      <c r="H30" s="71"/>
      <c r="I30" s="78">
        <f t="shared" si="2"/>
        <v>0</v>
      </c>
      <c r="J30" s="127"/>
    </row>
    <row r="31" spans="2:10" x14ac:dyDescent="0.25">
      <c r="B31" s="182">
        <f t="shared" si="1"/>
        <v>0</v>
      </c>
      <c r="C31" s="15"/>
      <c r="D31" s="69"/>
      <c r="E31" s="245"/>
      <c r="F31" s="69">
        <f t="shared" si="0"/>
        <v>0</v>
      </c>
      <c r="G31" s="70"/>
      <c r="H31" s="71"/>
      <c r="I31" s="78">
        <f t="shared" si="2"/>
        <v>0</v>
      </c>
      <c r="J31" s="127"/>
    </row>
    <row r="32" spans="2:10" x14ac:dyDescent="0.25">
      <c r="B32" s="182">
        <f t="shared" si="1"/>
        <v>0</v>
      </c>
      <c r="C32" s="15"/>
      <c r="D32" s="69"/>
      <c r="E32" s="245"/>
      <c r="F32" s="69">
        <f t="shared" si="0"/>
        <v>0</v>
      </c>
      <c r="G32" s="70"/>
      <c r="H32" s="71"/>
      <c r="I32" s="78">
        <f t="shared" si="2"/>
        <v>0</v>
      </c>
      <c r="J32" s="127"/>
    </row>
    <row r="33" spans="2:10" x14ac:dyDescent="0.25">
      <c r="B33" s="182">
        <f t="shared" si="1"/>
        <v>0</v>
      </c>
      <c r="C33" s="15"/>
      <c r="D33" s="69"/>
      <c r="E33" s="245"/>
      <c r="F33" s="69">
        <f t="shared" si="0"/>
        <v>0</v>
      </c>
      <c r="G33" s="70"/>
      <c r="H33" s="71"/>
      <c r="I33" s="78">
        <f t="shared" si="2"/>
        <v>0</v>
      </c>
      <c r="J33" s="127"/>
    </row>
    <row r="34" spans="2:10" x14ac:dyDescent="0.25">
      <c r="B34" s="182">
        <f t="shared" si="1"/>
        <v>0</v>
      </c>
      <c r="C34" s="15"/>
      <c r="D34" s="69"/>
      <c r="E34" s="245"/>
      <c r="F34" s="69">
        <f t="shared" si="0"/>
        <v>0</v>
      </c>
      <c r="G34" s="70"/>
      <c r="H34" s="71"/>
      <c r="I34" s="78">
        <f t="shared" si="2"/>
        <v>0</v>
      </c>
      <c r="J34" s="127"/>
    </row>
    <row r="35" spans="2:10" x14ac:dyDescent="0.25">
      <c r="B35" s="182">
        <f t="shared" si="1"/>
        <v>0</v>
      </c>
      <c r="C35" s="15"/>
      <c r="D35" s="69"/>
      <c r="E35" s="245"/>
      <c r="F35" s="69">
        <f t="shared" si="0"/>
        <v>0</v>
      </c>
      <c r="G35" s="70"/>
      <c r="H35" s="71"/>
      <c r="I35" s="78">
        <f t="shared" si="2"/>
        <v>0</v>
      </c>
      <c r="J35" s="127"/>
    </row>
    <row r="36" spans="2:10" x14ac:dyDescent="0.25">
      <c r="B36" s="182">
        <f t="shared" si="1"/>
        <v>0</v>
      </c>
      <c r="C36" s="15"/>
      <c r="D36" s="69"/>
      <c r="E36" s="245"/>
      <c r="F36" s="69">
        <f t="shared" si="0"/>
        <v>0</v>
      </c>
      <c r="G36" s="70"/>
      <c r="H36" s="71"/>
      <c r="I36" s="78">
        <f t="shared" si="2"/>
        <v>0</v>
      </c>
      <c r="J36" s="127"/>
    </row>
    <row r="37" spans="2:10" x14ac:dyDescent="0.25">
      <c r="B37" s="182">
        <f t="shared" si="1"/>
        <v>0</v>
      </c>
      <c r="C37" s="15"/>
      <c r="D37" s="69"/>
      <c r="E37" s="245"/>
      <c r="F37" s="69">
        <f t="shared" si="0"/>
        <v>0</v>
      </c>
      <c r="G37" s="70"/>
      <c r="H37" s="71"/>
      <c r="I37" s="78">
        <f t="shared" si="2"/>
        <v>0</v>
      </c>
      <c r="J37" s="127"/>
    </row>
    <row r="38" spans="2:10" x14ac:dyDescent="0.25">
      <c r="B38" s="182">
        <f t="shared" si="1"/>
        <v>0</v>
      </c>
      <c r="C38" s="15"/>
      <c r="D38" s="69"/>
      <c r="E38" s="245"/>
      <c r="F38" s="69">
        <f t="shared" si="0"/>
        <v>0</v>
      </c>
      <c r="G38" s="70"/>
      <c r="H38" s="71"/>
      <c r="I38" s="78">
        <f t="shared" si="2"/>
        <v>0</v>
      </c>
      <c r="J38" s="127"/>
    </row>
    <row r="39" spans="2:10" x14ac:dyDescent="0.25">
      <c r="B39" s="182">
        <f t="shared" si="1"/>
        <v>0</v>
      </c>
      <c r="C39" s="15"/>
      <c r="D39" s="69"/>
      <c r="E39" s="245"/>
      <c r="F39" s="69">
        <f t="shared" si="0"/>
        <v>0</v>
      </c>
      <c r="G39" s="70"/>
      <c r="H39" s="71"/>
      <c r="I39" s="78">
        <f t="shared" si="2"/>
        <v>0</v>
      </c>
      <c r="J39" s="127"/>
    </row>
    <row r="40" spans="2:10" x14ac:dyDescent="0.25">
      <c r="B40" s="182">
        <f t="shared" si="1"/>
        <v>0</v>
      </c>
      <c r="C40" s="15"/>
      <c r="D40" s="69"/>
      <c r="E40" s="245"/>
      <c r="F40" s="69">
        <f t="shared" si="0"/>
        <v>0</v>
      </c>
      <c r="G40" s="70"/>
      <c r="H40" s="71"/>
      <c r="I40" s="78">
        <f t="shared" si="2"/>
        <v>0</v>
      </c>
      <c r="J40" s="127"/>
    </row>
    <row r="41" spans="2:10" x14ac:dyDescent="0.25">
      <c r="B41" s="182">
        <f t="shared" si="1"/>
        <v>0</v>
      </c>
      <c r="C41" s="15"/>
      <c r="D41" s="69"/>
      <c r="E41" s="245"/>
      <c r="F41" s="69">
        <f t="shared" si="0"/>
        <v>0</v>
      </c>
      <c r="G41" s="70"/>
      <c r="H41" s="71"/>
      <c r="I41" s="78">
        <f t="shared" si="2"/>
        <v>0</v>
      </c>
      <c r="J41" s="127"/>
    </row>
    <row r="42" spans="2:10" x14ac:dyDescent="0.25">
      <c r="B42" s="182">
        <f t="shared" si="1"/>
        <v>0</v>
      </c>
      <c r="C42" s="15"/>
      <c r="D42" s="69"/>
      <c r="E42" s="245"/>
      <c r="F42" s="69">
        <f t="shared" si="0"/>
        <v>0</v>
      </c>
      <c r="G42" s="70"/>
      <c r="H42" s="71"/>
      <c r="I42" s="78">
        <f t="shared" si="2"/>
        <v>0</v>
      </c>
      <c r="J42" s="127"/>
    </row>
    <row r="43" spans="2:10" x14ac:dyDescent="0.25">
      <c r="B43" s="182">
        <f t="shared" si="1"/>
        <v>0</v>
      </c>
      <c r="C43" s="15"/>
      <c r="D43" s="69"/>
      <c r="E43" s="245"/>
      <c r="F43" s="69">
        <f t="shared" si="0"/>
        <v>0</v>
      </c>
      <c r="G43" s="70"/>
      <c r="H43" s="71"/>
      <c r="I43" s="78">
        <f t="shared" si="2"/>
        <v>0</v>
      </c>
      <c r="J43" s="127"/>
    </row>
    <row r="44" spans="2:10" x14ac:dyDescent="0.25">
      <c r="B44" s="182">
        <f t="shared" si="1"/>
        <v>0</v>
      </c>
      <c r="C44" s="15"/>
      <c r="D44" s="69"/>
      <c r="E44" s="245"/>
      <c r="F44" s="69">
        <f t="shared" si="0"/>
        <v>0</v>
      </c>
      <c r="G44" s="70"/>
      <c r="H44" s="71"/>
      <c r="I44" s="78">
        <f t="shared" si="2"/>
        <v>0</v>
      </c>
      <c r="J44" s="127"/>
    </row>
    <row r="45" spans="2:10" x14ac:dyDescent="0.25">
      <c r="B45" s="182">
        <f t="shared" si="1"/>
        <v>0</v>
      </c>
      <c r="C45" s="15"/>
      <c r="D45" s="69"/>
      <c r="E45" s="245"/>
      <c r="F45" s="69">
        <f t="shared" si="0"/>
        <v>0</v>
      </c>
      <c r="G45" s="70"/>
      <c r="H45" s="71"/>
      <c r="I45" s="78">
        <f t="shared" si="2"/>
        <v>0</v>
      </c>
      <c r="J45" s="127"/>
    </row>
    <row r="46" spans="2:10" x14ac:dyDescent="0.25">
      <c r="B46" s="182">
        <f t="shared" si="1"/>
        <v>0</v>
      </c>
      <c r="C46" s="15"/>
      <c r="D46" s="69"/>
      <c r="E46" s="245"/>
      <c r="F46" s="69">
        <f t="shared" si="0"/>
        <v>0</v>
      </c>
      <c r="G46" s="70"/>
      <c r="H46" s="71"/>
      <c r="I46" s="78">
        <f t="shared" si="2"/>
        <v>0</v>
      </c>
      <c r="J46" s="127"/>
    </row>
    <row r="47" spans="2:10" x14ac:dyDescent="0.25">
      <c r="B47" s="182">
        <f t="shared" si="1"/>
        <v>0</v>
      </c>
      <c r="C47" s="15"/>
      <c r="D47" s="69"/>
      <c r="E47" s="245"/>
      <c r="F47" s="69">
        <f t="shared" si="0"/>
        <v>0</v>
      </c>
      <c r="G47" s="70"/>
      <c r="H47" s="71"/>
      <c r="I47" s="78">
        <f t="shared" si="2"/>
        <v>0</v>
      </c>
      <c r="J47" s="127"/>
    </row>
    <row r="48" spans="2:10" x14ac:dyDescent="0.25">
      <c r="B48" s="182">
        <f t="shared" si="1"/>
        <v>0</v>
      </c>
      <c r="C48" s="15"/>
      <c r="D48" s="69"/>
      <c r="E48" s="245"/>
      <c r="F48" s="69">
        <f t="shared" si="0"/>
        <v>0</v>
      </c>
      <c r="G48" s="70"/>
      <c r="H48" s="71"/>
      <c r="I48" s="78">
        <f t="shared" si="2"/>
        <v>0</v>
      </c>
      <c r="J48" s="127"/>
    </row>
    <row r="49" spans="2:10" x14ac:dyDescent="0.25">
      <c r="B49" s="182">
        <f t="shared" si="1"/>
        <v>0</v>
      </c>
      <c r="C49" s="15"/>
      <c r="D49" s="69"/>
      <c r="E49" s="245"/>
      <c r="F49" s="69">
        <f t="shared" si="0"/>
        <v>0</v>
      </c>
      <c r="G49" s="70"/>
      <c r="H49" s="71"/>
      <c r="I49" s="78">
        <f t="shared" si="2"/>
        <v>0</v>
      </c>
      <c r="J49" s="127"/>
    </row>
    <row r="50" spans="2:10" x14ac:dyDescent="0.25">
      <c r="B50" s="182">
        <f t="shared" si="1"/>
        <v>0</v>
      </c>
      <c r="C50" s="15"/>
      <c r="D50" s="69"/>
      <c r="E50" s="245"/>
      <c r="F50" s="69">
        <f t="shared" si="0"/>
        <v>0</v>
      </c>
      <c r="G50" s="70"/>
      <c r="H50" s="71"/>
      <c r="I50" s="78">
        <f t="shared" si="2"/>
        <v>0</v>
      </c>
      <c r="J50" s="127"/>
    </row>
    <row r="51" spans="2:10" x14ac:dyDescent="0.25">
      <c r="B51" s="182">
        <f t="shared" si="1"/>
        <v>0</v>
      </c>
      <c r="C51" s="15"/>
      <c r="D51" s="69"/>
      <c r="E51" s="245"/>
      <c r="F51" s="69">
        <f t="shared" si="0"/>
        <v>0</v>
      </c>
      <c r="G51" s="70"/>
      <c r="H51" s="71"/>
      <c r="I51" s="78">
        <f t="shared" si="2"/>
        <v>0</v>
      </c>
      <c r="J51" s="127"/>
    </row>
    <row r="52" spans="2:10" x14ac:dyDescent="0.25">
      <c r="B52" s="182">
        <f t="shared" si="1"/>
        <v>0</v>
      </c>
      <c r="C52" s="15"/>
      <c r="D52" s="69"/>
      <c r="E52" s="245"/>
      <c r="F52" s="69">
        <f t="shared" si="0"/>
        <v>0</v>
      </c>
      <c r="G52" s="70"/>
      <c r="H52" s="71"/>
      <c r="I52" s="78">
        <f t="shared" si="2"/>
        <v>0</v>
      </c>
      <c r="J52" s="127"/>
    </row>
    <row r="53" spans="2:10" x14ac:dyDescent="0.25">
      <c r="B53" s="182">
        <f t="shared" si="1"/>
        <v>0</v>
      </c>
      <c r="C53" s="15"/>
      <c r="D53" s="69"/>
      <c r="E53" s="245"/>
      <c r="F53" s="69">
        <f t="shared" si="0"/>
        <v>0</v>
      </c>
      <c r="G53" s="70"/>
      <c r="H53" s="71"/>
      <c r="I53" s="78">
        <f t="shared" si="2"/>
        <v>0</v>
      </c>
      <c r="J53" s="127"/>
    </row>
    <row r="54" spans="2:10" ht="15.75" thickBot="1" x14ac:dyDescent="0.3">
      <c r="B54" s="3"/>
      <c r="C54" s="36"/>
      <c r="D54" s="150"/>
      <c r="E54" s="157"/>
      <c r="F54" s="150">
        <f t="shared" si="0"/>
        <v>0</v>
      </c>
      <c r="G54" s="206"/>
      <c r="H54" s="75"/>
      <c r="I54" s="78">
        <f t="shared" si="2"/>
        <v>0</v>
      </c>
      <c r="J54" s="127"/>
    </row>
    <row r="55" spans="2:10" x14ac:dyDescent="0.25">
      <c r="C55" s="53">
        <f>SUM(C9:C54)</f>
        <v>0</v>
      </c>
      <c r="D55" s="124">
        <f>SUM(D9:D54)</f>
        <v>0</v>
      </c>
      <c r="E55" s="165"/>
      <c r="F55" s="124">
        <f>SUM(F9:F54)</f>
        <v>0</v>
      </c>
      <c r="G55" s="159"/>
      <c r="H55" s="159"/>
    </row>
    <row r="56" spans="2:10" x14ac:dyDescent="0.25">
      <c r="C56" s="110"/>
    </row>
    <row r="57" spans="2:10" ht="15.75" thickBot="1" x14ac:dyDescent="0.3">
      <c r="B57" s="47"/>
    </row>
    <row r="58" spans="2:10" ht="15.75" thickBot="1" x14ac:dyDescent="0.3">
      <c r="B58" s="91"/>
      <c r="D58" s="45" t="s">
        <v>4</v>
      </c>
      <c r="E58" s="56">
        <f>F5-C55+F4+F6+F7</f>
        <v>0</v>
      </c>
    </row>
    <row r="59" spans="2:10" ht="15.75" thickBot="1" x14ac:dyDescent="0.3">
      <c r="B59" s="125"/>
    </row>
    <row r="60" spans="2:10" ht="15.75" thickBot="1" x14ac:dyDescent="0.3">
      <c r="B60" s="91"/>
      <c r="C60" s="1388" t="s">
        <v>11</v>
      </c>
      <c r="D60" s="1389"/>
      <c r="E60" s="57">
        <f>E5-F55+E4+E6+E7</f>
        <v>0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J43"/>
  <sheetViews>
    <sheetView workbookViewId="0">
      <selection activeCell="G19" sqref="G19"/>
    </sheetView>
  </sheetViews>
  <sheetFormatPr baseColWidth="10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379" t="s">
        <v>498</v>
      </c>
      <c r="B1" s="1379"/>
      <c r="C1" s="1379"/>
      <c r="D1" s="1379"/>
      <c r="E1" s="1379"/>
      <c r="F1" s="1379"/>
      <c r="G1" s="1379"/>
      <c r="H1" s="268">
        <v>1</v>
      </c>
      <c r="I1" s="394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393"/>
    </row>
    <row r="3" spans="1:10" ht="16.5" thickTop="1" thickBot="1" x14ac:dyDescent="0.3">
      <c r="A3" s="72" t="s">
        <v>0</v>
      </c>
      <c r="B3" s="72" t="s">
        <v>1</v>
      </c>
      <c r="C3" s="72"/>
      <c r="D3" s="72" t="s">
        <v>2</v>
      </c>
      <c r="E3" s="72" t="s">
        <v>3</v>
      </c>
      <c r="F3" s="72" t="s">
        <v>4</v>
      </c>
      <c r="G3" s="278" t="s">
        <v>20</v>
      </c>
      <c r="H3" s="277" t="s">
        <v>6</v>
      </c>
      <c r="I3" s="395"/>
    </row>
    <row r="4" spans="1:10" ht="15.75" thickTop="1" x14ac:dyDescent="0.25">
      <c r="A4" s="75"/>
      <c r="B4" s="75"/>
      <c r="C4" s="391"/>
      <c r="D4" s="134"/>
      <c r="E4" s="86"/>
      <c r="F4" s="73"/>
      <c r="G4" s="237"/>
      <c r="H4" s="148"/>
      <c r="I4" s="399"/>
    </row>
    <row r="5" spans="1:10" ht="15" customHeight="1" x14ac:dyDescent="0.25">
      <c r="A5" s="1391" t="s">
        <v>504</v>
      </c>
      <c r="B5" s="1402" t="s">
        <v>829</v>
      </c>
      <c r="C5" s="243">
        <v>31.4</v>
      </c>
      <c r="D5" s="134">
        <v>44919</v>
      </c>
      <c r="E5" s="132">
        <v>5020</v>
      </c>
      <c r="F5" s="73">
        <v>220</v>
      </c>
      <c r="G5" s="48">
        <f>F39</f>
        <v>2498.7999999999997</v>
      </c>
      <c r="H5" s="138">
        <f>E5-G5</f>
        <v>2521.2000000000003</v>
      </c>
      <c r="I5" s="396"/>
    </row>
    <row r="6" spans="1:10" x14ac:dyDescent="0.25">
      <c r="A6" s="1391"/>
      <c r="B6" s="1402"/>
      <c r="C6" s="393"/>
      <c r="D6" s="134"/>
      <c r="E6" s="132"/>
      <c r="F6" s="73"/>
      <c r="G6" s="73"/>
      <c r="H6" s="75"/>
      <c r="I6" s="243"/>
    </row>
    <row r="7" spans="1:10" ht="15.75" thickBot="1" x14ac:dyDescent="0.3">
      <c r="A7" s="225"/>
      <c r="B7" s="1402"/>
      <c r="C7" s="393"/>
      <c r="D7" s="134"/>
      <c r="E7" s="132"/>
      <c r="F7" s="73"/>
      <c r="G7" s="73"/>
      <c r="H7" s="75"/>
      <c r="I7" s="243"/>
    </row>
    <row r="8" spans="1:10" ht="16.5" thickTop="1" thickBot="1" x14ac:dyDescent="0.3">
      <c r="A8" s="75"/>
      <c r="B8" s="285" t="s">
        <v>7</v>
      </c>
      <c r="C8" s="281" t="s">
        <v>8</v>
      </c>
      <c r="D8" s="282" t="s">
        <v>17</v>
      </c>
      <c r="E8" s="283" t="s">
        <v>2</v>
      </c>
      <c r="F8" s="276" t="s">
        <v>18</v>
      </c>
      <c r="G8" s="284" t="s">
        <v>15</v>
      </c>
      <c r="H8" s="279"/>
      <c r="I8" s="397"/>
    </row>
    <row r="9" spans="1:10" ht="15.75" thickTop="1" x14ac:dyDescent="0.25">
      <c r="A9" s="61"/>
      <c r="B9" s="182">
        <f>F4+F5+F6-C9+F7</f>
        <v>189</v>
      </c>
      <c r="C9" s="15">
        <v>31</v>
      </c>
      <c r="D9" s="69">
        <v>711.3</v>
      </c>
      <c r="E9" s="252">
        <v>44921</v>
      </c>
      <c r="F9" s="92">
        <f>D9</f>
        <v>711.3</v>
      </c>
      <c r="G9" s="70" t="s">
        <v>828</v>
      </c>
      <c r="H9" s="71">
        <v>33.5</v>
      </c>
      <c r="I9" s="393">
        <f>E4+E5+E6-F9+E7</f>
        <v>4308.7</v>
      </c>
      <c r="J9" s="60">
        <f>H9*F9</f>
        <v>23828.55</v>
      </c>
    </row>
    <row r="10" spans="1:10" x14ac:dyDescent="0.25">
      <c r="A10" s="75"/>
      <c r="B10" s="182">
        <f>B9-C10</f>
        <v>186</v>
      </c>
      <c r="C10" s="15">
        <v>3</v>
      </c>
      <c r="D10" s="69">
        <v>67.7</v>
      </c>
      <c r="E10" s="252">
        <v>44922</v>
      </c>
      <c r="F10" s="92">
        <f t="shared" ref="F10:F38" si="0">D10</f>
        <v>67.7</v>
      </c>
      <c r="G10" s="70" t="s">
        <v>835</v>
      </c>
      <c r="H10" s="71">
        <v>33.5</v>
      </c>
      <c r="I10" s="243">
        <f>I9-F10</f>
        <v>4241</v>
      </c>
      <c r="J10" s="60">
        <f t="shared" ref="J10:J37" si="1">H10*F10</f>
        <v>2267.9500000000003</v>
      </c>
    </row>
    <row r="11" spans="1:10" x14ac:dyDescent="0.25">
      <c r="A11" s="75"/>
      <c r="B11" s="182">
        <f t="shared" ref="B11:B36" si="2">B10-C11</f>
        <v>181</v>
      </c>
      <c r="C11" s="15">
        <v>5</v>
      </c>
      <c r="D11" s="69">
        <v>115.9</v>
      </c>
      <c r="E11" s="252">
        <v>44923</v>
      </c>
      <c r="F11" s="92">
        <f t="shared" si="0"/>
        <v>115.9</v>
      </c>
      <c r="G11" s="70" t="s">
        <v>838</v>
      </c>
      <c r="H11" s="71">
        <v>33.5</v>
      </c>
      <c r="I11" s="243">
        <f t="shared" ref="I11:I38" si="3">I10-F11</f>
        <v>4125.1000000000004</v>
      </c>
      <c r="J11" s="60">
        <f t="shared" si="1"/>
        <v>3882.65</v>
      </c>
    </row>
    <row r="12" spans="1:10" x14ac:dyDescent="0.25">
      <c r="A12" s="61"/>
      <c r="B12" s="182">
        <f t="shared" si="2"/>
        <v>176</v>
      </c>
      <c r="C12" s="15">
        <v>5</v>
      </c>
      <c r="D12" s="69">
        <v>114.8</v>
      </c>
      <c r="E12" s="252">
        <v>44925</v>
      </c>
      <c r="F12" s="92">
        <f t="shared" si="0"/>
        <v>114.8</v>
      </c>
      <c r="G12" s="70" t="s">
        <v>851</v>
      </c>
      <c r="H12" s="71">
        <v>33.5</v>
      </c>
      <c r="I12" s="243">
        <f t="shared" si="3"/>
        <v>4010.3</v>
      </c>
      <c r="J12" s="60">
        <f t="shared" si="1"/>
        <v>3845.7999999999997</v>
      </c>
    </row>
    <row r="13" spans="1:10" x14ac:dyDescent="0.25">
      <c r="A13" s="75"/>
      <c r="B13" s="182">
        <f t="shared" si="2"/>
        <v>141</v>
      </c>
      <c r="C13" s="15">
        <v>35</v>
      </c>
      <c r="D13" s="69">
        <v>797.2</v>
      </c>
      <c r="E13" s="252">
        <v>44925</v>
      </c>
      <c r="F13" s="92">
        <f t="shared" si="0"/>
        <v>797.2</v>
      </c>
      <c r="G13" s="70" t="s">
        <v>852</v>
      </c>
      <c r="H13" s="71">
        <v>33.5</v>
      </c>
      <c r="I13" s="243">
        <f t="shared" si="3"/>
        <v>3213.1000000000004</v>
      </c>
      <c r="J13" s="60">
        <f t="shared" si="1"/>
        <v>26706.2</v>
      </c>
    </row>
    <row r="14" spans="1:10" x14ac:dyDescent="0.25">
      <c r="A14" s="75"/>
      <c r="B14" s="182">
        <f t="shared" si="2"/>
        <v>133</v>
      </c>
      <c r="C14" s="15">
        <v>8</v>
      </c>
      <c r="D14" s="69">
        <v>181</v>
      </c>
      <c r="E14" s="252">
        <v>44925</v>
      </c>
      <c r="F14" s="92">
        <f t="shared" si="0"/>
        <v>181</v>
      </c>
      <c r="G14" s="70" t="s">
        <v>854</v>
      </c>
      <c r="H14" s="71">
        <v>33.5</v>
      </c>
      <c r="I14" s="243">
        <f t="shared" si="3"/>
        <v>3032.1000000000004</v>
      </c>
      <c r="J14" s="60">
        <f t="shared" si="1"/>
        <v>6063.5</v>
      </c>
    </row>
    <row r="15" spans="1:10" x14ac:dyDescent="0.25">
      <c r="A15" s="75"/>
      <c r="B15" s="182">
        <f t="shared" si="2"/>
        <v>128</v>
      </c>
      <c r="C15" s="15">
        <v>5</v>
      </c>
      <c r="D15" s="69">
        <v>112.6</v>
      </c>
      <c r="E15" s="252">
        <v>44925</v>
      </c>
      <c r="F15" s="92">
        <f t="shared" si="0"/>
        <v>112.6</v>
      </c>
      <c r="G15" s="70" t="s">
        <v>859</v>
      </c>
      <c r="H15" s="71">
        <v>33.5</v>
      </c>
      <c r="I15" s="243">
        <f t="shared" si="3"/>
        <v>2919.5000000000005</v>
      </c>
      <c r="J15" s="60">
        <f t="shared" si="1"/>
        <v>3772.1</v>
      </c>
    </row>
    <row r="16" spans="1:10" x14ac:dyDescent="0.25">
      <c r="A16" s="75"/>
      <c r="B16" s="182">
        <f t="shared" si="2"/>
        <v>125</v>
      </c>
      <c r="C16" s="15">
        <v>3</v>
      </c>
      <c r="D16" s="69">
        <v>67.7</v>
      </c>
      <c r="E16" s="252">
        <v>44929</v>
      </c>
      <c r="F16" s="92">
        <f t="shared" si="0"/>
        <v>67.7</v>
      </c>
      <c r="G16" s="70" t="s">
        <v>872</v>
      </c>
      <c r="H16" s="71">
        <v>33.5</v>
      </c>
      <c r="I16" s="243">
        <f t="shared" si="3"/>
        <v>2851.8000000000006</v>
      </c>
      <c r="J16" s="60">
        <f t="shared" si="1"/>
        <v>2267.9500000000003</v>
      </c>
    </row>
    <row r="17" spans="1:10" x14ac:dyDescent="0.25">
      <c r="A17" s="75"/>
      <c r="B17" s="182">
        <f t="shared" si="2"/>
        <v>120</v>
      </c>
      <c r="C17" s="15">
        <v>5</v>
      </c>
      <c r="D17" s="69">
        <v>108.5</v>
      </c>
      <c r="E17" s="252">
        <v>44931</v>
      </c>
      <c r="F17" s="92">
        <f t="shared" si="0"/>
        <v>108.5</v>
      </c>
      <c r="G17" s="70" t="s">
        <v>893</v>
      </c>
      <c r="H17" s="71">
        <v>33.5</v>
      </c>
      <c r="I17" s="243">
        <f t="shared" si="3"/>
        <v>2743.3000000000006</v>
      </c>
      <c r="J17" s="60">
        <f t="shared" si="1"/>
        <v>3634.75</v>
      </c>
    </row>
    <row r="18" spans="1:10" x14ac:dyDescent="0.25">
      <c r="A18" s="75"/>
      <c r="B18" s="182">
        <f t="shared" si="2"/>
        <v>110</v>
      </c>
      <c r="C18" s="15">
        <v>10</v>
      </c>
      <c r="D18" s="69">
        <v>222.1</v>
      </c>
      <c r="E18" s="252">
        <v>44933</v>
      </c>
      <c r="F18" s="92">
        <f t="shared" si="0"/>
        <v>222.1</v>
      </c>
      <c r="G18" s="70" t="s">
        <v>910</v>
      </c>
      <c r="H18" s="71">
        <v>33.5</v>
      </c>
      <c r="I18" s="243">
        <f t="shared" si="3"/>
        <v>2521.2000000000007</v>
      </c>
      <c r="J18" s="60">
        <f t="shared" si="1"/>
        <v>7440.3499999999995</v>
      </c>
    </row>
    <row r="19" spans="1:10" x14ac:dyDescent="0.25">
      <c r="A19" s="75"/>
      <c r="B19" s="182">
        <f t="shared" si="2"/>
        <v>110</v>
      </c>
      <c r="C19" s="15"/>
      <c r="D19" s="69">
        <v>0</v>
      </c>
      <c r="E19" s="252"/>
      <c r="F19" s="92">
        <f t="shared" si="0"/>
        <v>0</v>
      </c>
      <c r="G19" s="70"/>
      <c r="H19" s="71"/>
      <c r="I19" s="243">
        <f t="shared" si="3"/>
        <v>2521.2000000000007</v>
      </c>
      <c r="J19" s="60">
        <f t="shared" si="1"/>
        <v>0</v>
      </c>
    </row>
    <row r="20" spans="1:10" x14ac:dyDescent="0.25">
      <c r="A20" s="75"/>
      <c r="B20" s="182">
        <f t="shared" si="2"/>
        <v>110</v>
      </c>
      <c r="C20" s="15"/>
      <c r="D20" s="69">
        <v>0</v>
      </c>
      <c r="E20" s="252"/>
      <c r="F20" s="92">
        <f t="shared" si="0"/>
        <v>0</v>
      </c>
      <c r="G20" s="70"/>
      <c r="H20" s="71"/>
      <c r="I20" s="243">
        <f t="shared" si="3"/>
        <v>2521.2000000000007</v>
      </c>
      <c r="J20" s="60">
        <f t="shared" si="1"/>
        <v>0</v>
      </c>
    </row>
    <row r="21" spans="1:10" x14ac:dyDescent="0.25">
      <c r="A21" s="75"/>
      <c r="B21" s="182">
        <f t="shared" si="2"/>
        <v>110</v>
      </c>
      <c r="C21" s="15"/>
      <c r="D21" s="69">
        <v>0</v>
      </c>
      <c r="E21" s="252"/>
      <c r="F21" s="92">
        <f t="shared" si="0"/>
        <v>0</v>
      </c>
      <c r="G21" s="70"/>
      <c r="H21" s="71"/>
      <c r="I21" s="393">
        <f t="shared" si="3"/>
        <v>2521.2000000000007</v>
      </c>
      <c r="J21" s="60">
        <f t="shared" si="1"/>
        <v>0</v>
      </c>
    </row>
    <row r="22" spans="1:10" x14ac:dyDescent="0.25">
      <c r="A22" s="75"/>
      <c r="B22" s="182">
        <f t="shared" si="2"/>
        <v>110</v>
      </c>
      <c r="C22" s="15"/>
      <c r="D22" s="69">
        <v>0</v>
      </c>
      <c r="E22" s="252"/>
      <c r="F22" s="92">
        <f t="shared" si="0"/>
        <v>0</v>
      </c>
      <c r="G22" s="70"/>
      <c r="H22" s="71"/>
      <c r="I22" s="393">
        <f t="shared" si="3"/>
        <v>2521.2000000000007</v>
      </c>
      <c r="J22" s="60">
        <f t="shared" si="1"/>
        <v>0</v>
      </c>
    </row>
    <row r="23" spans="1:10" x14ac:dyDescent="0.25">
      <c r="A23" s="19"/>
      <c r="B23" s="182">
        <f t="shared" si="2"/>
        <v>110</v>
      </c>
      <c r="C23" s="73"/>
      <c r="D23" s="69">
        <v>0</v>
      </c>
      <c r="E23" s="134"/>
      <c r="F23" s="92">
        <f t="shared" si="0"/>
        <v>0</v>
      </c>
      <c r="G23" s="70"/>
      <c r="H23" s="71"/>
      <c r="I23" s="393">
        <f t="shared" si="3"/>
        <v>2521.2000000000007</v>
      </c>
      <c r="J23" s="60">
        <f t="shared" si="1"/>
        <v>0</v>
      </c>
    </row>
    <row r="24" spans="1:10" x14ac:dyDescent="0.25">
      <c r="A24" s="19"/>
      <c r="B24" s="182">
        <f t="shared" si="2"/>
        <v>110</v>
      </c>
      <c r="C24" s="73"/>
      <c r="D24" s="69">
        <v>0</v>
      </c>
      <c r="E24" s="134"/>
      <c r="F24" s="92">
        <f t="shared" si="0"/>
        <v>0</v>
      </c>
      <c r="G24" s="70"/>
      <c r="H24" s="71"/>
      <c r="I24" s="393">
        <f t="shared" si="3"/>
        <v>2521.2000000000007</v>
      </c>
      <c r="J24" s="60">
        <f t="shared" si="1"/>
        <v>0</v>
      </c>
    </row>
    <row r="25" spans="1:10" x14ac:dyDescent="0.25">
      <c r="A25" s="19"/>
      <c r="B25" s="182">
        <f t="shared" si="2"/>
        <v>110</v>
      </c>
      <c r="C25" s="73"/>
      <c r="D25" s="69">
        <v>0</v>
      </c>
      <c r="E25" s="134"/>
      <c r="F25" s="92">
        <f t="shared" si="0"/>
        <v>0</v>
      </c>
      <c r="G25" s="70"/>
      <c r="H25" s="71"/>
      <c r="I25" s="393">
        <f t="shared" si="3"/>
        <v>2521.2000000000007</v>
      </c>
      <c r="J25" s="60">
        <f t="shared" si="1"/>
        <v>0</v>
      </c>
    </row>
    <row r="26" spans="1:10" x14ac:dyDescent="0.25">
      <c r="A26" s="19"/>
      <c r="B26" s="182">
        <f t="shared" si="2"/>
        <v>110</v>
      </c>
      <c r="C26" s="15"/>
      <c r="D26" s="69">
        <v>0</v>
      </c>
      <c r="E26" s="134"/>
      <c r="F26" s="92">
        <f t="shared" si="0"/>
        <v>0</v>
      </c>
      <c r="G26" s="70"/>
      <c r="H26" s="71"/>
      <c r="I26" s="393">
        <f t="shared" si="3"/>
        <v>2521.2000000000007</v>
      </c>
      <c r="J26" s="60">
        <f t="shared" si="1"/>
        <v>0</v>
      </c>
    </row>
    <row r="27" spans="1:10" x14ac:dyDescent="0.25">
      <c r="A27" s="19"/>
      <c r="B27" s="182">
        <f t="shared" si="2"/>
        <v>110</v>
      </c>
      <c r="C27" s="15"/>
      <c r="D27" s="69">
        <v>0</v>
      </c>
      <c r="E27" s="134"/>
      <c r="F27" s="92">
        <f t="shared" si="0"/>
        <v>0</v>
      </c>
      <c r="G27" s="70"/>
      <c r="H27" s="71"/>
      <c r="I27" s="393">
        <f t="shared" si="3"/>
        <v>2521.2000000000007</v>
      </c>
      <c r="J27" s="60">
        <f t="shared" si="1"/>
        <v>0</v>
      </c>
    </row>
    <row r="28" spans="1:10" x14ac:dyDescent="0.25">
      <c r="A28" s="19"/>
      <c r="B28" s="182">
        <f t="shared" si="2"/>
        <v>110</v>
      </c>
      <c r="C28" s="15"/>
      <c r="D28" s="69">
        <v>0</v>
      </c>
      <c r="E28" s="134"/>
      <c r="F28" s="92">
        <f t="shared" si="0"/>
        <v>0</v>
      </c>
      <c r="G28" s="70"/>
      <c r="H28" s="71"/>
      <c r="I28" s="393">
        <f t="shared" si="3"/>
        <v>2521.2000000000007</v>
      </c>
      <c r="J28" s="60">
        <f t="shared" si="1"/>
        <v>0</v>
      </c>
    </row>
    <row r="29" spans="1:10" x14ac:dyDescent="0.25">
      <c r="A29" s="19"/>
      <c r="B29" s="182">
        <f t="shared" si="2"/>
        <v>110</v>
      </c>
      <c r="C29" s="15"/>
      <c r="D29" s="69">
        <v>0</v>
      </c>
      <c r="E29" s="134"/>
      <c r="F29" s="92">
        <f t="shared" si="0"/>
        <v>0</v>
      </c>
      <c r="G29" s="70"/>
      <c r="H29" s="71"/>
      <c r="I29" s="393">
        <f t="shared" si="3"/>
        <v>2521.2000000000007</v>
      </c>
      <c r="J29" s="60">
        <f t="shared" si="1"/>
        <v>0</v>
      </c>
    </row>
    <row r="30" spans="1:10" x14ac:dyDescent="0.25">
      <c r="A30" s="19"/>
      <c r="B30" s="182">
        <f t="shared" si="2"/>
        <v>110</v>
      </c>
      <c r="C30" s="15"/>
      <c r="D30" s="69">
        <v>0</v>
      </c>
      <c r="E30" s="134"/>
      <c r="F30" s="92">
        <f t="shared" si="0"/>
        <v>0</v>
      </c>
      <c r="G30" s="70"/>
      <c r="H30" s="71"/>
      <c r="I30" s="393">
        <f t="shared" si="3"/>
        <v>2521.2000000000007</v>
      </c>
      <c r="J30" s="60">
        <f t="shared" si="1"/>
        <v>0</v>
      </c>
    </row>
    <row r="31" spans="1:10" x14ac:dyDescent="0.25">
      <c r="A31" s="19"/>
      <c r="B31" s="182">
        <f t="shared" si="2"/>
        <v>110</v>
      </c>
      <c r="C31" s="15"/>
      <c r="D31" s="69">
        <v>0</v>
      </c>
      <c r="E31" s="134"/>
      <c r="F31" s="92">
        <f t="shared" si="0"/>
        <v>0</v>
      </c>
      <c r="G31" s="70"/>
      <c r="H31" s="71"/>
      <c r="I31" s="393">
        <f t="shared" si="3"/>
        <v>2521.2000000000007</v>
      </c>
      <c r="J31" s="60">
        <f t="shared" si="1"/>
        <v>0</v>
      </c>
    </row>
    <row r="32" spans="1:10" x14ac:dyDescent="0.25">
      <c r="A32" s="19"/>
      <c r="B32" s="182">
        <f t="shared" si="2"/>
        <v>110</v>
      </c>
      <c r="C32" s="15"/>
      <c r="D32" s="69">
        <v>0</v>
      </c>
      <c r="E32" s="134"/>
      <c r="F32" s="92">
        <f t="shared" si="0"/>
        <v>0</v>
      </c>
      <c r="G32" s="70"/>
      <c r="H32" s="71"/>
      <c r="I32" s="393">
        <f t="shared" si="3"/>
        <v>2521.2000000000007</v>
      </c>
      <c r="J32" s="60">
        <f t="shared" si="1"/>
        <v>0</v>
      </c>
    </row>
    <row r="33" spans="1:10" x14ac:dyDescent="0.25">
      <c r="A33" s="19"/>
      <c r="B33" s="182">
        <f t="shared" si="2"/>
        <v>110</v>
      </c>
      <c r="C33" s="15"/>
      <c r="D33" s="69">
        <v>0</v>
      </c>
      <c r="E33" s="134"/>
      <c r="F33" s="92">
        <f t="shared" si="0"/>
        <v>0</v>
      </c>
      <c r="G33" s="70"/>
      <c r="H33" s="71"/>
      <c r="I33" s="393">
        <f t="shared" si="3"/>
        <v>2521.2000000000007</v>
      </c>
      <c r="J33" s="60">
        <f t="shared" si="1"/>
        <v>0</v>
      </c>
    </row>
    <row r="34" spans="1:10" x14ac:dyDescent="0.25">
      <c r="A34" s="19"/>
      <c r="B34" s="182">
        <f t="shared" si="2"/>
        <v>110</v>
      </c>
      <c r="C34" s="15"/>
      <c r="D34" s="69">
        <v>0</v>
      </c>
      <c r="E34" s="134"/>
      <c r="F34" s="92">
        <f t="shared" si="0"/>
        <v>0</v>
      </c>
      <c r="G34" s="70"/>
      <c r="H34" s="71"/>
      <c r="I34" s="393">
        <f t="shared" si="3"/>
        <v>2521.2000000000007</v>
      </c>
      <c r="J34" s="60">
        <f t="shared" si="1"/>
        <v>0</v>
      </c>
    </row>
    <row r="35" spans="1:10" x14ac:dyDescent="0.25">
      <c r="A35" s="19"/>
      <c r="B35" s="182">
        <f t="shared" si="2"/>
        <v>110</v>
      </c>
      <c r="C35" s="15"/>
      <c r="D35" s="69">
        <v>0</v>
      </c>
      <c r="E35" s="134"/>
      <c r="F35" s="92">
        <f t="shared" si="0"/>
        <v>0</v>
      </c>
      <c r="G35" s="70"/>
      <c r="H35" s="71"/>
      <c r="I35" s="393">
        <f t="shared" si="3"/>
        <v>2521.2000000000007</v>
      </c>
      <c r="J35" s="60">
        <f t="shared" si="1"/>
        <v>0</v>
      </c>
    </row>
    <row r="36" spans="1:10" x14ac:dyDescent="0.25">
      <c r="A36" s="19"/>
      <c r="B36" s="182">
        <f t="shared" si="2"/>
        <v>110</v>
      </c>
      <c r="C36" s="15"/>
      <c r="D36" s="69">
        <v>0</v>
      </c>
      <c r="E36" s="134"/>
      <c r="F36" s="92">
        <f t="shared" si="0"/>
        <v>0</v>
      </c>
      <c r="G36" s="70"/>
      <c r="H36" s="71"/>
      <c r="I36" s="393">
        <f t="shared" si="3"/>
        <v>2521.2000000000007</v>
      </c>
      <c r="J36" s="60">
        <f t="shared" si="1"/>
        <v>0</v>
      </c>
    </row>
    <row r="37" spans="1:10" x14ac:dyDescent="0.25">
      <c r="B37" s="182">
        <f>B27-C37</f>
        <v>110</v>
      </c>
      <c r="C37" s="15"/>
      <c r="D37" s="69">
        <v>0</v>
      </c>
      <c r="E37" s="134"/>
      <c r="F37" s="92">
        <f t="shared" si="0"/>
        <v>0</v>
      </c>
      <c r="G37" s="70"/>
      <c r="H37" s="71"/>
      <c r="I37" s="393">
        <f t="shared" si="3"/>
        <v>2521.2000000000007</v>
      </c>
      <c r="J37" s="60">
        <f t="shared" si="1"/>
        <v>0</v>
      </c>
    </row>
    <row r="38" spans="1:10" ht="15.75" thickBot="1" x14ac:dyDescent="0.3">
      <c r="A38" s="121"/>
      <c r="B38" s="182">
        <f t="shared" ref="B38" si="4">B37-C38</f>
        <v>110</v>
      </c>
      <c r="C38" s="37"/>
      <c r="D38" s="69">
        <v>0</v>
      </c>
      <c r="E38" s="246"/>
      <c r="F38" s="92">
        <f t="shared" si="0"/>
        <v>0</v>
      </c>
      <c r="G38" s="139"/>
      <c r="H38" s="198"/>
      <c r="I38" s="393">
        <f t="shared" si="3"/>
        <v>2521.2000000000007</v>
      </c>
      <c r="J38" s="60">
        <f>SUM(J9:J37)</f>
        <v>83709.800000000017</v>
      </c>
    </row>
    <row r="39" spans="1:10" ht="15.75" thickTop="1" x14ac:dyDescent="0.25">
      <c r="A39" s="47">
        <f>SUM(A38:A38)</f>
        <v>0</v>
      </c>
      <c r="C39" s="73"/>
      <c r="D39" s="105">
        <f>SUM(D9:D38)</f>
        <v>2498.7999999999997</v>
      </c>
      <c r="E39" s="134"/>
      <c r="F39" s="105">
        <f>SUM(F9:F38)</f>
        <v>2498.7999999999997</v>
      </c>
      <c r="G39" s="152"/>
      <c r="H39" s="152"/>
    </row>
    <row r="40" spans="1:10" ht="15.75" thickBot="1" x14ac:dyDescent="0.3">
      <c r="A40" s="47"/>
    </row>
    <row r="41" spans="1:10" x14ac:dyDescent="0.25">
      <c r="B41" s="184"/>
      <c r="D41" s="1375" t="s">
        <v>21</v>
      </c>
      <c r="E41" s="1376"/>
      <c r="F41" s="141">
        <f>G5-F39</f>
        <v>0</v>
      </c>
    </row>
    <row r="42" spans="1:10" ht="15.75" thickBot="1" x14ac:dyDescent="0.3">
      <c r="A42" s="125"/>
      <c r="D42" s="262" t="s">
        <v>4</v>
      </c>
      <c r="E42" s="263"/>
      <c r="F42" s="49">
        <v>0</v>
      </c>
    </row>
    <row r="43" spans="1:10" x14ac:dyDescent="0.25">
      <c r="B43" s="184"/>
    </row>
  </sheetData>
  <mergeCells count="4">
    <mergeCell ref="A1:G1"/>
    <mergeCell ref="D41:E41"/>
    <mergeCell ref="B5:B7"/>
    <mergeCell ref="A5:A6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AD69"/>
  <sheetViews>
    <sheetView zoomScaleNormal="100" workbookViewId="0">
      <pane ySplit="9" topLeftCell="A16" activePane="bottomLeft" state="frozen"/>
      <selection pane="bottomLeft" activeCell="A28" sqref="A28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style="75" customWidth="1"/>
    <col min="9" max="9" width="12.85546875" style="75" customWidth="1"/>
    <col min="11" max="11" width="25.28515625" bestFit="1" customWidth="1"/>
    <col min="12" max="12" width="16.28515625" bestFit="1" customWidth="1"/>
    <col min="14" max="14" width="11.28515625" style="75" customWidth="1"/>
    <col min="19" max="19" width="12.85546875" style="75" customWidth="1"/>
    <col min="21" max="21" width="25.28515625" bestFit="1" customWidth="1"/>
    <col min="22" max="22" width="16.28515625" bestFit="1" customWidth="1"/>
    <col min="24" max="24" width="11.28515625" style="75" customWidth="1"/>
    <col min="29" max="29" width="12.85546875" style="75" customWidth="1"/>
  </cols>
  <sheetData>
    <row r="1" spans="1:30" ht="40.5" x14ac:dyDescent="0.55000000000000004">
      <c r="A1" s="1386" t="s">
        <v>332</v>
      </c>
      <c r="B1" s="1386"/>
      <c r="C1" s="1386"/>
      <c r="D1" s="1386"/>
      <c r="E1" s="1386"/>
      <c r="F1" s="1386"/>
      <c r="G1" s="1386"/>
      <c r="H1" s="11">
        <v>1</v>
      </c>
      <c r="K1" s="1386" t="str">
        <f>A1</f>
        <v xml:space="preserve"> INVENTARIO   DEL MES DE     NOVIEMBRE       2022</v>
      </c>
      <c r="L1" s="1386"/>
      <c r="M1" s="1386"/>
      <c r="N1" s="1386"/>
      <c r="O1" s="1386"/>
      <c r="P1" s="1386"/>
      <c r="Q1" s="1386"/>
      <c r="R1" s="11">
        <v>2</v>
      </c>
      <c r="U1" s="1390" t="s">
        <v>339</v>
      </c>
      <c r="V1" s="1390"/>
      <c r="W1" s="1390"/>
      <c r="X1" s="1390"/>
      <c r="Y1" s="1390"/>
      <c r="Z1" s="1390"/>
      <c r="AA1" s="1390"/>
      <c r="AB1" s="11">
        <v>3</v>
      </c>
    </row>
    <row r="2" spans="1:30" ht="15.75" thickBot="1" x14ac:dyDescent="0.3"/>
    <row r="3" spans="1:30" ht="16.5" thickTop="1" thickBot="1" x14ac:dyDescent="0.3">
      <c r="A3" s="364" t="s">
        <v>0</v>
      </c>
      <c r="B3" s="9" t="s">
        <v>1</v>
      </c>
      <c r="C3" s="9"/>
      <c r="D3" s="72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364" t="s">
        <v>0</v>
      </c>
      <c r="L3" s="9" t="s">
        <v>1</v>
      </c>
      <c r="M3" s="9"/>
      <c r="N3" s="72" t="s">
        <v>2</v>
      </c>
      <c r="O3" s="9" t="s">
        <v>3</v>
      </c>
      <c r="P3" s="9" t="s">
        <v>4</v>
      </c>
      <c r="Q3" s="26" t="s">
        <v>20</v>
      </c>
      <c r="R3" s="35" t="s">
        <v>6</v>
      </c>
      <c r="U3" s="364" t="s">
        <v>0</v>
      </c>
      <c r="V3" s="9" t="s">
        <v>1</v>
      </c>
      <c r="W3" s="9"/>
      <c r="X3" s="72" t="s">
        <v>2</v>
      </c>
      <c r="Y3" s="9" t="s">
        <v>3</v>
      </c>
      <c r="Z3" s="9" t="s">
        <v>4</v>
      </c>
      <c r="AA3" s="26" t="s">
        <v>20</v>
      </c>
      <c r="AB3" s="35" t="s">
        <v>6</v>
      </c>
    </row>
    <row r="4" spans="1:30" ht="15.75" thickTop="1" x14ac:dyDescent="0.25">
      <c r="A4" s="1466" t="s">
        <v>52</v>
      </c>
      <c r="B4" s="484"/>
      <c r="C4" s="128"/>
      <c r="D4" s="135"/>
      <c r="E4" s="86">
        <v>142.04</v>
      </c>
      <c r="F4" s="73">
        <v>4</v>
      </c>
      <c r="G4" s="801"/>
      <c r="K4" s="1466" t="s">
        <v>52</v>
      </c>
      <c r="L4" s="484"/>
      <c r="M4" s="128"/>
      <c r="N4" s="135"/>
      <c r="O4" s="86"/>
      <c r="P4" s="73"/>
      <c r="Q4" s="925"/>
      <c r="U4" s="1466" t="s">
        <v>52</v>
      </c>
      <c r="V4" s="484"/>
      <c r="W4" s="128"/>
      <c r="X4" s="135"/>
      <c r="Y4" s="86"/>
      <c r="Z4" s="73"/>
      <c r="AA4" s="1114"/>
    </row>
    <row r="5" spans="1:30" ht="15" customHeight="1" x14ac:dyDescent="0.25">
      <c r="A5" s="1467"/>
      <c r="B5" s="1469" t="s">
        <v>71</v>
      </c>
      <c r="C5" s="128">
        <v>28</v>
      </c>
      <c r="D5" s="135">
        <v>44846</v>
      </c>
      <c r="E5" s="86">
        <v>3038.15</v>
      </c>
      <c r="F5" s="73">
        <v>100</v>
      </c>
      <c r="G5" s="48">
        <f>F62</f>
        <v>2484.7899999999995</v>
      </c>
      <c r="H5" s="138">
        <f>E5-G5+E4+E6+E7+E8</f>
        <v>695.40000000000055</v>
      </c>
      <c r="K5" s="1467"/>
      <c r="L5" s="1469" t="s">
        <v>71</v>
      </c>
      <c r="M5" s="128">
        <v>26</v>
      </c>
      <c r="N5" s="135">
        <v>44893</v>
      </c>
      <c r="O5" s="86">
        <v>2810.63</v>
      </c>
      <c r="P5" s="73">
        <v>94</v>
      </c>
      <c r="Q5" s="48">
        <f>P62</f>
        <v>0</v>
      </c>
      <c r="R5" s="138">
        <f>O5-Q5+O4+O6+O7+O8</f>
        <v>2810.63</v>
      </c>
      <c r="U5" s="1467"/>
      <c r="V5" s="1469" t="s">
        <v>71</v>
      </c>
      <c r="W5" s="128"/>
      <c r="X5" s="135"/>
      <c r="Y5" s="86"/>
      <c r="Z5" s="73"/>
      <c r="AA5" s="48">
        <f>Z62</f>
        <v>0</v>
      </c>
      <c r="AB5" s="138">
        <f>Y5-AA5+Y4+Y6+Y7+Y8</f>
        <v>5922.77</v>
      </c>
    </row>
    <row r="6" spans="1:30" ht="16.5" thickBot="1" x14ac:dyDescent="0.3">
      <c r="A6" s="1468"/>
      <c r="B6" s="1470"/>
      <c r="C6" s="547"/>
      <c r="D6" s="135"/>
      <c r="E6" s="86"/>
      <c r="F6" s="73"/>
      <c r="G6" s="73"/>
      <c r="K6" s="1468"/>
      <c r="L6" s="1470"/>
      <c r="M6" s="547"/>
      <c r="N6" s="135"/>
      <c r="O6" s="86"/>
      <c r="P6" s="73"/>
      <c r="Q6" s="73"/>
      <c r="U6" s="1468"/>
      <c r="V6" s="1470"/>
      <c r="W6" s="547">
        <v>28</v>
      </c>
      <c r="X6" s="135">
        <v>44925</v>
      </c>
      <c r="Y6" s="86">
        <v>5922.77</v>
      </c>
      <c r="Z6" s="73">
        <v>205</v>
      </c>
      <c r="AA6" s="73"/>
    </row>
    <row r="7" spans="1:30" ht="21.75" customHeight="1" x14ac:dyDescent="0.25">
      <c r="A7" s="519" t="s">
        <v>52</v>
      </c>
      <c r="C7" s="547"/>
      <c r="D7" s="135"/>
      <c r="E7" s="105"/>
      <c r="F7" s="73"/>
      <c r="G7" s="73"/>
      <c r="K7" s="519" t="s">
        <v>52</v>
      </c>
      <c r="M7" s="547"/>
      <c r="N7" s="135"/>
      <c r="O7" s="105"/>
      <c r="P7" s="73"/>
      <c r="Q7" s="73"/>
      <c r="U7" s="519" t="s">
        <v>52</v>
      </c>
      <c r="W7" s="547"/>
      <c r="X7" s="135"/>
      <c r="Y7" s="105"/>
      <c r="Z7" s="73"/>
      <c r="AA7" s="73"/>
    </row>
    <row r="8" spans="1:30" ht="15.75" thickBot="1" x14ac:dyDescent="0.3">
      <c r="C8" s="102"/>
      <c r="D8" s="135"/>
      <c r="E8" s="105"/>
      <c r="F8" s="73"/>
      <c r="G8" s="73"/>
      <c r="M8" s="102"/>
      <c r="N8" s="135"/>
      <c r="O8" s="105"/>
      <c r="P8" s="73"/>
      <c r="Q8" s="73"/>
      <c r="W8" s="102"/>
      <c r="X8" s="135"/>
      <c r="Y8" s="105"/>
      <c r="Z8" s="73"/>
      <c r="AA8" s="73"/>
    </row>
    <row r="9" spans="1:30" ht="16.5" thickTop="1" thickBot="1" x14ac:dyDescent="0.3">
      <c r="B9" s="24" t="s">
        <v>7</v>
      </c>
      <c r="C9" s="20" t="s">
        <v>8</v>
      </c>
      <c r="D9" s="543" t="s">
        <v>3</v>
      </c>
      <c r="E9" s="23" t="s">
        <v>2</v>
      </c>
      <c r="F9" s="26" t="s">
        <v>18</v>
      </c>
      <c r="G9" s="10" t="s">
        <v>15</v>
      </c>
      <c r="H9" s="24"/>
      <c r="I9" s="348" t="s">
        <v>53</v>
      </c>
      <c r="L9" s="24" t="s">
        <v>7</v>
      </c>
      <c r="M9" s="20" t="s">
        <v>8</v>
      </c>
      <c r="N9" s="543" t="s">
        <v>3</v>
      </c>
      <c r="O9" s="23" t="s">
        <v>2</v>
      </c>
      <c r="P9" s="26" t="s">
        <v>18</v>
      </c>
      <c r="Q9" s="10" t="s">
        <v>15</v>
      </c>
      <c r="R9" s="24"/>
      <c r="S9" s="348" t="s">
        <v>53</v>
      </c>
      <c r="V9" s="24" t="s">
        <v>7</v>
      </c>
      <c r="W9" s="20" t="s">
        <v>8</v>
      </c>
      <c r="X9" s="543" t="s">
        <v>3</v>
      </c>
      <c r="Y9" s="23" t="s">
        <v>2</v>
      </c>
      <c r="Z9" s="26" t="s">
        <v>18</v>
      </c>
      <c r="AA9" s="10" t="s">
        <v>15</v>
      </c>
      <c r="AB9" s="24"/>
      <c r="AC9" s="348" t="s">
        <v>53</v>
      </c>
    </row>
    <row r="10" spans="1:30" ht="16.5" thickTop="1" x14ac:dyDescent="0.25">
      <c r="A10" s="809" t="s">
        <v>193</v>
      </c>
      <c r="B10" s="234">
        <f>F4+F5+F6+F7+F8-C10</f>
        <v>100</v>
      </c>
      <c r="C10" s="810">
        <v>4</v>
      </c>
      <c r="D10" s="337">
        <v>142.13999999999999</v>
      </c>
      <c r="E10" s="685">
        <v>44844</v>
      </c>
      <c r="F10" s="337">
        <f t="shared" ref="F10:F57" si="0">D10</f>
        <v>142.13999999999999</v>
      </c>
      <c r="G10" s="673" t="s">
        <v>189</v>
      </c>
      <c r="H10" s="684">
        <v>42</v>
      </c>
      <c r="I10" s="132">
        <f>E6+E5+E4-F10+E7+E8</f>
        <v>3038.05</v>
      </c>
      <c r="K10" s="809" t="s">
        <v>193</v>
      </c>
      <c r="L10" s="835">
        <f>P4+P5+P6+P7+P8-M10</f>
        <v>94</v>
      </c>
      <c r="M10" s="926"/>
      <c r="N10" s="734"/>
      <c r="O10" s="927"/>
      <c r="P10" s="734">
        <f t="shared" ref="P10:P57" si="1">N10</f>
        <v>0</v>
      </c>
      <c r="Q10" s="928"/>
      <c r="R10" s="929"/>
      <c r="S10" s="819">
        <f>O6+O5+O4-P10+O7+O8</f>
        <v>2810.63</v>
      </c>
      <c r="U10" s="809" t="s">
        <v>193</v>
      </c>
      <c r="V10" s="1141">
        <f>Z4+Z5+Z6+Z7+Z8-W10</f>
        <v>205</v>
      </c>
      <c r="W10" s="926"/>
      <c r="X10" s="734"/>
      <c r="Y10" s="927"/>
      <c r="Z10" s="734">
        <f t="shared" ref="Z10:Z57" si="2">X10</f>
        <v>0</v>
      </c>
      <c r="AA10" s="928"/>
      <c r="AB10" s="929"/>
      <c r="AC10" s="692">
        <f>Y6+Y5+Y4-Z10+Y7+Y8</f>
        <v>5922.77</v>
      </c>
      <c r="AD10" s="729"/>
    </row>
    <row r="11" spans="1:30" x14ac:dyDescent="0.25">
      <c r="A11" s="75"/>
      <c r="B11" s="347">
        <f>B10-C11</f>
        <v>99</v>
      </c>
      <c r="C11" s="336">
        <v>1</v>
      </c>
      <c r="D11" s="337">
        <v>29.16</v>
      </c>
      <c r="E11" s="685">
        <v>44847</v>
      </c>
      <c r="F11" s="337">
        <f t="shared" si="0"/>
        <v>29.16</v>
      </c>
      <c r="G11" s="673" t="s">
        <v>192</v>
      </c>
      <c r="H11" s="684">
        <v>42</v>
      </c>
      <c r="I11" s="132">
        <f>I10-F11</f>
        <v>3008.8900000000003</v>
      </c>
      <c r="K11" s="75"/>
      <c r="L11" s="930">
        <f>L10-M11</f>
        <v>94</v>
      </c>
      <c r="M11" s="926"/>
      <c r="N11" s="734"/>
      <c r="O11" s="927"/>
      <c r="P11" s="734">
        <f t="shared" si="1"/>
        <v>0</v>
      </c>
      <c r="Q11" s="928"/>
      <c r="R11" s="929"/>
      <c r="S11" s="692">
        <f>S10-P11</f>
        <v>2810.63</v>
      </c>
      <c r="U11" s="75"/>
      <c r="V11" s="930">
        <f>V10-W11</f>
        <v>205</v>
      </c>
      <c r="W11" s="926"/>
      <c r="X11" s="734"/>
      <c r="Y11" s="927"/>
      <c r="Z11" s="734">
        <f t="shared" si="2"/>
        <v>0</v>
      </c>
      <c r="AA11" s="928"/>
      <c r="AB11" s="929"/>
      <c r="AC11" s="692">
        <f>AC10-Z11</f>
        <v>5922.77</v>
      </c>
    </row>
    <row r="12" spans="1:30" x14ac:dyDescent="0.25">
      <c r="A12" s="75"/>
      <c r="B12" s="347">
        <f t="shared" ref="B12:B58" si="3">B11-C12</f>
        <v>89</v>
      </c>
      <c r="C12" s="336">
        <v>10</v>
      </c>
      <c r="D12" s="337">
        <v>273.66000000000003</v>
      </c>
      <c r="E12" s="685">
        <v>44847</v>
      </c>
      <c r="F12" s="337">
        <f t="shared" si="0"/>
        <v>273.66000000000003</v>
      </c>
      <c r="G12" s="673" t="s">
        <v>195</v>
      </c>
      <c r="H12" s="684">
        <v>30</v>
      </c>
      <c r="I12" s="132">
        <f t="shared" ref="I12:I13" si="4">I11-F12</f>
        <v>2735.2300000000005</v>
      </c>
      <c r="K12" s="75"/>
      <c r="L12" s="930">
        <f t="shared" ref="L12:L58" si="5">L11-M12</f>
        <v>94</v>
      </c>
      <c r="M12" s="926"/>
      <c r="N12" s="734"/>
      <c r="O12" s="927"/>
      <c r="P12" s="734">
        <f t="shared" si="1"/>
        <v>0</v>
      </c>
      <c r="Q12" s="928"/>
      <c r="R12" s="929"/>
      <c r="S12" s="692">
        <f t="shared" ref="S12:S13" si="6">S11-P12</f>
        <v>2810.63</v>
      </c>
      <c r="U12" s="75"/>
      <c r="V12" s="930">
        <f t="shared" ref="V12:V58" si="7">V11-W12</f>
        <v>205</v>
      </c>
      <c r="W12" s="926"/>
      <c r="X12" s="734"/>
      <c r="Y12" s="927"/>
      <c r="Z12" s="734">
        <f t="shared" si="2"/>
        <v>0</v>
      </c>
      <c r="AA12" s="928"/>
      <c r="AB12" s="929"/>
      <c r="AC12" s="692">
        <f t="shared" ref="AC12:AC13" si="8">AC11-Z12</f>
        <v>5922.77</v>
      </c>
    </row>
    <row r="13" spans="1:30" x14ac:dyDescent="0.25">
      <c r="A13" s="55"/>
      <c r="B13" s="347">
        <f t="shared" si="3"/>
        <v>84</v>
      </c>
      <c r="C13" s="336">
        <v>5</v>
      </c>
      <c r="D13" s="337">
        <v>155.86000000000001</v>
      </c>
      <c r="E13" s="685">
        <v>44849</v>
      </c>
      <c r="F13" s="337">
        <f t="shared" si="0"/>
        <v>155.86000000000001</v>
      </c>
      <c r="G13" s="673" t="s">
        <v>197</v>
      </c>
      <c r="H13" s="684">
        <v>30</v>
      </c>
      <c r="I13" s="132">
        <f t="shared" si="4"/>
        <v>2579.3700000000003</v>
      </c>
      <c r="K13" s="55"/>
      <c r="L13" s="930">
        <f t="shared" si="5"/>
        <v>94</v>
      </c>
      <c r="M13" s="926"/>
      <c r="N13" s="734"/>
      <c r="O13" s="927"/>
      <c r="P13" s="734">
        <f t="shared" si="1"/>
        <v>0</v>
      </c>
      <c r="Q13" s="928"/>
      <c r="R13" s="929"/>
      <c r="S13" s="692">
        <f t="shared" si="6"/>
        <v>2810.63</v>
      </c>
      <c r="U13" s="55"/>
      <c r="V13" s="930">
        <f t="shared" si="7"/>
        <v>205</v>
      </c>
      <c r="W13" s="926"/>
      <c r="X13" s="734"/>
      <c r="Y13" s="927"/>
      <c r="Z13" s="734">
        <f t="shared" si="2"/>
        <v>0</v>
      </c>
      <c r="AA13" s="928"/>
      <c r="AB13" s="929"/>
      <c r="AC13" s="692">
        <f t="shared" si="8"/>
        <v>5922.77</v>
      </c>
    </row>
    <row r="14" spans="1:30" x14ac:dyDescent="0.25">
      <c r="A14" s="75"/>
      <c r="B14" s="347">
        <f t="shared" si="3"/>
        <v>83</v>
      </c>
      <c r="C14" s="336">
        <v>1</v>
      </c>
      <c r="D14" s="337">
        <v>29.67</v>
      </c>
      <c r="E14" s="685">
        <v>44853</v>
      </c>
      <c r="F14" s="337">
        <f t="shared" si="0"/>
        <v>29.67</v>
      </c>
      <c r="G14" s="673" t="s">
        <v>198</v>
      </c>
      <c r="H14" s="684">
        <v>30</v>
      </c>
      <c r="I14" s="132">
        <f>I13-F14</f>
        <v>2549.7000000000003</v>
      </c>
      <c r="K14" s="75"/>
      <c r="L14" s="930">
        <f t="shared" si="5"/>
        <v>94</v>
      </c>
      <c r="M14" s="926"/>
      <c r="N14" s="734"/>
      <c r="O14" s="927"/>
      <c r="P14" s="734">
        <f t="shared" si="1"/>
        <v>0</v>
      </c>
      <c r="Q14" s="928"/>
      <c r="R14" s="929"/>
      <c r="S14" s="692">
        <f>S13-P14</f>
        <v>2810.63</v>
      </c>
      <c r="U14" s="75"/>
      <c r="V14" s="930">
        <f t="shared" si="7"/>
        <v>205</v>
      </c>
      <c r="W14" s="926"/>
      <c r="X14" s="734"/>
      <c r="Y14" s="927"/>
      <c r="Z14" s="734">
        <f t="shared" si="2"/>
        <v>0</v>
      </c>
      <c r="AA14" s="928"/>
      <c r="AB14" s="929"/>
      <c r="AC14" s="692">
        <f>AC13-Z14</f>
        <v>5922.77</v>
      </c>
    </row>
    <row r="15" spans="1:30" x14ac:dyDescent="0.25">
      <c r="A15" s="75"/>
      <c r="B15" s="347">
        <f t="shared" si="3"/>
        <v>82</v>
      </c>
      <c r="C15" s="336">
        <v>1</v>
      </c>
      <c r="D15" s="337">
        <v>28.68</v>
      </c>
      <c r="E15" s="685">
        <v>44854</v>
      </c>
      <c r="F15" s="337">
        <f t="shared" si="0"/>
        <v>28.68</v>
      </c>
      <c r="G15" s="673" t="s">
        <v>200</v>
      </c>
      <c r="H15" s="684">
        <v>30</v>
      </c>
      <c r="I15" s="132">
        <f t="shared" ref="I15:I58" si="9">I14-F15</f>
        <v>2521.0200000000004</v>
      </c>
      <c r="K15" s="75"/>
      <c r="L15" s="930">
        <f t="shared" si="5"/>
        <v>94</v>
      </c>
      <c r="M15" s="926"/>
      <c r="N15" s="734"/>
      <c r="O15" s="927"/>
      <c r="P15" s="734">
        <f t="shared" si="1"/>
        <v>0</v>
      </c>
      <c r="Q15" s="928"/>
      <c r="R15" s="929"/>
      <c r="S15" s="692">
        <f t="shared" ref="S15:S58" si="10">S14-P15</f>
        <v>2810.63</v>
      </c>
      <c r="U15" s="75"/>
      <c r="V15" s="930">
        <f t="shared" si="7"/>
        <v>205</v>
      </c>
      <c r="W15" s="926"/>
      <c r="X15" s="734"/>
      <c r="Y15" s="927"/>
      <c r="Z15" s="734">
        <f t="shared" si="2"/>
        <v>0</v>
      </c>
      <c r="AA15" s="928"/>
      <c r="AB15" s="929"/>
      <c r="AC15" s="692">
        <f t="shared" ref="AC15:AC58" si="11">AC14-Z15</f>
        <v>5922.77</v>
      </c>
    </row>
    <row r="16" spans="1:30" x14ac:dyDescent="0.25">
      <c r="B16" s="347">
        <f t="shared" si="3"/>
        <v>79</v>
      </c>
      <c r="C16" s="336">
        <v>3</v>
      </c>
      <c r="D16" s="337">
        <v>90.38</v>
      </c>
      <c r="E16" s="685">
        <v>44854</v>
      </c>
      <c r="F16" s="337">
        <f t="shared" si="0"/>
        <v>90.38</v>
      </c>
      <c r="G16" s="673" t="s">
        <v>202</v>
      </c>
      <c r="H16" s="684">
        <v>30</v>
      </c>
      <c r="I16" s="132">
        <f t="shared" si="9"/>
        <v>2430.6400000000003</v>
      </c>
      <c r="L16" s="930">
        <f t="shared" si="5"/>
        <v>94</v>
      </c>
      <c r="M16" s="926"/>
      <c r="N16" s="734"/>
      <c r="O16" s="927"/>
      <c r="P16" s="734">
        <f t="shared" si="1"/>
        <v>0</v>
      </c>
      <c r="Q16" s="928"/>
      <c r="R16" s="929"/>
      <c r="S16" s="692">
        <f t="shared" si="10"/>
        <v>2810.63</v>
      </c>
      <c r="V16" s="930">
        <f t="shared" si="7"/>
        <v>205</v>
      </c>
      <c r="W16" s="926"/>
      <c r="X16" s="734"/>
      <c r="Y16" s="927"/>
      <c r="Z16" s="734">
        <f t="shared" si="2"/>
        <v>0</v>
      </c>
      <c r="AA16" s="928"/>
      <c r="AB16" s="929"/>
      <c r="AC16" s="692">
        <f t="shared" si="11"/>
        <v>5922.77</v>
      </c>
    </row>
    <row r="17" spans="1:29" x14ac:dyDescent="0.25">
      <c r="B17" s="347">
        <f t="shared" si="3"/>
        <v>78</v>
      </c>
      <c r="C17" s="336">
        <v>1</v>
      </c>
      <c r="D17" s="337">
        <v>30.55</v>
      </c>
      <c r="E17" s="685">
        <v>44855</v>
      </c>
      <c r="F17" s="337">
        <f t="shared" si="0"/>
        <v>30.55</v>
      </c>
      <c r="G17" s="673" t="s">
        <v>203</v>
      </c>
      <c r="H17" s="684">
        <v>30</v>
      </c>
      <c r="I17" s="132">
        <f t="shared" si="9"/>
        <v>2400.09</v>
      </c>
      <c r="L17" s="930">
        <f t="shared" si="5"/>
        <v>94</v>
      </c>
      <c r="M17" s="926"/>
      <c r="N17" s="734"/>
      <c r="O17" s="927"/>
      <c r="P17" s="734">
        <f t="shared" si="1"/>
        <v>0</v>
      </c>
      <c r="Q17" s="928"/>
      <c r="R17" s="929"/>
      <c r="S17" s="692">
        <f t="shared" si="10"/>
        <v>2810.63</v>
      </c>
      <c r="V17" s="930">
        <f t="shared" si="7"/>
        <v>205</v>
      </c>
      <c r="W17" s="926"/>
      <c r="X17" s="734"/>
      <c r="Y17" s="927"/>
      <c r="Z17" s="734">
        <f t="shared" si="2"/>
        <v>0</v>
      </c>
      <c r="AA17" s="928"/>
      <c r="AB17" s="929"/>
      <c r="AC17" s="692">
        <f t="shared" si="11"/>
        <v>5922.77</v>
      </c>
    </row>
    <row r="18" spans="1:29" x14ac:dyDescent="0.25">
      <c r="B18" s="347">
        <f t="shared" si="3"/>
        <v>77</v>
      </c>
      <c r="C18" s="336">
        <v>1</v>
      </c>
      <c r="D18" s="337">
        <v>30.65</v>
      </c>
      <c r="E18" s="685">
        <v>44856</v>
      </c>
      <c r="F18" s="337">
        <f t="shared" si="0"/>
        <v>30.65</v>
      </c>
      <c r="G18" s="673" t="s">
        <v>205</v>
      </c>
      <c r="H18" s="684">
        <v>30</v>
      </c>
      <c r="I18" s="132">
        <f t="shared" si="9"/>
        <v>2369.44</v>
      </c>
      <c r="L18" s="930">
        <f t="shared" si="5"/>
        <v>94</v>
      </c>
      <c r="M18" s="926"/>
      <c r="N18" s="734"/>
      <c r="O18" s="927"/>
      <c r="P18" s="734">
        <f t="shared" si="1"/>
        <v>0</v>
      </c>
      <c r="Q18" s="928"/>
      <c r="R18" s="929"/>
      <c r="S18" s="692">
        <f t="shared" si="10"/>
        <v>2810.63</v>
      </c>
      <c r="V18" s="930">
        <f t="shared" si="7"/>
        <v>205</v>
      </c>
      <c r="W18" s="926"/>
      <c r="X18" s="734"/>
      <c r="Y18" s="927"/>
      <c r="Z18" s="734">
        <f t="shared" si="2"/>
        <v>0</v>
      </c>
      <c r="AA18" s="928"/>
      <c r="AB18" s="929"/>
      <c r="AC18" s="692">
        <f t="shared" si="11"/>
        <v>5922.77</v>
      </c>
    </row>
    <row r="19" spans="1:29" x14ac:dyDescent="0.25">
      <c r="B19" s="347">
        <f t="shared" si="3"/>
        <v>71</v>
      </c>
      <c r="C19" s="336">
        <v>6</v>
      </c>
      <c r="D19" s="337">
        <v>178.63</v>
      </c>
      <c r="E19" s="685">
        <v>44856</v>
      </c>
      <c r="F19" s="337">
        <f t="shared" si="0"/>
        <v>178.63</v>
      </c>
      <c r="G19" s="673" t="s">
        <v>207</v>
      </c>
      <c r="H19" s="684">
        <v>30</v>
      </c>
      <c r="I19" s="132">
        <f t="shared" si="9"/>
        <v>2190.81</v>
      </c>
      <c r="L19" s="930">
        <f t="shared" si="5"/>
        <v>94</v>
      </c>
      <c r="M19" s="926"/>
      <c r="N19" s="734"/>
      <c r="O19" s="927"/>
      <c r="P19" s="734">
        <f t="shared" si="1"/>
        <v>0</v>
      </c>
      <c r="Q19" s="928"/>
      <c r="R19" s="929"/>
      <c r="S19" s="692">
        <f t="shared" si="10"/>
        <v>2810.63</v>
      </c>
      <c r="V19" s="930">
        <f t="shared" si="7"/>
        <v>205</v>
      </c>
      <c r="W19" s="926"/>
      <c r="X19" s="734"/>
      <c r="Y19" s="927"/>
      <c r="Z19" s="734">
        <f t="shared" si="2"/>
        <v>0</v>
      </c>
      <c r="AA19" s="928"/>
      <c r="AB19" s="929"/>
      <c r="AC19" s="692">
        <f t="shared" si="11"/>
        <v>5922.77</v>
      </c>
    </row>
    <row r="20" spans="1:29" x14ac:dyDescent="0.25">
      <c r="B20" s="347">
        <f t="shared" si="3"/>
        <v>69</v>
      </c>
      <c r="C20" s="336">
        <v>2</v>
      </c>
      <c r="D20" s="337">
        <v>61</v>
      </c>
      <c r="E20" s="685">
        <v>44858</v>
      </c>
      <c r="F20" s="337">
        <f t="shared" si="0"/>
        <v>61</v>
      </c>
      <c r="G20" s="673" t="s">
        <v>208</v>
      </c>
      <c r="H20" s="684">
        <v>30</v>
      </c>
      <c r="I20" s="132">
        <f t="shared" si="9"/>
        <v>2129.81</v>
      </c>
      <c r="L20" s="930">
        <f t="shared" si="5"/>
        <v>94</v>
      </c>
      <c r="M20" s="926"/>
      <c r="N20" s="734"/>
      <c r="O20" s="927"/>
      <c r="P20" s="734">
        <f t="shared" si="1"/>
        <v>0</v>
      </c>
      <c r="Q20" s="928"/>
      <c r="R20" s="929"/>
      <c r="S20" s="692">
        <f t="shared" si="10"/>
        <v>2810.63</v>
      </c>
      <c r="V20" s="930">
        <f t="shared" si="7"/>
        <v>205</v>
      </c>
      <c r="W20" s="926"/>
      <c r="X20" s="734"/>
      <c r="Y20" s="927"/>
      <c r="Z20" s="734">
        <f t="shared" si="2"/>
        <v>0</v>
      </c>
      <c r="AA20" s="928"/>
      <c r="AB20" s="929"/>
      <c r="AC20" s="692">
        <f t="shared" si="11"/>
        <v>5922.77</v>
      </c>
    </row>
    <row r="21" spans="1:29" x14ac:dyDescent="0.25">
      <c r="B21" s="347">
        <f t="shared" si="3"/>
        <v>62</v>
      </c>
      <c r="C21" s="336">
        <v>7</v>
      </c>
      <c r="D21" s="337">
        <v>214.24</v>
      </c>
      <c r="E21" s="349">
        <v>44858</v>
      </c>
      <c r="F21" s="337">
        <f t="shared" si="0"/>
        <v>214.24</v>
      </c>
      <c r="G21" s="673" t="s">
        <v>209</v>
      </c>
      <c r="H21" s="684">
        <v>30</v>
      </c>
      <c r="I21" s="132">
        <f t="shared" si="9"/>
        <v>1915.57</v>
      </c>
      <c r="L21" s="930">
        <f t="shared" si="5"/>
        <v>94</v>
      </c>
      <c r="M21" s="926"/>
      <c r="N21" s="734"/>
      <c r="O21" s="931"/>
      <c r="P21" s="734">
        <f t="shared" si="1"/>
        <v>0</v>
      </c>
      <c r="Q21" s="928"/>
      <c r="R21" s="929"/>
      <c r="S21" s="692">
        <f t="shared" si="10"/>
        <v>2810.63</v>
      </c>
      <c r="V21" s="930">
        <f t="shared" si="7"/>
        <v>205</v>
      </c>
      <c r="W21" s="926"/>
      <c r="X21" s="734"/>
      <c r="Y21" s="931"/>
      <c r="Z21" s="734">
        <f t="shared" si="2"/>
        <v>0</v>
      </c>
      <c r="AA21" s="928"/>
      <c r="AB21" s="929"/>
      <c r="AC21" s="692">
        <f t="shared" si="11"/>
        <v>5922.77</v>
      </c>
    </row>
    <row r="22" spans="1:29" x14ac:dyDescent="0.25">
      <c r="B22" s="347">
        <f t="shared" si="3"/>
        <v>61</v>
      </c>
      <c r="C22" s="336">
        <v>1</v>
      </c>
      <c r="D22" s="337">
        <v>30.11</v>
      </c>
      <c r="E22" s="349">
        <v>44860</v>
      </c>
      <c r="F22" s="337">
        <f t="shared" si="0"/>
        <v>30.11</v>
      </c>
      <c r="G22" s="673" t="s">
        <v>210</v>
      </c>
      <c r="H22" s="684">
        <v>30</v>
      </c>
      <c r="I22" s="132">
        <f t="shared" si="9"/>
        <v>1885.46</v>
      </c>
      <c r="L22" s="930">
        <f t="shared" si="5"/>
        <v>94</v>
      </c>
      <c r="M22" s="926"/>
      <c r="N22" s="734"/>
      <c r="O22" s="931"/>
      <c r="P22" s="734">
        <f t="shared" si="1"/>
        <v>0</v>
      </c>
      <c r="Q22" s="928"/>
      <c r="R22" s="929"/>
      <c r="S22" s="692">
        <f t="shared" si="10"/>
        <v>2810.63</v>
      </c>
      <c r="V22" s="930">
        <f t="shared" si="7"/>
        <v>205</v>
      </c>
      <c r="W22" s="926"/>
      <c r="X22" s="734"/>
      <c r="Y22" s="931"/>
      <c r="Z22" s="734">
        <f t="shared" si="2"/>
        <v>0</v>
      </c>
      <c r="AA22" s="928"/>
      <c r="AB22" s="929"/>
      <c r="AC22" s="692">
        <f t="shared" si="11"/>
        <v>5922.77</v>
      </c>
    </row>
    <row r="23" spans="1:29" x14ac:dyDescent="0.25">
      <c r="B23" s="347">
        <f t="shared" si="3"/>
        <v>54</v>
      </c>
      <c r="C23" s="336">
        <v>7</v>
      </c>
      <c r="D23" s="337">
        <v>210.71</v>
      </c>
      <c r="E23" s="349">
        <v>44860</v>
      </c>
      <c r="F23" s="337">
        <f t="shared" si="0"/>
        <v>210.71</v>
      </c>
      <c r="G23" s="673" t="s">
        <v>211</v>
      </c>
      <c r="H23" s="684">
        <v>30</v>
      </c>
      <c r="I23" s="132">
        <f t="shared" si="9"/>
        <v>1674.75</v>
      </c>
      <c r="L23" s="930">
        <f t="shared" si="5"/>
        <v>94</v>
      </c>
      <c r="M23" s="926"/>
      <c r="N23" s="734"/>
      <c r="O23" s="931"/>
      <c r="P23" s="734">
        <f t="shared" si="1"/>
        <v>0</v>
      </c>
      <c r="Q23" s="928"/>
      <c r="R23" s="929"/>
      <c r="S23" s="692">
        <f t="shared" si="10"/>
        <v>2810.63</v>
      </c>
      <c r="V23" s="930">
        <f t="shared" si="7"/>
        <v>205</v>
      </c>
      <c r="W23" s="926"/>
      <c r="X23" s="734"/>
      <c r="Y23" s="931"/>
      <c r="Z23" s="734">
        <f t="shared" si="2"/>
        <v>0</v>
      </c>
      <c r="AA23" s="928"/>
      <c r="AB23" s="929"/>
      <c r="AC23" s="692">
        <f t="shared" si="11"/>
        <v>5922.77</v>
      </c>
    </row>
    <row r="24" spans="1:29" x14ac:dyDescent="0.25">
      <c r="B24" s="347">
        <f t="shared" si="3"/>
        <v>53</v>
      </c>
      <c r="C24" s="336">
        <v>1</v>
      </c>
      <c r="D24" s="337">
        <v>31.99</v>
      </c>
      <c r="E24" s="349">
        <v>44863</v>
      </c>
      <c r="F24" s="337">
        <f t="shared" si="0"/>
        <v>31.99</v>
      </c>
      <c r="G24" s="673" t="s">
        <v>214</v>
      </c>
      <c r="H24" s="684">
        <v>30</v>
      </c>
      <c r="I24" s="132">
        <f t="shared" si="9"/>
        <v>1642.76</v>
      </c>
      <c r="L24" s="930">
        <f t="shared" si="5"/>
        <v>94</v>
      </c>
      <c r="M24" s="926"/>
      <c r="N24" s="734"/>
      <c r="O24" s="931"/>
      <c r="P24" s="734">
        <f t="shared" si="1"/>
        <v>0</v>
      </c>
      <c r="Q24" s="928"/>
      <c r="R24" s="929"/>
      <c r="S24" s="692">
        <f t="shared" si="10"/>
        <v>2810.63</v>
      </c>
      <c r="V24" s="930">
        <f t="shared" si="7"/>
        <v>205</v>
      </c>
      <c r="W24" s="926"/>
      <c r="X24" s="734"/>
      <c r="Y24" s="931"/>
      <c r="Z24" s="734">
        <f t="shared" si="2"/>
        <v>0</v>
      </c>
      <c r="AA24" s="928"/>
      <c r="AB24" s="929"/>
      <c r="AC24" s="692">
        <f t="shared" si="11"/>
        <v>5922.77</v>
      </c>
    </row>
    <row r="25" spans="1:29" ht="15.75" x14ac:dyDescent="0.25">
      <c r="A25" s="953" t="s">
        <v>317</v>
      </c>
      <c r="B25" s="825">
        <f t="shared" si="3"/>
        <v>46</v>
      </c>
      <c r="C25" s="336">
        <v>7</v>
      </c>
      <c r="D25" s="337">
        <v>216.76</v>
      </c>
      <c r="E25" s="349">
        <v>44863</v>
      </c>
      <c r="F25" s="337">
        <f t="shared" si="0"/>
        <v>216.76</v>
      </c>
      <c r="G25" s="673" t="s">
        <v>215</v>
      </c>
      <c r="H25" s="684">
        <v>30</v>
      </c>
      <c r="I25" s="819">
        <f t="shared" si="9"/>
        <v>1426</v>
      </c>
      <c r="L25" s="930">
        <f t="shared" si="5"/>
        <v>94</v>
      </c>
      <c r="M25" s="926"/>
      <c r="N25" s="734"/>
      <c r="O25" s="931"/>
      <c r="P25" s="734">
        <f t="shared" si="1"/>
        <v>0</v>
      </c>
      <c r="Q25" s="928"/>
      <c r="R25" s="929"/>
      <c r="S25" s="692">
        <f t="shared" si="10"/>
        <v>2810.63</v>
      </c>
      <c r="V25" s="930">
        <f t="shared" si="7"/>
        <v>205</v>
      </c>
      <c r="W25" s="926"/>
      <c r="X25" s="734"/>
      <c r="Y25" s="931"/>
      <c r="Z25" s="734">
        <f t="shared" si="2"/>
        <v>0</v>
      </c>
      <c r="AA25" s="928"/>
      <c r="AB25" s="929"/>
      <c r="AC25" s="692">
        <f t="shared" si="11"/>
        <v>5922.77</v>
      </c>
    </row>
    <row r="26" spans="1:29" x14ac:dyDescent="0.25">
      <c r="B26" s="825">
        <f t="shared" si="3"/>
        <v>38</v>
      </c>
      <c r="C26" s="336">
        <v>8</v>
      </c>
      <c r="D26" s="935">
        <v>210.23</v>
      </c>
      <c r="E26" s="936">
        <v>44865</v>
      </c>
      <c r="F26" s="935">
        <f t="shared" si="0"/>
        <v>210.23</v>
      </c>
      <c r="G26" s="937" t="s">
        <v>233</v>
      </c>
      <c r="H26" s="938">
        <v>30</v>
      </c>
      <c r="I26" s="819">
        <f t="shared" si="9"/>
        <v>1215.77</v>
      </c>
      <c r="L26" s="930">
        <f t="shared" si="5"/>
        <v>94</v>
      </c>
      <c r="M26" s="926"/>
      <c r="N26" s="734"/>
      <c r="O26" s="931"/>
      <c r="P26" s="734">
        <f t="shared" si="1"/>
        <v>0</v>
      </c>
      <c r="Q26" s="928"/>
      <c r="R26" s="929"/>
      <c r="S26" s="692">
        <f t="shared" si="10"/>
        <v>2810.63</v>
      </c>
      <c r="V26" s="930">
        <f t="shared" si="7"/>
        <v>205</v>
      </c>
      <c r="W26" s="926"/>
      <c r="X26" s="734"/>
      <c r="Y26" s="931"/>
      <c r="Z26" s="734">
        <f t="shared" si="2"/>
        <v>0</v>
      </c>
      <c r="AA26" s="928"/>
      <c r="AB26" s="929"/>
      <c r="AC26" s="692">
        <f t="shared" si="11"/>
        <v>5922.77</v>
      </c>
    </row>
    <row r="27" spans="1:29" x14ac:dyDescent="0.25">
      <c r="B27" s="347">
        <f t="shared" si="3"/>
        <v>33</v>
      </c>
      <c r="C27" s="336">
        <v>5</v>
      </c>
      <c r="D27" s="1003">
        <v>150.65</v>
      </c>
      <c r="E27" s="1004">
        <v>44916</v>
      </c>
      <c r="F27" s="1003">
        <f t="shared" si="0"/>
        <v>150.65</v>
      </c>
      <c r="G27" s="1005" t="s">
        <v>768</v>
      </c>
      <c r="H27" s="1006">
        <v>30</v>
      </c>
      <c r="I27" s="132">
        <f t="shared" si="9"/>
        <v>1065.1199999999999</v>
      </c>
      <c r="L27" s="930">
        <f t="shared" si="5"/>
        <v>94</v>
      </c>
      <c r="M27" s="926"/>
      <c r="N27" s="734"/>
      <c r="O27" s="931"/>
      <c r="P27" s="734">
        <f t="shared" si="1"/>
        <v>0</v>
      </c>
      <c r="Q27" s="928"/>
      <c r="R27" s="929"/>
      <c r="S27" s="692">
        <f t="shared" si="10"/>
        <v>2810.63</v>
      </c>
      <c r="V27" s="930">
        <f t="shared" si="7"/>
        <v>205</v>
      </c>
      <c r="W27" s="926"/>
      <c r="X27" s="734"/>
      <c r="Y27" s="931"/>
      <c r="Z27" s="734">
        <f t="shared" si="2"/>
        <v>0</v>
      </c>
      <c r="AA27" s="928"/>
      <c r="AB27" s="929"/>
      <c r="AC27" s="692">
        <f t="shared" si="11"/>
        <v>5922.77</v>
      </c>
    </row>
    <row r="28" spans="1:29" x14ac:dyDescent="0.25">
      <c r="B28" s="347">
        <f t="shared" si="3"/>
        <v>28</v>
      </c>
      <c r="C28" s="336">
        <v>5</v>
      </c>
      <c r="D28" s="1003">
        <v>213.56</v>
      </c>
      <c r="E28" s="1004">
        <v>44921</v>
      </c>
      <c r="F28" s="1003">
        <f t="shared" si="0"/>
        <v>213.56</v>
      </c>
      <c r="G28" s="1005" t="s">
        <v>828</v>
      </c>
      <c r="H28" s="1006">
        <v>30</v>
      </c>
      <c r="I28" s="132">
        <f t="shared" si="9"/>
        <v>851.56</v>
      </c>
      <c r="L28" s="347">
        <f t="shared" si="5"/>
        <v>94</v>
      </c>
      <c r="M28" s="336"/>
      <c r="N28" s="337"/>
      <c r="O28" s="349"/>
      <c r="P28" s="337">
        <f t="shared" si="1"/>
        <v>0</v>
      </c>
      <c r="Q28" s="673"/>
      <c r="R28" s="684"/>
      <c r="S28" s="132">
        <f t="shared" si="10"/>
        <v>2810.63</v>
      </c>
      <c r="V28" s="347">
        <f t="shared" si="7"/>
        <v>205</v>
      </c>
      <c r="W28" s="336"/>
      <c r="X28" s="337"/>
      <c r="Y28" s="349"/>
      <c r="Z28" s="337">
        <f t="shared" si="2"/>
        <v>0</v>
      </c>
      <c r="AA28" s="673"/>
      <c r="AB28" s="684"/>
      <c r="AC28" s="132">
        <f t="shared" si="11"/>
        <v>5922.77</v>
      </c>
    </row>
    <row r="29" spans="1:29" x14ac:dyDescent="0.25">
      <c r="B29" s="347">
        <f t="shared" si="3"/>
        <v>23</v>
      </c>
      <c r="C29" s="336">
        <v>5</v>
      </c>
      <c r="D29" s="1003">
        <v>156.16</v>
      </c>
      <c r="E29" s="1004">
        <v>44924</v>
      </c>
      <c r="F29" s="1003">
        <f t="shared" si="0"/>
        <v>156.16</v>
      </c>
      <c r="G29" s="1005" t="s">
        <v>849</v>
      </c>
      <c r="H29" s="1006">
        <v>30</v>
      </c>
      <c r="I29" s="132">
        <f t="shared" si="9"/>
        <v>695.4</v>
      </c>
      <c r="L29" s="347">
        <f t="shared" si="5"/>
        <v>94</v>
      </c>
      <c r="M29" s="336"/>
      <c r="N29" s="337"/>
      <c r="O29" s="349"/>
      <c r="P29" s="337">
        <f t="shared" si="1"/>
        <v>0</v>
      </c>
      <c r="Q29" s="673"/>
      <c r="R29" s="684"/>
      <c r="S29" s="132">
        <f t="shared" si="10"/>
        <v>2810.63</v>
      </c>
      <c r="V29" s="347">
        <f t="shared" si="7"/>
        <v>205</v>
      </c>
      <c r="W29" s="336"/>
      <c r="X29" s="337"/>
      <c r="Y29" s="349"/>
      <c r="Z29" s="337">
        <f t="shared" si="2"/>
        <v>0</v>
      </c>
      <c r="AA29" s="673"/>
      <c r="AB29" s="684"/>
      <c r="AC29" s="132">
        <f t="shared" si="11"/>
        <v>5922.77</v>
      </c>
    </row>
    <row r="30" spans="1:29" x14ac:dyDescent="0.25">
      <c r="B30" s="347">
        <f t="shared" si="3"/>
        <v>23</v>
      </c>
      <c r="C30" s="336"/>
      <c r="D30" s="1003"/>
      <c r="E30" s="1004"/>
      <c r="F30" s="1003">
        <f t="shared" si="0"/>
        <v>0</v>
      </c>
      <c r="G30" s="1005"/>
      <c r="H30" s="1006"/>
      <c r="I30" s="132">
        <f t="shared" si="9"/>
        <v>695.4</v>
      </c>
      <c r="L30" s="347">
        <f t="shared" si="5"/>
        <v>94</v>
      </c>
      <c r="M30" s="336"/>
      <c r="N30" s="337"/>
      <c r="O30" s="349"/>
      <c r="P30" s="337">
        <f t="shared" si="1"/>
        <v>0</v>
      </c>
      <c r="Q30" s="673"/>
      <c r="R30" s="684"/>
      <c r="S30" s="132">
        <f t="shared" si="10"/>
        <v>2810.63</v>
      </c>
      <c r="V30" s="347">
        <f t="shared" si="7"/>
        <v>205</v>
      </c>
      <c r="W30" s="336"/>
      <c r="X30" s="337"/>
      <c r="Y30" s="349"/>
      <c r="Z30" s="337">
        <f t="shared" si="2"/>
        <v>0</v>
      </c>
      <c r="AA30" s="673"/>
      <c r="AB30" s="684"/>
      <c r="AC30" s="132">
        <f t="shared" si="11"/>
        <v>5922.77</v>
      </c>
    </row>
    <row r="31" spans="1:29" x14ac:dyDescent="0.25">
      <c r="B31" s="347">
        <f t="shared" si="3"/>
        <v>23</v>
      </c>
      <c r="C31" s="336"/>
      <c r="D31" s="1003"/>
      <c r="E31" s="1007"/>
      <c r="F31" s="1003">
        <f t="shared" si="0"/>
        <v>0</v>
      </c>
      <c r="G31" s="1005"/>
      <c r="H31" s="1006"/>
      <c r="I31" s="132">
        <f t="shared" si="9"/>
        <v>695.4</v>
      </c>
      <c r="L31" s="347">
        <f t="shared" si="5"/>
        <v>94</v>
      </c>
      <c r="M31" s="336"/>
      <c r="N31" s="337"/>
      <c r="O31" s="685"/>
      <c r="P31" s="337">
        <f t="shared" si="1"/>
        <v>0</v>
      </c>
      <c r="Q31" s="673"/>
      <c r="R31" s="684"/>
      <c r="S31" s="132">
        <f t="shared" si="10"/>
        <v>2810.63</v>
      </c>
      <c r="V31" s="347">
        <f t="shared" si="7"/>
        <v>205</v>
      </c>
      <c r="W31" s="336"/>
      <c r="X31" s="337"/>
      <c r="Y31" s="685"/>
      <c r="Z31" s="337">
        <f t="shared" si="2"/>
        <v>0</v>
      </c>
      <c r="AA31" s="673"/>
      <c r="AB31" s="684"/>
      <c r="AC31" s="132">
        <f t="shared" si="11"/>
        <v>5922.77</v>
      </c>
    </row>
    <row r="32" spans="1:29" x14ac:dyDescent="0.25">
      <c r="B32" s="347">
        <f t="shared" si="3"/>
        <v>23</v>
      </c>
      <c r="C32" s="336"/>
      <c r="D32" s="1003"/>
      <c r="E32" s="1007"/>
      <c r="F32" s="1003">
        <f t="shared" si="0"/>
        <v>0</v>
      </c>
      <c r="G32" s="1005"/>
      <c r="H32" s="1006"/>
      <c r="I32" s="132">
        <f t="shared" si="9"/>
        <v>695.4</v>
      </c>
      <c r="L32" s="347">
        <f t="shared" si="5"/>
        <v>94</v>
      </c>
      <c r="M32" s="336"/>
      <c r="N32" s="337"/>
      <c r="O32" s="685"/>
      <c r="P32" s="337">
        <f t="shared" si="1"/>
        <v>0</v>
      </c>
      <c r="Q32" s="673"/>
      <c r="R32" s="684"/>
      <c r="S32" s="132">
        <f t="shared" si="10"/>
        <v>2810.63</v>
      </c>
      <c r="V32" s="347">
        <f t="shared" si="7"/>
        <v>205</v>
      </c>
      <c r="W32" s="336"/>
      <c r="X32" s="337"/>
      <c r="Y32" s="685"/>
      <c r="Z32" s="337">
        <f t="shared" si="2"/>
        <v>0</v>
      </c>
      <c r="AA32" s="673"/>
      <c r="AB32" s="684"/>
      <c r="AC32" s="132">
        <f t="shared" si="11"/>
        <v>5922.77</v>
      </c>
    </row>
    <row r="33" spans="1:29" x14ac:dyDescent="0.25">
      <c r="B33" s="347">
        <f t="shared" si="3"/>
        <v>23</v>
      </c>
      <c r="C33" s="336"/>
      <c r="D33" s="1003"/>
      <c r="E33" s="1007"/>
      <c r="F33" s="1003">
        <f t="shared" si="0"/>
        <v>0</v>
      </c>
      <c r="G33" s="1005"/>
      <c r="H33" s="1006"/>
      <c r="I33" s="132">
        <f t="shared" si="9"/>
        <v>695.4</v>
      </c>
      <c r="L33" s="347">
        <f t="shared" si="5"/>
        <v>94</v>
      </c>
      <c r="M33" s="336"/>
      <c r="N33" s="337"/>
      <c r="O33" s="685"/>
      <c r="P33" s="337">
        <f t="shared" si="1"/>
        <v>0</v>
      </c>
      <c r="Q33" s="673"/>
      <c r="R33" s="684"/>
      <c r="S33" s="132">
        <f t="shared" si="10"/>
        <v>2810.63</v>
      </c>
      <c r="V33" s="347">
        <f t="shared" si="7"/>
        <v>205</v>
      </c>
      <c r="W33" s="336"/>
      <c r="X33" s="337"/>
      <c r="Y33" s="685"/>
      <c r="Z33" s="337">
        <f t="shared" si="2"/>
        <v>0</v>
      </c>
      <c r="AA33" s="673"/>
      <c r="AB33" s="684"/>
      <c r="AC33" s="132">
        <f t="shared" si="11"/>
        <v>5922.77</v>
      </c>
    </row>
    <row r="34" spans="1:29" x14ac:dyDescent="0.25">
      <c r="B34" s="347">
        <f t="shared" si="3"/>
        <v>23</v>
      </c>
      <c r="C34" s="336"/>
      <c r="D34" s="1003"/>
      <c r="E34" s="1007"/>
      <c r="F34" s="1003">
        <f t="shared" si="0"/>
        <v>0</v>
      </c>
      <c r="G34" s="1005"/>
      <c r="H34" s="1006"/>
      <c r="I34" s="132">
        <f t="shared" si="9"/>
        <v>695.4</v>
      </c>
      <c r="L34" s="347">
        <f t="shared" si="5"/>
        <v>94</v>
      </c>
      <c r="M34" s="336"/>
      <c r="N34" s="337"/>
      <c r="O34" s="685"/>
      <c r="P34" s="337">
        <f t="shared" si="1"/>
        <v>0</v>
      </c>
      <c r="Q34" s="673"/>
      <c r="R34" s="684"/>
      <c r="S34" s="132">
        <f t="shared" si="10"/>
        <v>2810.63</v>
      </c>
      <c r="V34" s="347">
        <f t="shared" si="7"/>
        <v>205</v>
      </c>
      <c r="W34" s="336"/>
      <c r="X34" s="337"/>
      <c r="Y34" s="685"/>
      <c r="Z34" s="337">
        <f t="shared" si="2"/>
        <v>0</v>
      </c>
      <c r="AA34" s="673"/>
      <c r="AB34" s="684"/>
      <c r="AC34" s="132">
        <f t="shared" si="11"/>
        <v>5922.77</v>
      </c>
    </row>
    <row r="35" spans="1:29" x14ac:dyDescent="0.25">
      <c r="B35" s="347">
        <f t="shared" si="3"/>
        <v>23</v>
      </c>
      <c r="C35" s="336"/>
      <c r="D35" s="1003"/>
      <c r="E35" s="1007"/>
      <c r="F35" s="1003">
        <f t="shared" si="0"/>
        <v>0</v>
      </c>
      <c r="G35" s="1005"/>
      <c r="H35" s="1006"/>
      <c r="I35" s="132">
        <f t="shared" si="9"/>
        <v>695.4</v>
      </c>
      <c r="L35" s="347">
        <f t="shared" si="5"/>
        <v>94</v>
      </c>
      <c r="M35" s="336"/>
      <c r="N35" s="337"/>
      <c r="O35" s="685"/>
      <c r="P35" s="337">
        <f t="shared" si="1"/>
        <v>0</v>
      </c>
      <c r="Q35" s="673"/>
      <c r="R35" s="684"/>
      <c r="S35" s="132">
        <f t="shared" si="10"/>
        <v>2810.63</v>
      </c>
      <c r="V35" s="347">
        <f t="shared" si="7"/>
        <v>205</v>
      </c>
      <c r="W35" s="336"/>
      <c r="X35" s="337"/>
      <c r="Y35" s="685"/>
      <c r="Z35" s="337">
        <f t="shared" si="2"/>
        <v>0</v>
      </c>
      <c r="AA35" s="673"/>
      <c r="AB35" s="684"/>
      <c r="AC35" s="132">
        <f t="shared" si="11"/>
        <v>5922.77</v>
      </c>
    </row>
    <row r="36" spans="1:29" x14ac:dyDescent="0.25">
      <c r="B36" s="347">
        <f t="shared" si="3"/>
        <v>23</v>
      </c>
      <c r="C36" s="336"/>
      <c r="D36" s="1003"/>
      <c r="E36" s="1007"/>
      <c r="F36" s="1003">
        <f t="shared" si="0"/>
        <v>0</v>
      </c>
      <c r="G36" s="1005"/>
      <c r="H36" s="1006"/>
      <c r="I36" s="132">
        <f t="shared" si="9"/>
        <v>695.4</v>
      </c>
      <c r="L36" s="347">
        <f t="shared" si="5"/>
        <v>94</v>
      </c>
      <c r="M36" s="336"/>
      <c r="N36" s="337"/>
      <c r="O36" s="685"/>
      <c r="P36" s="337">
        <f t="shared" si="1"/>
        <v>0</v>
      </c>
      <c r="Q36" s="673"/>
      <c r="R36" s="684"/>
      <c r="S36" s="132">
        <f t="shared" si="10"/>
        <v>2810.63</v>
      </c>
      <c r="V36" s="347">
        <f t="shared" si="7"/>
        <v>205</v>
      </c>
      <c r="W36" s="336"/>
      <c r="X36" s="337"/>
      <c r="Y36" s="685"/>
      <c r="Z36" s="337">
        <f t="shared" si="2"/>
        <v>0</v>
      </c>
      <c r="AA36" s="673"/>
      <c r="AB36" s="684"/>
      <c r="AC36" s="132">
        <f t="shared" si="11"/>
        <v>5922.77</v>
      </c>
    </row>
    <row r="37" spans="1:29" x14ac:dyDescent="0.25">
      <c r="B37" s="347">
        <f t="shared" si="3"/>
        <v>23</v>
      </c>
      <c r="C37" s="336"/>
      <c r="D37" s="1003"/>
      <c r="E37" s="1007"/>
      <c r="F37" s="1003">
        <f t="shared" si="0"/>
        <v>0</v>
      </c>
      <c r="G37" s="1005"/>
      <c r="H37" s="1006"/>
      <c r="I37" s="132">
        <f t="shared" si="9"/>
        <v>695.4</v>
      </c>
      <c r="L37" s="347">
        <f t="shared" si="5"/>
        <v>94</v>
      </c>
      <c r="M37" s="336"/>
      <c r="N37" s="337"/>
      <c r="O37" s="685"/>
      <c r="P37" s="337">
        <f t="shared" si="1"/>
        <v>0</v>
      </c>
      <c r="Q37" s="673"/>
      <c r="R37" s="684"/>
      <c r="S37" s="132">
        <f t="shared" si="10"/>
        <v>2810.63</v>
      </c>
      <c r="V37" s="347">
        <f t="shared" si="7"/>
        <v>205</v>
      </c>
      <c r="W37" s="336"/>
      <c r="X37" s="337"/>
      <c r="Y37" s="685"/>
      <c r="Z37" s="337">
        <f t="shared" si="2"/>
        <v>0</v>
      </c>
      <c r="AA37" s="673"/>
      <c r="AB37" s="684"/>
      <c r="AC37" s="132">
        <f t="shared" si="11"/>
        <v>5922.77</v>
      </c>
    </row>
    <row r="38" spans="1:29" x14ac:dyDescent="0.25">
      <c r="B38" s="347">
        <f t="shared" si="3"/>
        <v>23</v>
      </c>
      <c r="C38" s="336"/>
      <c r="D38" s="1003"/>
      <c r="E38" s="1007"/>
      <c r="F38" s="1003">
        <f t="shared" si="0"/>
        <v>0</v>
      </c>
      <c r="G38" s="1005"/>
      <c r="H38" s="1006"/>
      <c r="I38" s="132">
        <f t="shared" si="9"/>
        <v>695.4</v>
      </c>
      <c r="L38" s="347">
        <f t="shared" si="5"/>
        <v>94</v>
      </c>
      <c r="M38" s="336"/>
      <c r="N38" s="337"/>
      <c r="O38" s="685"/>
      <c r="P38" s="337">
        <f t="shared" si="1"/>
        <v>0</v>
      </c>
      <c r="Q38" s="673"/>
      <c r="R38" s="684"/>
      <c r="S38" s="132">
        <f t="shared" si="10"/>
        <v>2810.63</v>
      </c>
      <c r="V38" s="347">
        <f t="shared" si="7"/>
        <v>205</v>
      </c>
      <c r="W38" s="336"/>
      <c r="X38" s="337"/>
      <c r="Y38" s="685"/>
      <c r="Z38" s="337">
        <f t="shared" si="2"/>
        <v>0</v>
      </c>
      <c r="AA38" s="673"/>
      <c r="AB38" s="684"/>
      <c r="AC38" s="132">
        <f t="shared" si="11"/>
        <v>5922.77</v>
      </c>
    </row>
    <row r="39" spans="1:29" x14ac:dyDescent="0.25">
      <c r="B39" s="347">
        <f t="shared" si="3"/>
        <v>23</v>
      </c>
      <c r="C39" s="336"/>
      <c r="D39" s="1003"/>
      <c r="E39" s="1007"/>
      <c r="F39" s="1003">
        <f t="shared" si="0"/>
        <v>0</v>
      </c>
      <c r="G39" s="1005"/>
      <c r="H39" s="1006"/>
      <c r="I39" s="132">
        <f t="shared" si="9"/>
        <v>695.4</v>
      </c>
      <c r="L39" s="347">
        <f t="shared" si="5"/>
        <v>94</v>
      </c>
      <c r="M39" s="336"/>
      <c r="N39" s="337"/>
      <c r="O39" s="685"/>
      <c r="P39" s="337">
        <f t="shared" si="1"/>
        <v>0</v>
      </c>
      <c r="Q39" s="673"/>
      <c r="R39" s="684"/>
      <c r="S39" s="132">
        <f t="shared" si="10"/>
        <v>2810.63</v>
      </c>
      <c r="V39" s="347">
        <f t="shared" si="7"/>
        <v>205</v>
      </c>
      <c r="W39" s="336"/>
      <c r="X39" s="337"/>
      <c r="Y39" s="685"/>
      <c r="Z39" s="337">
        <f t="shared" si="2"/>
        <v>0</v>
      </c>
      <c r="AA39" s="673"/>
      <c r="AB39" s="684"/>
      <c r="AC39" s="132">
        <f t="shared" si="11"/>
        <v>5922.77</v>
      </c>
    </row>
    <row r="40" spans="1:29" x14ac:dyDescent="0.25">
      <c r="A40" s="75"/>
      <c r="B40" s="347">
        <f t="shared" si="3"/>
        <v>23</v>
      </c>
      <c r="C40" s="336"/>
      <c r="D40" s="935"/>
      <c r="E40" s="939"/>
      <c r="F40" s="935">
        <f t="shared" si="0"/>
        <v>0</v>
      </c>
      <c r="G40" s="937"/>
      <c r="H40" s="938"/>
      <c r="I40" s="132">
        <f t="shared" si="9"/>
        <v>695.4</v>
      </c>
      <c r="K40" s="75"/>
      <c r="L40" s="347">
        <f t="shared" si="5"/>
        <v>94</v>
      </c>
      <c r="M40" s="336"/>
      <c r="N40" s="337"/>
      <c r="O40" s="685"/>
      <c r="P40" s="337">
        <f t="shared" si="1"/>
        <v>0</v>
      </c>
      <c r="Q40" s="673"/>
      <c r="R40" s="684"/>
      <c r="S40" s="132">
        <f t="shared" si="10"/>
        <v>2810.63</v>
      </c>
      <c r="U40" s="75"/>
      <c r="V40" s="347">
        <f t="shared" si="7"/>
        <v>205</v>
      </c>
      <c r="W40" s="336"/>
      <c r="X40" s="337"/>
      <c r="Y40" s="685"/>
      <c r="Z40" s="337">
        <f t="shared" si="2"/>
        <v>0</v>
      </c>
      <c r="AA40" s="673"/>
      <c r="AB40" s="684"/>
      <c r="AC40" s="132">
        <f t="shared" si="11"/>
        <v>5922.77</v>
      </c>
    </row>
    <row r="41" spans="1:29" x14ac:dyDescent="0.25">
      <c r="B41" s="347">
        <f t="shared" si="3"/>
        <v>23</v>
      </c>
      <c r="C41" s="336"/>
      <c r="D41" s="935"/>
      <c r="E41" s="939"/>
      <c r="F41" s="935">
        <f t="shared" si="0"/>
        <v>0</v>
      </c>
      <c r="G41" s="937"/>
      <c r="H41" s="938"/>
      <c r="I41" s="132">
        <f t="shared" si="9"/>
        <v>695.4</v>
      </c>
      <c r="L41" s="347">
        <f t="shared" si="5"/>
        <v>94</v>
      </c>
      <c r="M41" s="336"/>
      <c r="N41" s="337"/>
      <c r="O41" s="685"/>
      <c r="P41" s="337">
        <f t="shared" si="1"/>
        <v>0</v>
      </c>
      <c r="Q41" s="673"/>
      <c r="R41" s="684"/>
      <c r="S41" s="132">
        <f t="shared" si="10"/>
        <v>2810.63</v>
      </c>
      <c r="V41" s="347">
        <f t="shared" si="7"/>
        <v>205</v>
      </c>
      <c r="W41" s="336"/>
      <c r="X41" s="337"/>
      <c r="Y41" s="685"/>
      <c r="Z41" s="337">
        <f t="shared" si="2"/>
        <v>0</v>
      </c>
      <c r="AA41" s="673"/>
      <c r="AB41" s="684"/>
      <c r="AC41" s="132">
        <f t="shared" si="11"/>
        <v>5922.77</v>
      </c>
    </row>
    <row r="42" spans="1:29" x14ac:dyDescent="0.25">
      <c r="B42" s="347">
        <f t="shared" si="3"/>
        <v>23</v>
      </c>
      <c r="C42" s="336"/>
      <c r="D42" s="935"/>
      <c r="E42" s="939"/>
      <c r="F42" s="935">
        <f t="shared" si="0"/>
        <v>0</v>
      </c>
      <c r="G42" s="937"/>
      <c r="H42" s="938"/>
      <c r="I42" s="132">
        <f t="shared" si="9"/>
        <v>695.4</v>
      </c>
      <c r="L42" s="347">
        <f t="shared" si="5"/>
        <v>94</v>
      </c>
      <c r="M42" s="336"/>
      <c r="N42" s="337"/>
      <c r="O42" s="685"/>
      <c r="P42" s="337">
        <f t="shared" si="1"/>
        <v>0</v>
      </c>
      <c r="Q42" s="673"/>
      <c r="R42" s="684"/>
      <c r="S42" s="132">
        <f t="shared" si="10"/>
        <v>2810.63</v>
      </c>
      <c r="V42" s="347">
        <f t="shared" si="7"/>
        <v>205</v>
      </c>
      <c r="W42" s="336"/>
      <c r="X42" s="337"/>
      <c r="Y42" s="685"/>
      <c r="Z42" s="337">
        <f t="shared" si="2"/>
        <v>0</v>
      </c>
      <c r="AA42" s="673"/>
      <c r="AB42" s="684"/>
      <c r="AC42" s="132">
        <f t="shared" si="11"/>
        <v>5922.77</v>
      </c>
    </row>
    <row r="43" spans="1:29" x14ac:dyDescent="0.25">
      <c r="B43" s="347">
        <f t="shared" si="3"/>
        <v>23</v>
      </c>
      <c r="C43" s="336"/>
      <c r="D43" s="935"/>
      <c r="E43" s="939"/>
      <c r="F43" s="935">
        <f t="shared" si="0"/>
        <v>0</v>
      </c>
      <c r="G43" s="937"/>
      <c r="H43" s="938"/>
      <c r="I43" s="132">
        <f t="shared" si="9"/>
        <v>695.4</v>
      </c>
      <c r="L43" s="347">
        <f t="shared" si="5"/>
        <v>94</v>
      </c>
      <c r="M43" s="336"/>
      <c r="N43" s="337"/>
      <c r="O43" s="685"/>
      <c r="P43" s="337">
        <f t="shared" si="1"/>
        <v>0</v>
      </c>
      <c r="Q43" s="673"/>
      <c r="R43" s="684"/>
      <c r="S43" s="132">
        <f t="shared" si="10"/>
        <v>2810.63</v>
      </c>
      <c r="V43" s="347">
        <f t="shared" si="7"/>
        <v>205</v>
      </c>
      <c r="W43" s="336"/>
      <c r="X43" s="337"/>
      <c r="Y43" s="685"/>
      <c r="Z43" s="337">
        <f t="shared" si="2"/>
        <v>0</v>
      </c>
      <c r="AA43" s="673"/>
      <c r="AB43" s="684"/>
      <c r="AC43" s="132">
        <f t="shared" si="11"/>
        <v>5922.77</v>
      </c>
    </row>
    <row r="44" spans="1:29" x14ac:dyDescent="0.25">
      <c r="B44" s="347">
        <f t="shared" si="3"/>
        <v>23</v>
      </c>
      <c r="C44" s="336"/>
      <c r="D44" s="935"/>
      <c r="E44" s="939"/>
      <c r="F44" s="935">
        <f t="shared" si="0"/>
        <v>0</v>
      </c>
      <c r="G44" s="937"/>
      <c r="H44" s="938"/>
      <c r="I44" s="132">
        <f t="shared" si="9"/>
        <v>695.4</v>
      </c>
      <c r="L44" s="347">
        <f t="shared" si="5"/>
        <v>94</v>
      </c>
      <c r="M44" s="336"/>
      <c r="N44" s="337"/>
      <c r="O44" s="685"/>
      <c r="P44" s="337">
        <f t="shared" si="1"/>
        <v>0</v>
      </c>
      <c r="Q44" s="673"/>
      <c r="R44" s="684"/>
      <c r="S44" s="132">
        <f t="shared" si="10"/>
        <v>2810.63</v>
      </c>
      <c r="V44" s="347">
        <f t="shared" si="7"/>
        <v>205</v>
      </c>
      <c r="W44" s="336"/>
      <c r="X44" s="337"/>
      <c r="Y44" s="685"/>
      <c r="Z44" s="337">
        <f t="shared" si="2"/>
        <v>0</v>
      </c>
      <c r="AA44" s="673"/>
      <c r="AB44" s="684"/>
      <c r="AC44" s="132">
        <f t="shared" si="11"/>
        <v>5922.77</v>
      </c>
    </row>
    <row r="45" spans="1:29" x14ac:dyDescent="0.25">
      <c r="B45" s="347">
        <f t="shared" si="3"/>
        <v>23</v>
      </c>
      <c r="C45" s="336"/>
      <c r="D45" s="935"/>
      <c r="E45" s="939"/>
      <c r="F45" s="935">
        <f t="shared" si="0"/>
        <v>0</v>
      </c>
      <c r="G45" s="937"/>
      <c r="H45" s="938"/>
      <c r="I45" s="132">
        <f t="shared" si="9"/>
        <v>695.4</v>
      </c>
      <c r="L45" s="347">
        <f t="shared" si="5"/>
        <v>94</v>
      </c>
      <c r="M45" s="336"/>
      <c r="N45" s="337"/>
      <c r="O45" s="685"/>
      <c r="P45" s="337">
        <f t="shared" si="1"/>
        <v>0</v>
      </c>
      <c r="Q45" s="673"/>
      <c r="R45" s="684"/>
      <c r="S45" s="132">
        <f t="shared" si="10"/>
        <v>2810.63</v>
      </c>
      <c r="V45" s="347">
        <f t="shared" si="7"/>
        <v>205</v>
      </c>
      <c r="W45" s="336"/>
      <c r="X45" s="337"/>
      <c r="Y45" s="685"/>
      <c r="Z45" s="337">
        <f t="shared" si="2"/>
        <v>0</v>
      </c>
      <c r="AA45" s="673"/>
      <c r="AB45" s="684"/>
      <c r="AC45" s="132">
        <f t="shared" si="11"/>
        <v>5922.77</v>
      </c>
    </row>
    <row r="46" spans="1:29" x14ac:dyDescent="0.25">
      <c r="B46" s="347">
        <f t="shared" si="3"/>
        <v>23</v>
      </c>
      <c r="C46" s="336"/>
      <c r="D46" s="935"/>
      <c r="E46" s="939"/>
      <c r="F46" s="935">
        <f t="shared" si="0"/>
        <v>0</v>
      </c>
      <c r="G46" s="937"/>
      <c r="H46" s="938"/>
      <c r="I46" s="132">
        <f t="shared" si="9"/>
        <v>695.4</v>
      </c>
      <c r="L46" s="347">
        <f t="shared" si="5"/>
        <v>94</v>
      </c>
      <c r="M46" s="336"/>
      <c r="N46" s="337"/>
      <c r="O46" s="685"/>
      <c r="P46" s="337">
        <f t="shared" si="1"/>
        <v>0</v>
      </c>
      <c r="Q46" s="673"/>
      <c r="R46" s="684"/>
      <c r="S46" s="132">
        <f t="shared" si="10"/>
        <v>2810.63</v>
      </c>
      <c r="V46" s="347">
        <f t="shared" si="7"/>
        <v>205</v>
      </c>
      <c r="W46" s="336"/>
      <c r="X46" s="337"/>
      <c r="Y46" s="685"/>
      <c r="Z46" s="337">
        <f t="shared" si="2"/>
        <v>0</v>
      </c>
      <c r="AA46" s="673"/>
      <c r="AB46" s="684"/>
      <c r="AC46" s="132">
        <f t="shared" si="11"/>
        <v>5922.77</v>
      </c>
    </row>
    <row r="47" spans="1:29" x14ac:dyDescent="0.25">
      <c r="B47" s="347">
        <f t="shared" si="3"/>
        <v>23</v>
      </c>
      <c r="C47" s="336"/>
      <c r="D47" s="935"/>
      <c r="E47" s="939"/>
      <c r="F47" s="935">
        <f t="shared" si="0"/>
        <v>0</v>
      </c>
      <c r="G47" s="937"/>
      <c r="H47" s="938"/>
      <c r="I47" s="132">
        <f t="shared" si="9"/>
        <v>695.4</v>
      </c>
      <c r="L47" s="347">
        <f t="shared" si="5"/>
        <v>94</v>
      </c>
      <c r="M47" s="336"/>
      <c r="N47" s="337"/>
      <c r="O47" s="685"/>
      <c r="P47" s="337">
        <f t="shared" si="1"/>
        <v>0</v>
      </c>
      <c r="Q47" s="673"/>
      <c r="R47" s="684"/>
      <c r="S47" s="132">
        <f t="shared" si="10"/>
        <v>2810.63</v>
      </c>
      <c r="V47" s="347">
        <f t="shared" si="7"/>
        <v>205</v>
      </c>
      <c r="W47" s="336"/>
      <c r="X47" s="337"/>
      <c r="Y47" s="685"/>
      <c r="Z47" s="337">
        <f t="shared" si="2"/>
        <v>0</v>
      </c>
      <c r="AA47" s="673"/>
      <c r="AB47" s="684"/>
      <c r="AC47" s="132">
        <f t="shared" si="11"/>
        <v>5922.77</v>
      </c>
    </row>
    <row r="48" spans="1:29" x14ac:dyDescent="0.25">
      <c r="B48" s="347">
        <f t="shared" si="3"/>
        <v>23</v>
      </c>
      <c r="C48" s="336"/>
      <c r="D48" s="935"/>
      <c r="E48" s="939"/>
      <c r="F48" s="935">
        <f t="shared" si="0"/>
        <v>0</v>
      </c>
      <c r="G48" s="937"/>
      <c r="H48" s="938"/>
      <c r="I48" s="132">
        <f t="shared" si="9"/>
        <v>695.4</v>
      </c>
      <c r="L48" s="347">
        <f t="shared" si="5"/>
        <v>94</v>
      </c>
      <c r="M48" s="336"/>
      <c r="N48" s="337"/>
      <c r="O48" s="685"/>
      <c r="P48" s="337">
        <f t="shared" si="1"/>
        <v>0</v>
      </c>
      <c r="Q48" s="673"/>
      <c r="R48" s="684"/>
      <c r="S48" s="132">
        <f t="shared" si="10"/>
        <v>2810.63</v>
      </c>
      <c r="V48" s="347">
        <f t="shared" si="7"/>
        <v>205</v>
      </c>
      <c r="W48" s="336"/>
      <c r="X48" s="337"/>
      <c r="Y48" s="685"/>
      <c r="Z48" s="337">
        <f t="shared" si="2"/>
        <v>0</v>
      </c>
      <c r="AA48" s="673"/>
      <c r="AB48" s="684"/>
      <c r="AC48" s="132">
        <f t="shared" si="11"/>
        <v>5922.77</v>
      </c>
    </row>
    <row r="49" spans="1:29" x14ac:dyDescent="0.25">
      <c r="B49" s="347">
        <f t="shared" si="3"/>
        <v>23</v>
      </c>
      <c r="C49" s="336"/>
      <c r="D49" s="935"/>
      <c r="E49" s="939"/>
      <c r="F49" s="935">
        <f t="shared" si="0"/>
        <v>0</v>
      </c>
      <c r="G49" s="937"/>
      <c r="H49" s="938"/>
      <c r="I49" s="132">
        <f t="shared" si="9"/>
        <v>695.4</v>
      </c>
      <c r="L49" s="347">
        <f t="shared" si="5"/>
        <v>94</v>
      </c>
      <c r="M49" s="336"/>
      <c r="N49" s="337"/>
      <c r="O49" s="685"/>
      <c r="P49" s="337">
        <f t="shared" si="1"/>
        <v>0</v>
      </c>
      <c r="Q49" s="673"/>
      <c r="R49" s="684"/>
      <c r="S49" s="132">
        <f t="shared" si="10"/>
        <v>2810.63</v>
      </c>
      <c r="V49" s="347">
        <f t="shared" si="7"/>
        <v>205</v>
      </c>
      <c r="W49" s="336"/>
      <c r="X49" s="337"/>
      <c r="Y49" s="685"/>
      <c r="Z49" s="337">
        <f t="shared" si="2"/>
        <v>0</v>
      </c>
      <c r="AA49" s="673"/>
      <c r="AB49" s="684"/>
      <c r="AC49" s="132">
        <f t="shared" si="11"/>
        <v>5922.77</v>
      </c>
    </row>
    <row r="50" spans="1:29" x14ac:dyDescent="0.25">
      <c r="B50" s="347">
        <f t="shared" si="3"/>
        <v>23</v>
      </c>
      <c r="C50" s="336"/>
      <c r="D50" s="935"/>
      <c r="E50" s="939"/>
      <c r="F50" s="935">
        <f t="shared" si="0"/>
        <v>0</v>
      </c>
      <c r="G50" s="937"/>
      <c r="H50" s="938"/>
      <c r="I50" s="132">
        <f t="shared" si="9"/>
        <v>695.4</v>
      </c>
      <c r="L50" s="347">
        <f t="shared" si="5"/>
        <v>94</v>
      </c>
      <c r="M50" s="336"/>
      <c r="N50" s="337"/>
      <c r="O50" s="685"/>
      <c r="P50" s="337">
        <f t="shared" si="1"/>
        <v>0</v>
      </c>
      <c r="Q50" s="673"/>
      <c r="R50" s="684"/>
      <c r="S50" s="132">
        <f t="shared" si="10"/>
        <v>2810.63</v>
      </c>
      <c r="V50" s="347">
        <f t="shared" si="7"/>
        <v>205</v>
      </c>
      <c r="W50" s="336"/>
      <c r="X50" s="337"/>
      <c r="Y50" s="685"/>
      <c r="Z50" s="337">
        <f t="shared" si="2"/>
        <v>0</v>
      </c>
      <c r="AA50" s="673"/>
      <c r="AB50" s="684"/>
      <c r="AC50" s="132">
        <f t="shared" si="11"/>
        <v>5922.77</v>
      </c>
    </row>
    <row r="51" spans="1:29" x14ac:dyDescent="0.25">
      <c r="B51" s="347">
        <f t="shared" si="3"/>
        <v>23</v>
      </c>
      <c r="C51" s="336"/>
      <c r="D51" s="935"/>
      <c r="E51" s="939"/>
      <c r="F51" s="935">
        <f t="shared" si="0"/>
        <v>0</v>
      </c>
      <c r="G51" s="937"/>
      <c r="H51" s="938"/>
      <c r="I51" s="132">
        <f t="shared" si="9"/>
        <v>695.4</v>
      </c>
      <c r="L51" s="347">
        <f t="shared" si="5"/>
        <v>94</v>
      </c>
      <c r="M51" s="336"/>
      <c r="N51" s="337"/>
      <c r="O51" s="685"/>
      <c r="P51" s="337">
        <f t="shared" si="1"/>
        <v>0</v>
      </c>
      <c r="Q51" s="673"/>
      <c r="R51" s="684"/>
      <c r="S51" s="132">
        <f t="shared" si="10"/>
        <v>2810.63</v>
      </c>
      <c r="V51" s="347">
        <f t="shared" si="7"/>
        <v>205</v>
      </c>
      <c r="W51" s="336"/>
      <c r="X51" s="337"/>
      <c r="Y51" s="685"/>
      <c r="Z51" s="337">
        <f t="shared" si="2"/>
        <v>0</v>
      </c>
      <c r="AA51" s="673"/>
      <c r="AB51" s="684"/>
      <c r="AC51" s="132">
        <f t="shared" si="11"/>
        <v>5922.77</v>
      </c>
    </row>
    <row r="52" spans="1:29" x14ac:dyDescent="0.25">
      <c r="B52" s="347">
        <f t="shared" si="3"/>
        <v>23</v>
      </c>
      <c r="C52" s="336"/>
      <c r="D52" s="935"/>
      <c r="E52" s="939"/>
      <c r="F52" s="935">
        <f t="shared" si="0"/>
        <v>0</v>
      </c>
      <c r="G52" s="937"/>
      <c r="H52" s="938"/>
      <c r="I52" s="132">
        <f t="shared" si="9"/>
        <v>695.4</v>
      </c>
      <c r="L52" s="347">
        <f t="shared" si="5"/>
        <v>94</v>
      </c>
      <c r="M52" s="336"/>
      <c r="N52" s="337"/>
      <c r="O52" s="685"/>
      <c r="P52" s="337">
        <f t="shared" si="1"/>
        <v>0</v>
      </c>
      <c r="Q52" s="673"/>
      <c r="R52" s="684"/>
      <c r="S52" s="132">
        <f t="shared" si="10"/>
        <v>2810.63</v>
      </c>
      <c r="V52" s="347">
        <f t="shared" si="7"/>
        <v>205</v>
      </c>
      <c r="W52" s="336"/>
      <c r="X52" s="337"/>
      <c r="Y52" s="685"/>
      <c r="Z52" s="337">
        <f t="shared" si="2"/>
        <v>0</v>
      </c>
      <c r="AA52" s="673"/>
      <c r="AB52" s="684"/>
      <c r="AC52" s="132">
        <f t="shared" si="11"/>
        <v>5922.77</v>
      </c>
    </row>
    <row r="53" spans="1:29" x14ac:dyDescent="0.25">
      <c r="B53" s="347">
        <f t="shared" si="3"/>
        <v>23</v>
      </c>
      <c r="C53" s="336"/>
      <c r="D53" s="935"/>
      <c r="E53" s="939"/>
      <c r="F53" s="935">
        <f t="shared" si="0"/>
        <v>0</v>
      </c>
      <c r="G53" s="937"/>
      <c r="H53" s="938"/>
      <c r="I53" s="132">
        <f t="shared" si="9"/>
        <v>695.4</v>
      </c>
      <c r="L53" s="347">
        <f t="shared" si="5"/>
        <v>94</v>
      </c>
      <c r="M53" s="336"/>
      <c r="N53" s="337"/>
      <c r="O53" s="685"/>
      <c r="P53" s="337">
        <f t="shared" si="1"/>
        <v>0</v>
      </c>
      <c r="Q53" s="673"/>
      <c r="R53" s="684"/>
      <c r="S53" s="132">
        <f t="shared" si="10"/>
        <v>2810.63</v>
      </c>
      <c r="V53" s="347">
        <f t="shared" si="7"/>
        <v>205</v>
      </c>
      <c r="W53" s="336"/>
      <c r="X53" s="337"/>
      <c r="Y53" s="685"/>
      <c r="Z53" s="337">
        <f t="shared" si="2"/>
        <v>0</v>
      </c>
      <c r="AA53" s="673"/>
      <c r="AB53" s="684"/>
      <c r="AC53" s="132">
        <f t="shared" si="11"/>
        <v>5922.77</v>
      </c>
    </row>
    <row r="54" spans="1:29" x14ac:dyDescent="0.25">
      <c r="B54" s="347">
        <f t="shared" si="3"/>
        <v>23</v>
      </c>
      <c r="C54" s="336"/>
      <c r="D54" s="337"/>
      <c r="E54" s="685"/>
      <c r="F54" s="337">
        <f t="shared" si="0"/>
        <v>0</v>
      </c>
      <c r="G54" s="673"/>
      <c r="H54" s="684"/>
      <c r="I54" s="132">
        <f t="shared" si="9"/>
        <v>695.4</v>
      </c>
      <c r="L54" s="347">
        <f t="shared" si="5"/>
        <v>94</v>
      </c>
      <c r="M54" s="336"/>
      <c r="N54" s="337"/>
      <c r="O54" s="685"/>
      <c r="P54" s="337">
        <f t="shared" si="1"/>
        <v>0</v>
      </c>
      <c r="Q54" s="673"/>
      <c r="R54" s="684"/>
      <c r="S54" s="132">
        <f t="shared" si="10"/>
        <v>2810.63</v>
      </c>
      <c r="V54" s="347">
        <f t="shared" si="7"/>
        <v>205</v>
      </c>
      <c r="W54" s="336"/>
      <c r="X54" s="337"/>
      <c r="Y54" s="685"/>
      <c r="Z54" s="337">
        <f t="shared" si="2"/>
        <v>0</v>
      </c>
      <c r="AA54" s="673"/>
      <c r="AB54" s="684"/>
      <c r="AC54" s="132">
        <f t="shared" si="11"/>
        <v>5922.77</v>
      </c>
    </row>
    <row r="55" spans="1:29" x14ac:dyDescent="0.25">
      <c r="B55" s="347">
        <f t="shared" si="3"/>
        <v>23</v>
      </c>
      <c r="C55" s="336"/>
      <c r="D55" s="337"/>
      <c r="E55" s="685"/>
      <c r="F55" s="337">
        <f t="shared" si="0"/>
        <v>0</v>
      </c>
      <c r="G55" s="673"/>
      <c r="H55" s="684"/>
      <c r="I55" s="132">
        <f t="shared" si="9"/>
        <v>695.4</v>
      </c>
      <c r="L55" s="347">
        <f t="shared" si="5"/>
        <v>94</v>
      </c>
      <c r="M55" s="336"/>
      <c r="N55" s="337"/>
      <c r="O55" s="685"/>
      <c r="P55" s="337">
        <f t="shared" si="1"/>
        <v>0</v>
      </c>
      <c r="Q55" s="673"/>
      <c r="R55" s="684"/>
      <c r="S55" s="132">
        <f t="shared" si="10"/>
        <v>2810.63</v>
      </c>
      <c r="V55" s="347">
        <f t="shared" si="7"/>
        <v>205</v>
      </c>
      <c r="W55" s="336"/>
      <c r="X55" s="337"/>
      <c r="Y55" s="685"/>
      <c r="Z55" s="337">
        <f t="shared" si="2"/>
        <v>0</v>
      </c>
      <c r="AA55" s="673"/>
      <c r="AB55" s="684"/>
      <c r="AC55" s="132">
        <f t="shared" si="11"/>
        <v>5922.77</v>
      </c>
    </row>
    <row r="56" spans="1:29" x14ac:dyDescent="0.25">
      <c r="B56" s="347">
        <f t="shared" si="3"/>
        <v>23</v>
      </c>
      <c r="C56" s="336"/>
      <c r="D56" s="337"/>
      <c r="E56" s="685"/>
      <c r="F56" s="337">
        <f t="shared" si="0"/>
        <v>0</v>
      </c>
      <c r="G56" s="673"/>
      <c r="H56" s="684"/>
      <c r="I56" s="132">
        <f t="shared" si="9"/>
        <v>695.4</v>
      </c>
      <c r="L56" s="347">
        <f t="shared" si="5"/>
        <v>94</v>
      </c>
      <c r="M56" s="336"/>
      <c r="N56" s="337"/>
      <c r="O56" s="685"/>
      <c r="P56" s="337">
        <f t="shared" si="1"/>
        <v>0</v>
      </c>
      <c r="Q56" s="673"/>
      <c r="R56" s="684"/>
      <c r="S56" s="132">
        <f t="shared" si="10"/>
        <v>2810.63</v>
      </c>
      <c r="V56" s="347">
        <f t="shared" si="7"/>
        <v>205</v>
      </c>
      <c r="W56" s="336"/>
      <c r="X56" s="337"/>
      <c r="Y56" s="685"/>
      <c r="Z56" s="337">
        <f t="shared" si="2"/>
        <v>0</v>
      </c>
      <c r="AA56" s="673"/>
      <c r="AB56" s="684"/>
      <c r="AC56" s="132">
        <f t="shared" si="11"/>
        <v>5922.77</v>
      </c>
    </row>
    <row r="57" spans="1:29" x14ac:dyDescent="0.25">
      <c r="B57" s="347">
        <f t="shared" si="3"/>
        <v>23</v>
      </c>
      <c r="C57" s="336"/>
      <c r="D57" s="337"/>
      <c r="E57" s="685"/>
      <c r="F57" s="337">
        <f t="shared" si="0"/>
        <v>0</v>
      </c>
      <c r="G57" s="673"/>
      <c r="H57" s="684"/>
      <c r="I57" s="132">
        <f t="shared" si="9"/>
        <v>695.4</v>
      </c>
      <c r="L57" s="347">
        <f t="shared" si="5"/>
        <v>94</v>
      </c>
      <c r="M57" s="336"/>
      <c r="N57" s="337"/>
      <c r="O57" s="685"/>
      <c r="P57" s="337">
        <f t="shared" si="1"/>
        <v>0</v>
      </c>
      <c r="Q57" s="673"/>
      <c r="R57" s="684"/>
      <c r="S57" s="132">
        <f t="shared" si="10"/>
        <v>2810.63</v>
      </c>
      <c r="V57" s="347">
        <f t="shared" si="7"/>
        <v>205</v>
      </c>
      <c r="W57" s="336"/>
      <c r="X57" s="337"/>
      <c r="Y57" s="685"/>
      <c r="Z57" s="337">
        <f t="shared" si="2"/>
        <v>0</v>
      </c>
      <c r="AA57" s="673"/>
      <c r="AB57" s="684"/>
      <c r="AC57" s="132">
        <f t="shared" si="11"/>
        <v>5922.77</v>
      </c>
    </row>
    <row r="58" spans="1:29" x14ac:dyDescent="0.25">
      <c r="B58" s="347">
        <f t="shared" si="3"/>
        <v>23</v>
      </c>
      <c r="C58" s="336"/>
      <c r="D58" s="337"/>
      <c r="E58" s="488"/>
      <c r="F58" s="337"/>
      <c r="G58" s="673"/>
      <c r="H58" s="684"/>
      <c r="I58" s="132">
        <f t="shared" si="9"/>
        <v>695.4</v>
      </c>
      <c r="L58" s="347">
        <f t="shared" si="5"/>
        <v>94</v>
      </c>
      <c r="M58" s="336"/>
      <c r="N58" s="337"/>
      <c r="O58" s="488"/>
      <c r="P58" s="337"/>
      <c r="Q58" s="673"/>
      <c r="R58" s="684"/>
      <c r="S58" s="132">
        <f t="shared" si="10"/>
        <v>2810.63</v>
      </c>
      <c r="V58" s="347">
        <f t="shared" si="7"/>
        <v>205</v>
      </c>
      <c r="W58" s="336"/>
      <c r="X58" s="337"/>
      <c r="Y58" s="488"/>
      <c r="Z58" s="337"/>
      <c r="AA58" s="673"/>
      <c r="AB58" s="684"/>
      <c r="AC58" s="132">
        <f t="shared" si="11"/>
        <v>5922.77</v>
      </c>
    </row>
    <row r="59" spans="1:29" x14ac:dyDescent="0.25">
      <c r="B59" s="347"/>
      <c r="C59" s="336"/>
      <c r="D59" s="337"/>
      <c r="E59" s="488"/>
      <c r="F59" s="337"/>
      <c r="G59" s="686"/>
      <c r="H59" s="488"/>
      <c r="I59" s="132"/>
      <c r="L59" s="347"/>
      <c r="M59" s="336"/>
      <c r="N59" s="337"/>
      <c r="O59" s="488"/>
      <c r="P59" s="337"/>
      <c r="Q59" s="686"/>
      <c r="R59" s="488"/>
      <c r="S59" s="132"/>
      <c r="V59" s="347"/>
      <c r="W59" s="336"/>
      <c r="X59" s="337"/>
      <c r="Y59" s="488"/>
      <c r="Z59" s="337"/>
      <c r="AA59" s="686"/>
      <c r="AB59" s="488"/>
      <c r="AC59" s="132"/>
    </row>
    <row r="60" spans="1:29" x14ac:dyDescent="0.25">
      <c r="B60" s="347"/>
      <c r="C60" s="336"/>
      <c r="D60" s="337"/>
      <c r="E60" s="488"/>
      <c r="F60" s="337"/>
      <c r="G60" s="686"/>
      <c r="H60" s="488"/>
      <c r="I60" s="132"/>
      <c r="L60" s="347"/>
      <c r="M60" s="336"/>
      <c r="N60" s="337"/>
      <c r="O60" s="488"/>
      <c r="P60" s="337"/>
      <c r="Q60" s="686"/>
      <c r="R60" s="488"/>
      <c r="S60" s="132"/>
      <c r="V60" s="347"/>
      <c r="W60" s="336"/>
      <c r="X60" s="337"/>
      <c r="Y60" s="488"/>
      <c r="Z60" s="337"/>
      <c r="AA60" s="686"/>
      <c r="AB60" s="488"/>
      <c r="AC60" s="132"/>
    </row>
    <row r="61" spans="1:29" ht="15.75" thickBot="1" x14ac:dyDescent="0.3">
      <c r="B61" s="74"/>
      <c r="C61" s="338"/>
      <c r="D61" s="544"/>
      <c r="E61" s="345"/>
      <c r="F61" s="344"/>
      <c r="G61" s="346"/>
      <c r="H61" s="487"/>
      <c r="I61" s="279"/>
      <c r="L61" s="74"/>
      <c r="M61" s="338"/>
      <c r="N61" s="544"/>
      <c r="O61" s="345"/>
      <c r="P61" s="344"/>
      <c r="Q61" s="346"/>
      <c r="R61" s="487"/>
      <c r="S61" s="279"/>
      <c r="V61" s="74"/>
      <c r="W61" s="338"/>
      <c r="X61" s="544"/>
      <c r="Y61" s="345"/>
      <c r="Z61" s="344"/>
      <c r="AA61" s="346"/>
      <c r="AB61" s="487"/>
      <c r="AC61" s="279"/>
    </row>
    <row r="62" spans="1:29" ht="15.75" thickTop="1" x14ac:dyDescent="0.25">
      <c r="A62" s="75"/>
      <c r="B62" s="75"/>
      <c r="C62" s="75">
        <f>SUM(C10:C61)</f>
        <v>81</v>
      </c>
      <c r="D62" s="105">
        <f>SUM(D10:D61)</f>
        <v>2484.7899999999995</v>
      </c>
      <c r="E62" s="75"/>
      <c r="F62" s="105">
        <f>SUM(F10:F61)</f>
        <v>2484.7899999999995</v>
      </c>
      <c r="G62" s="75"/>
      <c r="H62" s="75"/>
      <c r="K62" s="75"/>
      <c r="L62" s="75"/>
      <c r="M62" s="75">
        <f>SUM(M10:M61)</f>
        <v>0</v>
      </c>
      <c r="N62" s="105">
        <f>SUM(N10:N61)</f>
        <v>0</v>
      </c>
      <c r="O62" s="75"/>
      <c r="P62" s="105">
        <f>SUM(P10:P61)</f>
        <v>0</v>
      </c>
      <c r="Q62" s="75"/>
      <c r="R62" s="75"/>
      <c r="U62" s="75"/>
      <c r="V62" s="75"/>
      <c r="W62" s="75">
        <f>SUM(W10:W61)</f>
        <v>0</v>
      </c>
      <c r="X62" s="105">
        <f>SUM(X10:X61)</f>
        <v>0</v>
      </c>
      <c r="Y62" s="75"/>
      <c r="Z62" s="105">
        <f>SUM(Z10:Z61)</f>
        <v>0</v>
      </c>
      <c r="AA62" s="75"/>
      <c r="AB62" s="75"/>
    </row>
    <row r="63" spans="1:29" x14ac:dyDescent="0.25">
      <c r="A63" s="75"/>
      <c r="B63" s="75"/>
      <c r="C63" s="699"/>
      <c r="D63" s="698"/>
      <c r="E63" s="698"/>
      <c r="F63" s="700"/>
      <c r="G63" s="75"/>
      <c r="H63" s="75"/>
      <c r="K63" s="75"/>
      <c r="L63" s="75"/>
      <c r="M63" s="699"/>
      <c r="N63" s="698"/>
      <c r="O63" s="698"/>
      <c r="P63" s="700"/>
      <c r="Q63" s="75"/>
      <c r="R63" s="75"/>
      <c r="U63" s="75"/>
      <c r="V63" s="75"/>
      <c r="W63" s="699"/>
      <c r="X63" s="698"/>
      <c r="Y63" s="698"/>
      <c r="Z63" s="700"/>
      <c r="AA63" s="75"/>
      <c r="AB63" s="75"/>
    </row>
    <row r="64" spans="1:29" ht="15.75" thickBot="1" x14ac:dyDescent="0.3">
      <c r="A64" s="75"/>
      <c r="B64" s="75"/>
      <c r="C64" s="699"/>
      <c r="D64" s="698"/>
      <c r="E64" s="698"/>
      <c r="F64" s="698"/>
      <c r="G64" s="75"/>
      <c r="H64" s="75"/>
      <c r="K64" s="75"/>
      <c r="L64" s="75"/>
      <c r="M64" s="699"/>
      <c r="N64" s="698"/>
      <c r="O64" s="698"/>
      <c r="P64" s="698"/>
      <c r="Q64" s="75"/>
      <c r="R64" s="75"/>
      <c r="U64" s="75"/>
      <c r="V64" s="75"/>
      <c r="W64" s="699"/>
      <c r="X64" s="698"/>
      <c r="Y64" s="698"/>
      <c r="Z64" s="698"/>
      <c r="AA64" s="75"/>
      <c r="AB64" s="75"/>
    </row>
    <row r="65" spans="1:28" ht="29.25" customHeight="1" x14ac:dyDescent="0.25">
      <c r="A65" s="75"/>
      <c r="B65" s="75"/>
      <c r="C65" s="75"/>
      <c r="D65" s="701" t="s">
        <v>21</v>
      </c>
      <c r="E65" s="702"/>
      <c r="F65" s="703">
        <f>E4+E5+E6+E7+E8-F62</f>
        <v>695.40000000000055</v>
      </c>
      <c r="G65" s="75"/>
      <c r="H65" s="75"/>
      <c r="K65" s="75"/>
      <c r="L65" s="75"/>
      <c r="M65" s="75"/>
      <c r="N65" s="701" t="s">
        <v>21</v>
      </c>
      <c r="O65" s="702"/>
      <c r="P65" s="703">
        <f>O4+O5+O6+O7+O8-P62</f>
        <v>2810.63</v>
      </c>
      <c r="Q65" s="75"/>
      <c r="R65" s="75"/>
      <c r="U65" s="75"/>
      <c r="V65" s="75"/>
      <c r="W65" s="75"/>
      <c r="X65" s="701" t="s">
        <v>21</v>
      </c>
      <c r="Y65" s="702"/>
      <c r="Z65" s="703">
        <f>Y4+Y5+Y6+Y7+Y8-Z62</f>
        <v>5922.77</v>
      </c>
      <c r="AA65" s="75"/>
      <c r="AB65" s="75"/>
    </row>
    <row r="66" spans="1:28" ht="28.5" customHeight="1" thickBot="1" x14ac:dyDescent="0.3">
      <c r="A66" s="75"/>
      <c r="B66" s="75"/>
      <c r="C66" s="75"/>
      <c r="D66" s="704" t="s">
        <v>4</v>
      </c>
      <c r="E66" s="705"/>
      <c r="F66" s="706">
        <f>F4+F5+F6+F7+F8-C62</f>
        <v>23</v>
      </c>
      <c r="G66" s="75"/>
      <c r="H66" s="75"/>
      <c r="K66" s="75"/>
      <c r="L66" s="75"/>
      <c r="M66" s="75"/>
      <c r="N66" s="704" t="s">
        <v>4</v>
      </c>
      <c r="O66" s="705"/>
      <c r="P66" s="706">
        <f>P4+P5+P6+P7+P8-M62</f>
        <v>94</v>
      </c>
      <c r="Q66" s="75"/>
      <c r="R66" s="75"/>
      <c r="U66" s="75"/>
      <c r="V66" s="75"/>
      <c r="W66" s="75"/>
      <c r="X66" s="704" t="s">
        <v>4</v>
      </c>
      <c r="Y66" s="705"/>
      <c r="Z66" s="706">
        <f>Z4+Z5+Z6+Z7+Z8-W62</f>
        <v>205</v>
      </c>
      <c r="AA66" s="75"/>
      <c r="AB66" s="75"/>
    </row>
    <row r="67" spans="1:28" x14ac:dyDescent="0.25">
      <c r="A67" s="75"/>
      <c r="B67" s="75"/>
      <c r="C67" s="75"/>
      <c r="E67" s="75"/>
      <c r="F67" s="75"/>
      <c r="G67" s="75"/>
      <c r="H67" s="75"/>
      <c r="K67" s="75"/>
      <c r="L67" s="75"/>
      <c r="M67" s="75"/>
      <c r="O67" s="75"/>
      <c r="P67" s="75"/>
      <c r="Q67" s="75"/>
      <c r="R67" s="75"/>
      <c r="U67" s="75"/>
      <c r="V67" s="75"/>
      <c r="W67" s="75"/>
      <c r="Y67" s="75"/>
      <c r="Z67" s="75"/>
      <c r="AA67" s="75"/>
      <c r="AB67" s="75"/>
    </row>
    <row r="68" spans="1:28" x14ac:dyDescent="0.25">
      <c r="A68" s="75"/>
      <c r="B68" s="75"/>
      <c r="C68" s="75"/>
      <c r="E68" s="75"/>
      <c r="F68" s="75"/>
      <c r="G68" s="75"/>
      <c r="H68" s="75"/>
      <c r="K68" s="75"/>
      <c r="L68" s="75"/>
      <c r="M68" s="75"/>
      <c r="O68" s="75"/>
      <c r="P68" s="75"/>
      <c r="Q68" s="75"/>
      <c r="R68" s="75"/>
      <c r="U68" s="75"/>
      <c r="V68" s="75"/>
      <c r="W68" s="75"/>
      <c r="Y68" s="75"/>
      <c r="Z68" s="75"/>
      <c r="AA68" s="75"/>
      <c r="AB68" s="75"/>
    </row>
    <row r="69" spans="1:28" x14ac:dyDescent="0.25">
      <c r="A69" s="75"/>
      <c r="B69" s="75"/>
      <c r="C69" s="75"/>
      <c r="E69" s="75"/>
      <c r="F69" s="75"/>
      <c r="G69" s="75"/>
      <c r="H69" s="75"/>
      <c r="K69" s="75"/>
      <c r="L69" s="75"/>
      <c r="M69" s="75"/>
      <c r="O69" s="75"/>
      <c r="P69" s="75"/>
      <c r="Q69" s="75"/>
      <c r="R69" s="75"/>
      <c r="U69" s="75"/>
      <c r="V69" s="75"/>
      <c r="W69" s="75"/>
      <c r="Y69" s="75"/>
      <c r="Z69" s="75"/>
      <c r="AA69" s="75"/>
      <c r="AB69" s="75"/>
    </row>
  </sheetData>
  <mergeCells count="9">
    <mergeCell ref="U1:AA1"/>
    <mergeCell ref="U4:U6"/>
    <mergeCell ref="V5:V6"/>
    <mergeCell ref="A1:G1"/>
    <mergeCell ref="A4:A6"/>
    <mergeCell ref="B5:B6"/>
    <mergeCell ref="K1:Q1"/>
    <mergeCell ref="K4:K6"/>
    <mergeCell ref="L5:L6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AC39"/>
  <sheetViews>
    <sheetView topLeftCell="T1" workbookViewId="0">
      <selection activeCell="AG22" sqref="AG22"/>
    </sheetView>
  </sheetViews>
  <sheetFormatPr baseColWidth="10" defaultRowHeight="15" x14ac:dyDescent="0.25"/>
  <cols>
    <col min="1" max="1" width="25.28515625" bestFit="1" customWidth="1"/>
    <col min="2" max="2" width="19.140625" bestFit="1" customWidth="1"/>
    <col min="3" max="3" width="10" bestFit="1" customWidth="1"/>
    <col min="4" max="4" width="14.85546875" bestFit="1" customWidth="1"/>
    <col min="5" max="5" width="11" bestFit="1" customWidth="1"/>
    <col min="6" max="6" width="13.42578125" bestFit="1" customWidth="1"/>
    <col min="7" max="7" width="12.85546875" bestFit="1" customWidth="1"/>
    <col min="9" max="9" width="11.42578125" style="75"/>
    <col min="11" max="11" width="25.28515625" bestFit="1" customWidth="1"/>
    <col min="12" max="12" width="19.140625" bestFit="1" customWidth="1"/>
    <col min="13" max="13" width="14.42578125" bestFit="1" customWidth="1"/>
    <col min="14" max="14" width="14.85546875" bestFit="1" customWidth="1"/>
    <col min="15" max="15" width="13" customWidth="1"/>
    <col min="16" max="16" width="13.42578125" bestFit="1" customWidth="1"/>
    <col min="17" max="17" width="12.85546875" bestFit="1" customWidth="1"/>
    <col min="19" max="19" width="11.42578125" style="75"/>
    <col min="21" max="21" width="25.28515625" bestFit="1" customWidth="1"/>
    <col min="22" max="22" width="19.140625" bestFit="1" customWidth="1"/>
    <col min="23" max="23" width="14.42578125" bestFit="1" customWidth="1"/>
    <col min="24" max="24" width="14.85546875" bestFit="1" customWidth="1"/>
    <col min="25" max="25" width="13.5703125" customWidth="1"/>
    <col min="26" max="26" width="12.140625" customWidth="1"/>
    <col min="27" max="27" width="12.85546875" bestFit="1" customWidth="1"/>
    <col min="29" max="29" width="11.42578125" style="75"/>
  </cols>
  <sheetData>
    <row r="1" spans="1:29" ht="40.5" x14ac:dyDescent="0.55000000000000004">
      <c r="A1" s="1386" t="s">
        <v>333</v>
      </c>
      <c r="B1" s="1386"/>
      <c r="C1" s="1386"/>
      <c r="D1" s="1386"/>
      <c r="E1" s="1386"/>
      <c r="F1" s="1386"/>
      <c r="G1" s="1386"/>
      <c r="H1" s="11">
        <v>1</v>
      </c>
      <c r="K1" s="1386" t="str">
        <f>A1</f>
        <v>INVENTARIO DEL MES DE NOVIEMBRE 2022</v>
      </c>
      <c r="L1" s="1386"/>
      <c r="M1" s="1386"/>
      <c r="N1" s="1386"/>
      <c r="O1" s="1386"/>
      <c r="P1" s="1386"/>
      <c r="Q1" s="1386"/>
      <c r="R1" s="11">
        <v>2</v>
      </c>
      <c r="U1" s="1390" t="s">
        <v>339</v>
      </c>
      <c r="V1" s="1390"/>
      <c r="W1" s="1390"/>
      <c r="X1" s="1390"/>
      <c r="Y1" s="1390"/>
      <c r="Z1" s="1390"/>
      <c r="AA1" s="1390"/>
      <c r="AB1" s="11">
        <v>3</v>
      </c>
    </row>
    <row r="2" spans="1:29" ht="15.75" thickBot="1" x14ac:dyDescent="0.3"/>
    <row r="3" spans="1:2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  <c r="U3" s="9" t="s">
        <v>0</v>
      </c>
      <c r="V3" s="9" t="s">
        <v>1</v>
      </c>
      <c r="W3" s="9"/>
      <c r="X3" s="9" t="s">
        <v>2</v>
      </c>
      <c r="Y3" s="9" t="s">
        <v>3</v>
      </c>
      <c r="Z3" s="9" t="s">
        <v>4</v>
      </c>
      <c r="AA3" s="26" t="s">
        <v>20</v>
      </c>
      <c r="AB3" s="35" t="s">
        <v>6</v>
      </c>
    </row>
    <row r="4" spans="1:29" ht="15.75" thickTop="1" x14ac:dyDescent="0.25">
      <c r="B4" s="1471" t="s">
        <v>120</v>
      </c>
      <c r="C4" s="102"/>
      <c r="D4" s="135"/>
      <c r="E4" s="942">
        <v>811.01</v>
      </c>
      <c r="F4" s="62">
        <v>28</v>
      </c>
      <c r="G4" s="801"/>
      <c r="L4" s="1471" t="s">
        <v>120</v>
      </c>
      <c r="M4" s="102"/>
      <c r="N4" s="135"/>
      <c r="O4" s="86">
        <v>32.69</v>
      </c>
      <c r="P4" s="73"/>
      <c r="Q4" s="924"/>
      <c r="V4" s="1471" t="s">
        <v>120</v>
      </c>
      <c r="W4" s="102"/>
      <c r="X4" s="135"/>
      <c r="Y4" s="86"/>
      <c r="Z4" s="73"/>
      <c r="AA4" s="1056"/>
    </row>
    <row r="5" spans="1:29" x14ac:dyDescent="0.25">
      <c r="A5" s="75" t="s">
        <v>52</v>
      </c>
      <c r="B5" s="1472"/>
      <c r="C5" s="102">
        <v>90</v>
      </c>
      <c r="D5" s="135">
        <v>44846</v>
      </c>
      <c r="E5" s="86">
        <v>2025.36</v>
      </c>
      <c r="F5" s="73">
        <v>70</v>
      </c>
      <c r="G5" s="48">
        <f>F32</f>
        <v>2836.3700000000008</v>
      </c>
      <c r="H5" s="138">
        <f>E5-G5+E6</f>
        <v>-811.0100000000009</v>
      </c>
      <c r="K5" s="75" t="s">
        <v>52</v>
      </c>
      <c r="L5" s="1472"/>
      <c r="M5" s="102">
        <v>76</v>
      </c>
      <c r="N5" s="135">
        <v>44887</v>
      </c>
      <c r="O5" s="86">
        <v>2081.2600000000002</v>
      </c>
      <c r="P5" s="73">
        <v>80</v>
      </c>
      <c r="Q5" s="48">
        <f>P32</f>
        <v>593.88</v>
      </c>
      <c r="R5" s="138">
        <f>O5-Q5+O6</f>
        <v>1487.38</v>
      </c>
      <c r="U5" s="75" t="s">
        <v>52</v>
      </c>
      <c r="V5" s="1472"/>
      <c r="W5" s="102">
        <v>70</v>
      </c>
      <c r="X5" s="135">
        <v>44905</v>
      </c>
      <c r="Y5" s="86">
        <v>2835.98</v>
      </c>
      <c r="Z5" s="73">
        <v>120</v>
      </c>
      <c r="AA5" s="48">
        <f>Z32</f>
        <v>0</v>
      </c>
      <c r="AB5" s="138">
        <f>Y5-AA5+Y6</f>
        <v>2835.98</v>
      </c>
    </row>
    <row r="6" spans="1:29" ht="15.75" thickBot="1" x14ac:dyDescent="0.3">
      <c r="C6" s="102"/>
      <c r="D6" s="135"/>
      <c r="E6" s="75"/>
      <c r="F6" s="73"/>
      <c r="G6" s="73"/>
      <c r="M6" s="102"/>
      <c r="N6" s="135"/>
      <c r="O6" s="75"/>
      <c r="P6" s="73"/>
      <c r="Q6" s="73"/>
      <c r="W6" s="102"/>
      <c r="X6" s="135"/>
      <c r="Y6" s="75"/>
      <c r="Z6" s="73"/>
      <c r="AA6" s="73"/>
    </row>
    <row r="7" spans="1:29" ht="17.25" thickTop="1" thickBot="1" x14ac:dyDescent="0.3">
      <c r="B7" s="634" t="s">
        <v>7</v>
      </c>
      <c r="C7" s="635" t="s">
        <v>8</v>
      </c>
      <c r="D7" s="636" t="s">
        <v>17</v>
      </c>
      <c r="E7" s="637" t="s">
        <v>2</v>
      </c>
      <c r="F7" s="638" t="s">
        <v>18</v>
      </c>
      <c r="G7" s="639" t="s">
        <v>15</v>
      </c>
      <c r="H7" s="24"/>
      <c r="L7" s="634" t="s">
        <v>7</v>
      </c>
      <c r="M7" s="635" t="s">
        <v>8</v>
      </c>
      <c r="N7" s="636" t="s">
        <v>17</v>
      </c>
      <c r="O7" s="637" t="s">
        <v>2</v>
      </c>
      <c r="P7" s="638" t="s">
        <v>18</v>
      </c>
      <c r="Q7" s="639" t="s">
        <v>15</v>
      </c>
      <c r="R7" s="24"/>
      <c r="V7" s="634" t="s">
        <v>7</v>
      </c>
      <c r="W7" s="635" t="s">
        <v>8</v>
      </c>
      <c r="X7" s="636" t="s">
        <v>17</v>
      </c>
      <c r="Y7" s="637" t="s">
        <v>2</v>
      </c>
      <c r="Z7" s="638" t="s">
        <v>18</v>
      </c>
      <c r="AA7" s="639" t="s">
        <v>15</v>
      </c>
      <c r="AB7" s="24"/>
    </row>
    <row r="8" spans="1:29" ht="15.75" thickTop="1" x14ac:dyDescent="0.25">
      <c r="A8" s="55"/>
      <c r="B8" s="840">
        <f>F4+F5+F6-C8</f>
        <v>62</v>
      </c>
      <c r="C8" s="616">
        <v>36</v>
      </c>
      <c r="D8" s="622">
        <v>988.57</v>
      </c>
      <c r="E8" s="680">
        <v>44874</v>
      </c>
      <c r="F8" s="514">
        <f>D8</f>
        <v>988.57</v>
      </c>
      <c r="G8" s="515" t="s">
        <v>253</v>
      </c>
      <c r="H8" s="222">
        <v>92</v>
      </c>
      <c r="I8" s="819">
        <f>E4+E5+E6-F8</f>
        <v>1847.7999999999997</v>
      </c>
      <c r="K8" s="55"/>
      <c r="L8" s="840">
        <f>P4+P5+P6-M8</f>
        <v>65</v>
      </c>
      <c r="M8" s="616">
        <v>15</v>
      </c>
      <c r="N8" s="622">
        <v>349.17</v>
      </c>
      <c r="O8" s="680">
        <v>44932</v>
      </c>
      <c r="P8" s="514">
        <f>N8</f>
        <v>349.17</v>
      </c>
      <c r="Q8" s="515" t="s">
        <v>906</v>
      </c>
      <c r="R8" s="222">
        <v>78</v>
      </c>
      <c r="S8" s="819">
        <f>O4+O5+O6-P8</f>
        <v>1764.7800000000002</v>
      </c>
      <c r="U8" s="55"/>
      <c r="V8" s="1116">
        <f>Z4+Z5+Z6-W8</f>
        <v>120</v>
      </c>
      <c r="W8" s="616"/>
      <c r="X8" s="622"/>
      <c r="Y8" s="680"/>
      <c r="Z8" s="514">
        <f>X8</f>
        <v>0</v>
      </c>
      <c r="AA8" s="515"/>
      <c r="AB8" s="222"/>
      <c r="AC8" s="692">
        <f>Y4+Y5+Y6-Z8</f>
        <v>2835.98</v>
      </c>
    </row>
    <row r="9" spans="1:29" x14ac:dyDescent="0.25">
      <c r="A9" s="75"/>
      <c r="B9" s="416">
        <f>B8-C9</f>
        <v>59</v>
      </c>
      <c r="C9" s="617">
        <v>3</v>
      </c>
      <c r="D9" s="536">
        <v>92.86</v>
      </c>
      <c r="E9" s="680">
        <v>44876</v>
      </c>
      <c r="F9" s="514">
        <f>D9</f>
        <v>92.86</v>
      </c>
      <c r="G9" s="541" t="s">
        <v>262</v>
      </c>
      <c r="H9" s="681">
        <v>92</v>
      </c>
      <c r="I9" s="132">
        <f>I8-F9</f>
        <v>1754.9399999999998</v>
      </c>
      <c r="K9" s="75"/>
      <c r="L9" s="416">
        <f>L8-M9</f>
        <v>55</v>
      </c>
      <c r="M9" s="617">
        <v>10</v>
      </c>
      <c r="N9" s="536">
        <v>244.71</v>
      </c>
      <c r="O9" s="680">
        <v>44932</v>
      </c>
      <c r="P9" s="514">
        <f>N9</f>
        <v>244.71</v>
      </c>
      <c r="Q9" s="541" t="s">
        <v>906</v>
      </c>
      <c r="R9" s="681">
        <v>78</v>
      </c>
      <c r="S9" s="132">
        <f>S8-P9</f>
        <v>1520.0700000000002</v>
      </c>
      <c r="U9" s="75"/>
      <c r="V9" s="416">
        <f>V8-W9</f>
        <v>120</v>
      </c>
      <c r="W9" s="617"/>
      <c r="X9" s="536"/>
      <c r="Y9" s="680"/>
      <c r="Z9" s="514">
        <f>X9</f>
        <v>0</v>
      </c>
      <c r="AA9" s="541"/>
      <c r="AB9" s="681"/>
      <c r="AC9" s="132">
        <f>AC8-Z9</f>
        <v>2835.98</v>
      </c>
    </row>
    <row r="10" spans="1:29" x14ac:dyDescent="0.25">
      <c r="A10" s="75"/>
      <c r="B10" s="840">
        <f t="shared" ref="B10:B28" si="0">B9-C10</f>
        <v>54</v>
      </c>
      <c r="C10" s="617">
        <v>5</v>
      </c>
      <c r="D10" s="536">
        <v>144.91</v>
      </c>
      <c r="E10" s="680">
        <v>44889</v>
      </c>
      <c r="F10" s="514">
        <f t="shared" ref="F10:F28" si="1">D10</f>
        <v>144.91</v>
      </c>
      <c r="G10" s="541" t="s">
        <v>303</v>
      </c>
      <c r="H10" s="525">
        <v>92</v>
      </c>
      <c r="I10" s="819">
        <f t="shared" ref="I10:I28" si="2">I9-F10</f>
        <v>1610.0299999999997</v>
      </c>
      <c r="K10" s="75"/>
      <c r="L10" s="416">
        <f t="shared" ref="L10:L28" si="3">L9-M10</f>
        <v>55</v>
      </c>
      <c r="M10" s="617"/>
      <c r="N10" s="536"/>
      <c r="O10" s="680"/>
      <c r="P10" s="514">
        <f t="shared" ref="P10:P28" si="4">N10</f>
        <v>0</v>
      </c>
      <c r="Q10" s="541"/>
      <c r="R10" s="525"/>
      <c r="S10" s="132">
        <f t="shared" ref="S10:S28" si="5">S9-P10</f>
        <v>1520.0700000000002</v>
      </c>
      <c r="U10" s="75"/>
      <c r="V10" s="416">
        <f t="shared" ref="V10:V28" si="6">V9-W10</f>
        <v>120</v>
      </c>
      <c r="W10" s="617"/>
      <c r="X10" s="536"/>
      <c r="Y10" s="680"/>
      <c r="Z10" s="514">
        <f t="shared" ref="Z10:Z28" si="7">X10</f>
        <v>0</v>
      </c>
      <c r="AA10" s="541"/>
      <c r="AB10" s="525"/>
      <c r="AC10" s="132">
        <f t="shared" ref="AC10:AC28" si="8">AC9-Z10</f>
        <v>2835.98</v>
      </c>
    </row>
    <row r="11" spans="1:29" x14ac:dyDescent="0.25">
      <c r="A11" s="55"/>
      <c r="B11" s="416">
        <f t="shared" si="0"/>
        <v>36</v>
      </c>
      <c r="C11" s="617">
        <v>18</v>
      </c>
      <c r="D11" s="1008">
        <v>522.34</v>
      </c>
      <c r="E11" s="1009">
        <v>44900</v>
      </c>
      <c r="F11" s="1010">
        <f t="shared" si="1"/>
        <v>522.34</v>
      </c>
      <c r="G11" s="1011" t="s">
        <v>614</v>
      </c>
      <c r="H11" s="1012">
        <v>92</v>
      </c>
      <c r="I11" s="132">
        <f t="shared" si="2"/>
        <v>1087.6899999999996</v>
      </c>
      <c r="K11" s="55"/>
      <c r="L11" s="416">
        <f t="shared" si="3"/>
        <v>55</v>
      </c>
      <c r="M11" s="617"/>
      <c r="N11" s="536"/>
      <c r="O11" s="680"/>
      <c r="P11" s="514">
        <f t="shared" si="4"/>
        <v>0</v>
      </c>
      <c r="Q11" s="541"/>
      <c r="R11" s="525"/>
      <c r="S11" s="132">
        <f t="shared" si="5"/>
        <v>1520.0700000000002</v>
      </c>
      <c r="U11" s="55"/>
      <c r="V11" s="416">
        <f t="shared" si="6"/>
        <v>120</v>
      </c>
      <c r="W11" s="617"/>
      <c r="X11" s="536"/>
      <c r="Y11" s="680"/>
      <c r="Z11" s="514">
        <f t="shared" si="7"/>
        <v>0</v>
      </c>
      <c r="AA11" s="541"/>
      <c r="AB11" s="525"/>
      <c r="AC11" s="132">
        <f t="shared" si="8"/>
        <v>2835.98</v>
      </c>
    </row>
    <row r="12" spans="1:29" x14ac:dyDescent="0.25">
      <c r="A12" s="75"/>
      <c r="B12" s="416">
        <f t="shared" si="0"/>
        <v>31</v>
      </c>
      <c r="C12" s="617">
        <v>5</v>
      </c>
      <c r="D12" s="1008">
        <v>154.41999999999999</v>
      </c>
      <c r="E12" s="1009">
        <v>44901</v>
      </c>
      <c r="F12" s="1010">
        <f t="shared" si="1"/>
        <v>154.41999999999999</v>
      </c>
      <c r="G12" s="1011" t="s">
        <v>624</v>
      </c>
      <c r="H12" s="1012">
        <v>92</v>
      </c>
      <c r="I12" s="132">
        <f t="shared" si="2"/>
        <v>933.26999999999964</v>
      </c>
      <c r="K12" s="75"/>
      <c r="L12" s="416">
        <f t="shared" si="3"/>
        <v>55</v>
      </c>
      <c r="M12" s="617"/>
      <c r="N12" s="536"/>
      <c r="O12" s="680"/>
      <c r="P12" s="514">
        <f t="shared" si="4"/>
        <v>0</v>
      </c>
      <c r="Q12" s="541"/>
      <c r="R12" s="525"/>
      <c r="S12" s="132">
        <f t="shared" si="5"/>
        <v>1520.0700000000002</v>
      </c>
      <c r="U12" s="75"/>
      <c r="V12" s="416">
        <f t="shared" si="6"/>
        <v>120</v>
      </c>
      <c r="W12" s="617"/>
      <c r="X12" s="536"/>
      <c r="Y12" s="680"/>
      <c r="Z12" s="514">
        <f t="shared" si="7"/>
        <v>0</v>
      </c>
      <c r="AA12" s="541"/>
      <c r="AB12" s="525"/>
      <c r="AC12" s="132">
        <f t="shared" si="8"/>
        <v>2835.98</v>
      </c>
    </row>
    <row r="13" spans="1:29" x14ac:dyDescent="0.25">
      <c r="A13" s="75"/>
      <c r="B13" s="416">
        <f t="shared" si="0"/>
        <v>26</v>
      </c>
      <c r="C13" s="617">
        <v>5</v>
      </c>
      <c r="D13" s="1008">
        <v>154.13</v>
      </c>
      <c r="E13" s="1009">
        <v>44907</v>
      </c>
      <c r="F13" s="1010">
        <f t="shared" si="1"/>
        <v>154.13</v>
      </c>
      <c r="G13" s="1011" t="s">
        <v>686</v>
      </c>
      <c r="H13" s="1012">
        <v>92</v>
      </c>
      <c r="I13" s="132">
        <f t="shared" si="2"/>
        <v>779.13999999999965</v>
      </c>
      <c r="K13" s="75"/>
      <c r="L13" s="416">
        <f t="shared" si="3"/>
        <v>55</v>
      </c>
      <c r="M13" s="617"/>
      <c r="N13" s="536"/>
      <c r="O13" s="680"/>
      <c r="P13" s="514">
        <f t="shared" si="4"/>
        <v>0</v>
      </c>
      <c r="Q13" s="541"/>
      <c r="R13" s="525"/>
      <c r="S13" s="132">
        <f t="shared" si="5"/>
        <v>1520.0700000000002</v>
      </c>
      <c r="U13" s="75"/>
      <c r="V13" s="416">
        <f t="shared" si="6"/>
        <v>120</v>
      </c>
      <c r="W13" s="617"/>
      <c r="X13" s="536"/>
      <c r="Y13" s="680"/>
      <c r="Z13" s="514">
        <f t="shared" si="7"/>
        <v>0</v>
      </c>
      <c r="AA13" s="541"/>
      <c r="AB13" s="525"/>
      <c r="AC13" s="132">
        <f t="shared" si="8"/>
        <v>2835.98</v>
      </c>
    </row>
    <row r="14" spans="1:29" x14ac:dyDescent="0.25">
      <c r="B14" s="416">
        <f t="shared" si="0"/>
        <v>25</v>
      </c>
      <c r="C14" s="617">
        <v>1</v>
      </c>
      <c r="D14" s="1008">
        <v>24.4</v>
      </c>
      <c r="E14" s="1009">
        <v>44917</v>
      </c>
      <c r="F14" s="1010">
        <f t="shared" si="1"/>
        <v>24.4</v>
      </c>
      <c r="G14" s="1011" t="s">
        <v>781</v>
      </c>
      <c r="H14" s="1012">
        <v>92</v>
      </c>
      <c r="I14" s="132">
        <f t="shared" si="2"/>
        <v>754.73999999999967</v>
      </c>
      <c r="L14" s="416">
        <f t="shared" si="3"/>
        <v>55</v>
      </c>
      <c r="M14" s="617"/>
      <c r="N14" s="536"/>
      <c r="O14" s="680"/>
      <c r="P14" s="514">
        <f t="shared" si="4"/>
        <v>0</v>
      </c>
      <c r="Q14" s="541"/>
      <c r="R14" s="525"/>
      <c r="S14" s="132">
        <f t="shared" si="5"/>
        <v>1520.0700000000002</v>
      </c>
      <c r="V14" s="416">
        <f t="shared" si="6"/>
        <v>120</v>
      </c>
      <c r="W14" s="617"/>
      <c r="X14" s="536"/>
      <c r="Y14" s="680"/>
      <c r="Z14" s="514">
        <f t="shared" si="7"/>
        <v>0</v>
      </c>
      <c r="AA14" s="541"/>
      <c r="AB14" s="525"/>
      <c r="AC14" s="132">
        <f t="shared" si="8"/>
        <v>2835.98</v>
      </c>
    </row>
    <row r="15" spans="1:29" x14ac:dyDescent="0.25">
      <c r="B15" s="416">
        <f t="shared" si="0"/>
        <v>19</v>
      </c>
      <c r="C15" s="617">
        <v>6</v>
      </c>
      <c r="D15" s="1008">
        <v>162.82</v>
      </c>
      <c r="E15" s="1009">
        <v>44918</v>
      </c>
      <c r="F15" s="1010">
        <f t="shared" si="1"/>
        <v>162.82</v>
      </c>
      <c r="G15" s="1011" t="s">
        <v>817</v>
      </c>
      <c r="H15" s="1012">
        <v>92</v>
      </c>
      <c r="I15" s="132">
        <f t="shared" si="2"/>
        <v>591.91999999999962</v>
      </c>
      <c r="L15" s="416">
        <f t="shared" si="3"/>
        <v>55</v>
      </c>
      <c r="M15" s="617"/>
      <c r="N15" s="536"/>
      <c r="O15" s="680"/>
      <c r="P15" s="514">
        <f t="shared" si="4"/>
        <v>0</v>
      </c>
      <c r="Q15" s="541"/>
      <c r="R15" s="525"/>
      <c r="S15" s="132">
        <f t="shared" si="5"/>
        <v>1520.0700000000002</v>
      </c>
      <c r="V15" s="416">
        <f t="shared" si="6"/>
        <v>120</v>
      </c>
      <c r="W15" s="617"/>
      <c r="X15" s="536"/>
      <c r="Y15" s="680"/>
      <c r="Z15" s="514">
        <f t="shared" si="7"/>
        <v>0</v>
      </c>
      <c r="AA15" s="541"/>
      <c r="AB15" s="525"/>
      <c r="AC15" s="132">
        <f t="shared" si="8"/>
        <v>2835.98</v>
      </c>
    </row>
    <row r="16" spans="1:29" x14ac:dyDescent="0.25">
      <c r="B16" s="416">
        <f t="shared" si="0"/>
        <v>14</v>
      </c>
      <c r="C16" s="617">
        <v>5</v>
      </c>
      <c r="D16" s="1008">
        <v>148.44</v>
      </c>
      <c r="E16" s="1009">
        <v>44930</v>
      </c>
      <c r="F16" s="1010">
        <f t="shared" si="1"/>
        <v>148.44</v>
      </c>
      <c r="G16" s="1011" t="s">
        <v>877</v>
      </c>
      <c r="H16" s="1013">
        <v>92</v>
      </c>
      <c r="I16" s="132">
        <f t="shared" si="2"/>
        <v>443.47999999999962</v>
      </c>
      <c r="L16" s="416">
        <f t="shared" si="3"/>
        <v>55</v>
      </c>
      <c r="M16" s="617"/>
      <c r="N16" s="536"/>
      <c r="O16" s="680"/>
      <c r="P16" s="514">
        <f t="shared" si="4"/>
        <v>0</v>
      </c>
      <c r="Q16" s="541"/>
      <c r="R16" s="681"/>
      <c r="S16" s="132">
        <f t="shared" si="5"/>
        <v>1520.0700000000002</v>
      </c>
      <c r="V16" s="416">
        <f t="shared" si="6"/>
        <v>120</v>
      </c>
      <c r="W16" s="617"/>
      <c r="X16" s="536"/>
      <c r="Y16" s="680"/>
      <c r="Z16" s="514">
        <f t="shared" si="7"/>
        <v>0</v>
      </c>
      <c r="AA16" s="541"/>
      <c r="AB16" s="681"/>
      <c r="AC16" s="132">
        <f t="shared" si="8"/>
        <v>2835.98</v>
      </c>
    </row>
    <row r="17" spans="1:29" x14ac:dyDescent="0.25">
      <c r="B17" s="416">
        <f t="shared" si="0"/>
        <v>0</v>
      </c>
      <c r="C17" s="617">
        <v>14</v>
      </c>
      <c r="D17" s="1008">
        <v>410.79</v>
      </c>
      <c r="E17" s="1009">
        <v>44932</v>
      </c>
      <c r="F17" s="1010">
        <f t="shared" si="1"/>
        <v>410.79</v>
      </c>
      <c r="G17" s="1011" t="s">
        <v>906</v>
      </c>
      <c r="H17" s="1013">
        <v>92</v>
      </c>
      <c r="I17" s="132">
        <f t="shared" si="2"/>
        <v>32.6899999999996</v>
      </c>
      <c r="L17" s="416">
        <f t="shared" si="3"/>
        <v>55</v>
      </c>
      <c r="M17" s="617"/>
      <c r="N17" s="536"/>
      <c r="O17" s="680"/>
      <c r="P17" s="514">
        <f t="shared" si="4"/>
        <v>0</v>
      </c>
      <c r="Q17" s="541"/>
      <c r="R17" s="681"/>
      <c r="S17" s="132">
        <f t="shared" si="5"/>
        <v>1520.0700000000002</v>
      </c>
      <c r="V17" s="416">
        <f t="shared" si="6"/>
        <v>120</v>
      </c>
      <c r="W17" s="617"/>
      <c r="X17" s="536"/>
      <c r="Y17" s="680"/>
      <c r="Z17" s="514">
        <f t="shared" si="7"/>
        <v>0</v>
      </c>
      <c r="AA17" s="541"/>
      <c r="AB17" s="681"/>
      <c r="AC17" s="132">
        <f t="shared" si="8"/>
        <v>2835.98</v>
      </c>
    </row>
    <row r="18" spans="1:29" x14ac:dyDescent="0.25">
      <c r="B18" s="416">
        <f t="shared" si="0"/>
        <v>0</v>
      </c>
      <c r="C18" s="617"/>
      <c r="D18" s="1008"/>
      <c r="E18" s="1009"/>
      <c r="F18" s="1010">
        <f t="shared" si="1"/>
        <v>0</v>
      </c>
      <c r="G18" s="1011"/>
      <c r="H18" s="1013"/>
      <c r="I18" s="132">
        <f t="shared" si="2"/>
        <v>32.6899999999996</v>
      </c>
      <c r="L18" s="416">
        <f t="shared" si="3"/>
        <v>55</v>
      </c>
      <c r="M18" s="617"/>
      <c r="N18" s="536"/>
      <c r="O18" s="680"/>
      <c r="P18" s="514">
        <f t="shared" si="4"/>
        <v>0</v>
      </c>
      <c r="Q18" s="541"/>
      <c r="R18" s="681"/>
      <c r="S18" s="132">
        <f t="shared" si="5"/>
        <v>1520.0700000000002</v>
      </c>
      <c r="V18" s="416">
        <f t="shared" si="6"/>
        <v>120</v>
      </c>
      <c r="W18" s="617"/>
      <c r="X18" s="536"/>
      <c r="Y18" s="680"/>
      <c r="Z18" s="514">
        <f t="shared" si="7"/>
        <v>0</v>
      </c>
      <c r="AA18" s="541"/>
      <c r="AB18" s="681"/>
      <c r="AC18" s="132">
        <f t="shared" si="8"/>
        <v>2835.98</v>
      </c>
    </row>
    <row r="19" spans="1:29" x14ac:dyDescent="0.25">
      <c r="B19" s="416">
        <f t="shared" si="0"/>
        <v>0</v>
      </c>
      <c r="C19" s="617"/>
      <c r="D19" s="1008"/>
      <c r="E19" s="1009"/>
      <c r="F19" s="1201">
        <v>32.69</v>
      </c>
      <c r="G19" s="1202"/>
      <c r="H19" s="1203"/>
      <c r="I19" s="1184">
        <f t="shared" si="2"/>
        <v>-3.979039320256561E-13</v>
      </c>
      <c r="L19" s="416">
        <f t="shared" si="3"/>
        <v>55</v>
      </c>
      <c r="M19" s="617"/>
      <c r="N19" s="536"/>
      <c r="O19" s="680"/>
      <c r="P19" s="514">
        <f t="shared" si="4"/>
        <v>0</v>
      </c>
      <c r="Q19" s="541"/>
      <c r="R19" s="681"/>
      <c r="S19" s="132">
        <f t="shared" si="5"/>
        <v>1520.0700000000002</v>
      </c>
      <c r="V19" s="416">
        <f t="shared" si="6"/>
        <v>120</v>
      </c>
      <c r="W19" s="617"/>
      <c r="X19" s="536"/>
      <c r="Y19" s="680"/>
      <c r="Z19" s="514">
        <f t="shared" si="7"/>
        <v>0</v>
      </c>
      <c r="AA19" s="541"/>
      <c r="AB19" s="681"/>
      <c r="AC19" s="132">
        <f t="shared" si="8"/>
        <v>2835.98</v>
      </c>
    </row>
    <row r="20" spans="1:29" x14ac:dyDescent="0.25">
      <c r="B20" s="416">
        <f t="shared" si="0"/>
        <v>0</v>
      </c>
      <c r="C20" s="617"/>
      <c r="D20" s="1008"/>
      <c r="E20" s="1009"/>
      <c r="F20" s="1201">
        <f t="shared" si="1"/>
        <v>0</v>
      </c>
      <c r="G20" s="1202"/>
      <c r="H20" s="1203"/>
      <c r="I20" s="1184">
        <f t="shared" si="2"/>
        <v>-3.979039320256561E-13</v>
      </c>
      <c r="L20" s="416">
        <f t="shared" si="3"/>
        <v>55</v>
      </c>
      <c r="M20" s="617"/>
      <c r="N20" s="536"/>
      <c r="O20" s="680"/>
      <c r="P20" s="514">
        <f t="shared" si="4"/>
        <v>0</v>
      </c>
      <c r="Q20" s="541"/>
      <c r="R20" s="681"/>
      <c r="S20" s="132">
        <f t="shared" si="5"/>
        <v>1520.0700000000002</v>
      </c>
      <c r="V20" s="416">
        <f t="shared" si="6"/>
        <v>120</v>
      </c>
      <c r="W20" s="617"/>
      <c r="X20" s="536"/>
      <c r="Y20" s="680"/>
      <c r="Z20" s="514">
        <f t="shared" si="7"/>
        <v>0</v>
      </c>
      <c r="AA20" s="541"/>
      <c r="AB20" s="681"/>
      <c r="AC20" s="132">
        <f t="shared" si="8"/>
        <v>2835.98</v>
      </c>
    </row>
    <row r="21" spans="1:29" x14ac:dyDescent="0.25">
      <c r="B21" s="416">
        <f t="shared" si="0"/>
        <v>0</v>
      </c>
      <c r="C21" s="617"/>
      <c r="D21" s="1008"/>
      <c r="E21" s="1009"/>
      <c r="F21" s="1201">
        <f t="shared" si="1"/>
        <v>0</v>
      </c>
      <c r="G21" s="1202"/>
      <c r="H21" s="1204"/>
      <c r="I21" s="1184">
        <f t="shared" si="2"/>
        <v>-3.979039320256561E-13</v>
      </c>
      <c r="L21" s="416">
        <f t="shared" si="3"/>
        <v>55</v>
      </c>
      <c r="M21" s="617"/>
      <c r="N21" s="536"/>
      <c r="O21" s="680"/>
      <c r="P21" s="514">
        <f t="shared" si="4"/>
        <v>0</v>
      </c>
      <c r="Q21" s="541"/>
      <c r="R21" s="745"/>
      <c r="S21" s="132">
        <f t="shared" si="5"/>
        <v>1520.0700000000002</v>
      </c>
      <c r="V21" s="416">
        <f t="shared" si="6"/>
        <v>120</v>
      </c>
      <c r="W21" s="617"/>
      <c r="X21" s="536"/>
      <c r="Y21" s="680"/>
      <c r="Z21" s="514">
        <f t="shared" si="7"/>
        <v>0</v>
      </c>
      <c r="AA21" s="541"/>
      <c r="AB21" s="745"/>
      <c r="AC21" s="132">
        <f t="shared" si="8"/>
        <v>2835.98</v>
      </c>
    </row>
    <row r="22" spans="1:29" x14ac:dyDescent="0.25">
      <c r="B22" s="416">
        <f t="shared" si="0"/>
        <v>0</v>
      </c>
      <c r="C22" s="617"/>
      <c r="D22" s="1008"/>
      <c r="E22" s="1009"/>
      <c r="F22" s="1201">
        <f t="shared" si="1"/>
        <v>0</v>
      </c>
      <c r="G22" s="1202"/>
      <c r="H22" s="1204"/>
      <c r="I22" s="1184">
        <f t="shared" si="2"/>
        <v>-3.979039320256561E-13</v>
      </c>
      <c r="L22" s="416">
        <f t="shared" si="3"/>
        <v>55</v>
      </c>
      <c r="M22" s="617"/>
      <c r="N22" s="536"/>
      <c r="O22" s="680"/>
      <c r="P22" s="514">
        <f t="shared" si="4"/>
        <v>0</v>
      </c>
      <c r="Q22" s="541"/>
      <c r="R22" s="745"/>
      <c r="S22" s="132">
        <f t="shared" si="5"/>
        <v>1520.0700000000002</v>
      </c>
      <c r="V22" s="416">
        <f t="shared" si="6"/>
        <v>120</v>
      </c>
      <c r="W22" s="617"/>
      <c r="X22" s="536"/>
      <c r="Y22" s="680"/>
      <c r="Z22" s="514">
        <f t="shared" si="7"/>
        <v>0</v>
      </c>
      <c r="AA22" s="541"/>
      <c r="AB22" s="745"/>
      <c r="AC22" s="132">
        <f t="shared" si="8"/>
        <v>2835.98</v>
      </c>
    </row>
    <row r="23" spans="1:29" x14ac:dyDescent="0.25">
      <c r="B23" s="416">
        <f t="shared" si="0"/>
        <v>0</v>
      </c>
      <c r="C23" s="617"/>
      <c r="D23" s="1008"/>
      <c r="E23" s="1009"/>
      <c r="F23" s="1010">
        <f t="shared" si="1"/>
        <v>0</v>
      </c>
      <c r="G23" s="1011"/>
      <c r="H23" s="1014"/>
      <c r="I23" s="132">
        <f t="shared" si="2"/>
        <v>-3.979039320256561E-13</v>
      </c>
      <c r="L23" s="416">
        <f t="shared" si="3"/>
        <v>55</v>
      </c>
      <c r="M23" s="617"/>
      <c r="N23" s="536"/>
      <c r="O23" s="680"/>
      <c r="P23" s="514">
        <f t="shared" si="4"/>
        <v>0</v>
      </c>
      <c r="Q23" s="541"/>
      <c r="R23" s="745"/>
      <c r="S23" s="132">
        <f t="shared" si="5"/>
        <v>1520.0700000000002</v>
      </c>
      <c r="V23" s="416">
        <f t="shared" si="6"/>
        <v>120</v>
      </c>
      <c r="W23" s="617"/>
      <c r="X23" s="536"/>
      <c r="Y23" s="680"/>
      <c r="Z23" s="514">
        <f t="shared" si="7"/>
        <v>0</v>
      </c>
      <c r="AA23" s="541"/>
      <c r="AB23" s="745"/>
      <c r="AC23" s="132">
        <f t="shared" si="8"/>
        <v>2835.98</v>
      </c>
    </row>
    <row r="24" spans="1:29" x14ac:dyDescent="0.25">
      <c r="B24" s="416">
        <f t="shared" si="0"/>
        <v>0</v>
      </c>
      <c r="C24" s="617"/>
      <c r="D24" s="1008"/>
      <c r="E24" s="1009"/>
      <c r="F24" s="1010">
        <f t="shared" si="1"/>
        <v>0</v>
      </c>
      <c r="G24" s="1011"/>
      <c r="H24" s="1014"/>
      <c r="I24" s="132">
        <f t="shared" si="2"/>
        <v>-3.979039320256561E-13</v>
      </c>
      <c r="L24" s="416">
        <f t="shared" si="3"/>
        <v>55</v>
      </c>
      <c r="M24" s="617"/>
      <c r="N24" s="536"/>
      <c r="O24" s="680"/>
      <c r="P24" s="514">
        <f t="shared" si="4"/>
        <v>0</v>
      </c>
      <c r="Q24" s="541"/>
      <c r="R24" s="745"/>
      <c r="S24" s="132">
        <f t="shared" si="5"/>
        <v>1520.0700000000002</v>
      </c>
      <c r="V24" s="416">
        <f t="shared" si="6"/>
        <v>120</v>
      </c>
      <c r="W24" s="617"/>
      <c r="X24" s="536"/>
      <c r="Y24" s="680"/>
      <c r="Z24" s="514">
        <f t="shared" si="7"/>
        <v>0</v>
      </c>
      <c r="AA24" s="541"/>
      <c r="AB24" s="745"/>
      <c r="AC24" s="132">
        <f t="shared" si="8"/>
        <v>2835.98</v>
      </c>
    </row>
    <row r="25" spans="1:29" x14ac:dyDescent="0.25">
      <c r="B25" s="416">
        <f t="shared" si="0"/>
        <v>0</v>
      </c>
      <c r="C25" s="617"/>
      <c r="D25" s="1008"/>
      <c r="E25" s="1009"/>
      <c r="F25" s="1010">
        <f t="shared" si="1"/>
        <v>0</v>
      </c>
      <c r="G25" s="1011"/>
      <c r="H25" s="1014"/>
      <c r="I25" s="132">
        <f t="shared" si="2"/>
        <v>-3.979039320256561E-13</v>
      </c>
      <c r="L25" s="416">
        <f t="shared" si="3"/>
        <v>55</v>
      </c>
      <c r="M25" s="617"/>
      <c r="N25" s="536"/>
      <c r="O25" s="680"/>
      <c r="P25" s="514">
        <f t="shared" si="4"/>
        <v>0</v>
      </c>
      <c r="Q25" s="541"/>
      <c r="S25" s="132">
        <f t="shared" si="5"/>
        <v>1520.0700000000002</v>
      </c>
      <c r="V25" s="416">
        <f t="shared" si="6"/>
        <v>120</v>
      </c>
      <c r="W25" s="617"/>
      <c r="X25" s="536"/>
      <c r="Y25" s="680"/>
      <c r="Z25" s="514">
        <f t="shared" si="7"/>
        <v>0</v>
      </c>
      <c r="AA25" s="541"/>
      <c r="AC25" s="132">
        <f t="shared" si="8"/>
        <v>2835.98</v>
      </c>
    </row>
    <row r="26" spans="1:29" x14ac:dyDescent="0.25">
      <c r="B26" s="416">
        <f t="shared" si="0"/>
        <v>0</v>
      </c>
      <c r="C26" s="617"/>
      <c r="D26" s="1008"/>
      <c r="E26" s="1009"/>
      <c r="F26" s="1010">
        <f t="shared" si="1"/>
        <v>0</v>
      </c>
      <c r="G26" s="1015"/>
      <c r="H26" s="1014"/>
      <c r="I26" s="132">
        <f t="shared" si="2"/>
        <v>-3.979039320256561E-13</v>
      </c>
      <c r="L26" s="416">
        <f t="shared" si="3"/>
        <v>55</v>
      </c>
      <c r="M26" s="617"/>
      <c r="N26" s="536"/>
      <c r="O26" s="680"/>
      <c r="P26" s="514">
        <f t="shared" si="4"/>
        <v>0</v>
      </c>
      <c r="Q26" s="542"/>
      <c r="S26" s="132">
        <f t="shared" si="5"/>
        <v>1520.0700000000002</v>
      </c>
      <c r="V26" s="416">
        <f t="shared" si="6"/>
        <v>120</v>
      </c>
      <c r="W26" s="617"/>
      <c r="X26" s="536"/>
      <c r="Y26" s="680"/>
      <c r="Z26" s="514">
        <f t="shared" si="7"/>
        <v>0</v>
      </c>
      <c r="AA26" s="542"/>
      <c r="AC26" s="132">
        <f t="shared" si="8"/>
        <v>2835.98</v>
      </c>
    </row>
    <row r="27" spans="1:29" x14ac:dyDescent="0.25">
      <c r="B27" s="416">
        <f t="shared" si="0"/>
        <v>0</v>
      </c>
      <c r="C27" s="617"/>
      <c r="D27" s="682"/>
      <c r="E27" s="680"/>
      <c r="F27" s="514">
        <f t="shared" si="1"/>
        <v>0</v>
      </c>
      <c r="G27" s="515"/>
      <c r="H27" s="17"/>
      <c r="I27" s="132">
        <f t="shared" si="2"/>
        <v>-3.979039320256561E-13</v>
      </c>
      <c r="L27" s="416">
        <f t="shared" si="3"/>
        <v>55</v>
      </c>
      <c r="M27" s="617"/>
      <c r="N27" s="682"/>
      <c r="O27" s="680"/>
      <c r="P27" s="514">
        <f t="shared" si="4"/>
        <v>0</v>
      </c>
      <c r="Q27" s="515"/>
      <c r="R27" s="17"/>
      <c r="S27" s="132">
        <f t="shared" si="5"/>
        <v>1520.0700000000002</v>
      </c>
      <c r="V27" s="416">
        <f t="shared" si="6"/>
        <v>120</v>
      </c>
      <c r="W27" s="617"/>
      <c r="X27" s="682"/>
      <c r="Y27" s="680"/>
      <c r="Z27" s="514">
        <f t="shared" si="7"/>
        <v>0</v>
      </c>
      <c r="AA27" s="515"/>
      <c r="AB27" s="17"/>
      <c r="AC27" s="132">
        <f t="shared" si="8"/>
        <v>2835.98</v>
      </c>
    </row>
    <row r="28" spans="1:29" x14ac:dyDescent="0.25">
      <c r="B28" s="416">
        <f t="shared" si="0"/>
        <v>0</v>
      </c>
      <c r="C28" s="617"/>
      <c r="D28" s="682"/>
      <c r="E28" s="118"/>
      <c r="F28" s="514">
        <f t="shared" si="1"/>
        <v>0</v>
      </c>
      <c r="G28" s="515"/>
      <c r="H28" s="17"/>
      <c r="I28" s="132">
        <f t="shared" si="2"/>
        <v>-3.979039320256561E-13</v>
      </c>
      <c r="L28" s="416">
        <f t="shared" si="3"/>
        <v>55</v>
      </c>
      <c r="M28" s="617"/>
      <c r="N28" s="682"/>
      <c r="O28" s="118"/>
      <c r="P28" s="514">
        <f t="shared" si="4"/>
        <v>0</v>
      </c>
      <c r="Q28" s="515"/>
      <c r="R28" s="17"/>
      <c r="S28" s="132">
        <f t="shared" si="5"/>
        <v>1520.0700000000002</v>
      </c>
      <c r="V28" s="416">
        <f t="shared" si="6"/>
        <v>120</v>
      </c>
      <c r="W28" s="617"/>
      <c r="X28" s="682"/>
      <c r="Y28" s="118"/>
      <c r="Z28" s="514">
        <f t="shared" si="7"/>
        <v>0</v>
      </c>
      <c r="AA28" s="515"/>
      <c r="AB28" s="17"/>
      <c r="AC28" s="132">
        <f t="shared" si="8"/>
        <v>2835.98</v>
      </c>
    </row>
    <row r="29" spans="1:29" x14ac:dyDescent="0.25">
      <c r="B29" s="417"/>
      <c r="C29" s="617"/>
      <c r="D29" s="683"/>
      <c r="E29" s="118"/>
      <c r="F29" s="14"/>
      <c r="G29" s="31"/>
      <c r="H29" s="17"/>
      <c r="L29" s="417"/>
      <c r="M29" s="617"/>
      <c r="N29" s="683"/>
      <c r="O29" s="118"/>
      <c r="P29" s="14"/>
      <c r="Q29" s="31"/>
      <c r="R29" s="17"/>
      <c r="V29" s="417"/>
      <c r="W29" s="617"/>
      <c r="X29" s="683"/>
      <c r="Y29" s="118"/>
      <c r="Z29" s="14"/>
      <c r="AA29" s="31"/>
      <c r="AB29" s="17"/>
    </row>
    <row r="30" spans="1:29" x14ac:dyDescent="0.25">
      <c r="B30" s="417"/>
      <c r="C30" s="617"/>
      <c r="D30" s="537"/>
      <c r="E30" s="118"/>
      <c r="F30" s="6"/>
      <c r="L30" s="417"/>
      <c r="M30" s="617"/>
      <c r="N30" s="537"/>
      <c r="O30" s="118"/>
      <c r="P30" s="6"/>
      <c r="V30" s="417"/>
      <c r="W30" s="617"/>
      <c r="X30" s="537"/>
      <c r="Y30" s="118"/>
      <c r="Z30" s="6"/>
    </row>
    <row r="31" spans="1:29" ht="15.75" thickBot="1" x14ac:dyDescent="0.3">
      <c r="B31" s="494"/>
      <c r="C31" s="618"/>
      <c r="D31" s="614"/>
      <c r="E31" s="4"/>
      <c r="F31" s="76"/>
      <c r="G31" s="24"/>
      <c r="L31" s="494"/>
      <c r="M31" s="618"/>
      <c r="N31" s="614"/>
      <c r="O31" s="4"/>
      <c r="P31" s="76"/>
      <c r="Q31" s="24"/>
      <c r="V31" s="494"/>
      <c r="W31" s="618"/>
      <c r="X31" s="614"/>
      <c r="Y31" s="4"/>
      <c r="Z31" s="76"/>
      <c r="AA31" s="24"/>
    </row>
    <row r="32" spans="1:29" ht="16.5" thickTop="1" thickBot="1" x14ac:dyDescent="0.3">
      <c r="A32" s="75"/>
      <c r="B32" s="75"/>
      <c r="C32" s="127" t="e">
        <f>SUM(#REF!)</f>
        <v>#REF!</v>
      </c>
      <c r="D32" s="105">
        <f>SUM(C8:C31)</f>
        <v>98</v>
      </c>
      <c r="E32" s="75"/>
      <c r="F32" s="105">
        <f>SUM(F8:F31)</f>
        <v>2836.3700000000008</v>
      </c>
      <c r="G32" s="75"/>
      <c r="H32" s="75"/>
      <c r="K32" s="75"/>
      <c r="L32" s="75"/>
      <c r="M32" s="127">
        <f>SUM(M8:M31)</f>
        <v>25</v>
      </c>
      <c r="N32" s="105">
        <f>SUM(M8:M31)</f>
        <v>25</v>
      </c>
      <c r="O32" s="75"/>
      <c r="P32" s="105">
        <f>SUM(P8:P31)</f>
        <v>593.88</v>
      </c>
      <c r="Q32" s="75"/>
      <c r="R32" s="75"/>
      <c r="U32" s="75"/>
      <c r="V32" s="75"/>
      <c r="W32" s="127">
        <f>SUM(W8:W31)</f>
        <v>0</v>
      </c>
      <c r="X32" s="105">
        <f>SUM(W8:W31)</f>
        <v>0</v>
      </c>
      <c r="Y32" s="75"/>
      <c r="Z32" s="105">
        <f>SUM(Z8:Z31)</f>
        <v>0</v>
      </c>
      <c r="AA32" s="75"/>
      <c r="AB32" s="75"/>
    </row>
    <row r="33" spans="1:28" x14ac:dyDescent="0.25">
      <c r="A33" s="75"/>
      <c r="B33" s="75"/>
      <c r="C33" s="75"/>
      <c r="D33" s="797" t="s">
        <v>21</v>
      </c>
      <c r="E33" s="798"/>
      <c r="F33" s="141">
        <f>E5-D32</f>
        <v>1927.36</v>
      </c>
      <c r="G33" s="75"/>
      <c r="H33" s="75"/>
      <c r="K33" s="75"/>
      <c r="L33" s="75"/>
      <c r="M33" s="75"/>
      <c r="N33" s="919" t="s">
        <v>21</v>
      </c>
      <c r="O33" s="920"/>
      <c r="P33" s="141">
        <f>O5-N32</f>
        <v>2056.2600000000002</v>
      </c>
      <c r="Q33" s="75"/>
      <c r="R33" s="75"/>
      <c r="U33" s="75"/>
      <c r="V33" s="75"/>
      <c r="W33" s="75"/>
      <c r="X33" s="1049" t="s">
        <v>21</v>
      </c>
      <c r="Y33" s="1050"/>
      <c r="Z33" s="141">
        <f>Y5-X32</f>
        <v>2835.98</v>
      </c>
      <c r="AA33" s="75"/>
      <c r="AB33" s="75"/>
    </row>
    <row r="34" spans="1:28" ht="15.75" thickBot="1" x14ac:dyDescent="0.3">
      <c r="A34" s="75"/>
      <c r="B34" s="75"/>
      <c r="C34" s="75"/>
      <c r="D34" s="799" t="s">
        <v>4</v>
      </c>
      <c r="E34" s="800"/>
      <c r="F34" s="49" t="e">
        <f>F4+F5-C32</f>
        <v>#REF!</v>
      </c>
      <c r="G34" s="75"/>
      <c r="H34" s="75"/>
      <c r="K34" s="75"/>
      <c r="L34" s="75"/>
      <c r="M34" s="75"/>
      <c r="N34" s="921" t="s">
        <v>4</v>
      </c>
      <c r="O34" s="922"/>
      <c r="P34" s="49">
        <f>P4+P5-M32</f>
        <v>55</v>
      </c>
      <c r="Q34" s="75"/>
      <c r="R34" s="75"/>
      <c r="U34" s="75"/>
      <c r="V34" s="75"/>
      <c r="W34" s="75"/>
      <c r="X34" s="1051" t="s">
        <v>4</v>
      </c>
      <c r="Y34" s="1052"/>
      <c r="Z34" s="49">
        <f>Z4+Z5-W32</f>
        <v>120</v>
      </c>
      <c r="AA34" s="75"/>
      <c r="AB34" s="75"/>
    </row>
    <row r="35" spans="1:28" x14ac:dyDescent="0.25">
      <c r="A35" s="75"/>
      <c r="B35" s="75"/>
      <c r="C35" s="75"/>
      <c r="D35" s="75"/>
      <c r="E35" s="75"/>
      <c r="F35" s="75"/>
      <c r="G35" s="75"/>
      <c r="H35" s="75"/>
      <c r="K35" s="75"/>
      <c r="L35" s="75"/>
      <c r="M35" s="75"/>
      <c r="N35" s="75"/>
      <c r="O35" s="75"/>
      <c r="P35" s="75"/>
      <c r="Q35" s="75"/>
      <c r="R35" s="75"/>
      <c r="U35" s="75"/>
      <c r="V35" s="75"/>
      <c r="W35" s="75"/>
      <c r="X35" s="75"/>
      <c r="Y35" s="75"/>
      <c r="Z35" s="75"/>
      <c r="AA35" s="75"/>
      <c r="AB35" s="75"/>
    </row>
    <row r="36" spans="1:28" x14ac:dyDescent="0.25">
      <c r="A36" s="75"/>
      <c r="B36" s="75"/>
      <c r="C36" s="75"/>
      <c r="D36" s="75"/>
      <c r="E36" s="75"/>
      <c r="F36" s="75"/>
      <c r="G36" s="75"/>
      <c r="H36" s="75"/>
      <c r="K36" s="75"/>
      <c r="L36" s="75"/>
      <c r="M36" s="75"/>
      <c r="N36" s="75"/>
      <c r="O36" s="75"/>
      <c r="P36" s="75"/>
      <c r="Q36" s="75"/>
      <c r="R36" s="75"/>
      <c r="U36" s="75"/>
      <c r="V36" s="75"/>
      <c r="W36" s="75"/>
      <c r="X36" s="75"/>
      <c r="Y36" s="75"/>
      <c r="Z36" s="75"/>
      <c r="AA36" s="75"/>
      <c r="AB36" s="75"/>
    </row>
    <row r="37" spans="1:28" x14ac:dyDescent="0.25">
      <c r="A37" s="75"/>
      <c r="B37" s="75"/>
      <c r="C37" s="75"/>
      <c r="D37" s="75"/>
      <c r="E37" s="75"/>
      <c r="F37" s="75"/>
      <c r="G37" s="75"/>
      <c r="H37" s="75"/>
      <c r="K37" s="75"/>
      <c r="L37" s="75"/>
      <c r="M37" s="75"/>
      <c r="N37" s="75"/>
      <c r="O37" s="75"/>
      <c r="P37" s="75"/>
      <c r="Q37" s="75"/>
      <c r="R37" s="75"/>
      <c r="U37" s="75"/>
      <c r="V37" s="75"/>
      <c r="W37" s="75"/>
      <c r="X37" s="75"/>
      <c r="Y37" s="75"/>
      <c r="Z37" s="75"/>
      <c r="AA37" s="75"/>
      <c r="AB37" s="75"/>
    </row>
    <row r="38" spans="1:28" x14ac:dyDescent="0.25">
      <c r="A38" s="75"/>
      <c r="B38" s="75"/>
      <c r="C38" s="75"/>
      <c r="D38" s="75"/>
      <c r="E38" s="75"/>
      <c r="F38" s="75"/>
      <c r="G38" s="75"/>
      <c r="H38" s="75"/>
      <c r="K38" s="75"/>
      <c r="L38" s="75"/>
      <c r="M38" s="75"/>
      <c r="N38" s="75"/>
      <c r="O38" s="75"/>
      <c r="P38" s="75"/>
      <c r="Q38" s="75"/>
      <c r="R38" s="75"/>
      <c r="U38" s="75"/>
      <c r="V38" s="75"/>
      <c r="W38" s="75"/>
      <c r="X38" s="75"/>
      <c r="Y38" s="75"/>
      <c r="Z38" s="75"/>
      <c r="AA38" s="75"/>
      <c r="AB38" s="75"/>
    </row>
    <row r="39" spans="1:28" x14ac:dyDescent="0.25">
      <c r="A39" s="75"/>
      <c r="B39" s="75"/>
      <c r="C39" s="75"/>
      <c r="D39" s="75"/>
      <c r="E39" s="75"/>
      <c r="F39" s="75"/>
      <c r="G39" s="75"/>
      <c r="H39" s="75"/>
      <c r="K39" s="75"/>
      <c r="L39" s="75"/>
      <c r="M39" s="75"/>
      <c r="N39" s="75"/>
      <c r="O39" s="75"/>
      <c r="P39" s="75"/>
      <c r="Q39" s="75"/>
      <c r="R39" s="75"/>
      <c r="U39" s="75"/>
      <c r="V39" s="75"/>
      <c r="W39" s="75"/>
      <c r="X39" s="75"/>
      <c r="Y39" s="75"/>
      <c r="Z39" s="75"/>
      <c r="AA39" s="75"/>
      <c r="AB39" s="75"/>
    </row>
  </sheetData>
  <mergeCells count="6">
    <mergeCell ref="A1:G1"/>
    <mergeCell ref="B4:B5"/>
    <mergeCell ref="K1:Q1"/>
    <mergeCell ref="L4:L5"/>
    <mergeCell ref="U1:AA1"/>
    <mergeCell ref="V4:V5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</sheetPr>
  <dimension ref="A1:I39"/>
  <sheetViews>
    <sheetView workbookViewId="0">
      <selection activeCell="G12" sqref="G12"/>
    </sheetView>
  </sheetViews>
  <sheetFormatPr baseColWidth="10" defaultRowHeight="15" x14ac:dyDescent="0.25"/>
  <cols>
    <col min="1" max="1" width="29.85546875" customWidth="1"/>
    <col min="2" max="2" width="16.28515625" bestFit="1" customWidth="1"/>
    <col min="4" max="4" width="11.28515625" customWidth="1"/>
  </cols>
  <sheetData>
    <row r="1" spans="1:9" ht="40.5" x14ac:dyDescent="0.55000000000000004">
      <c r="A1" s="1386" t="s">
        <v>334</v>
      </c>
      <c r="B1" s="1386"/>
      <c r="C1" s="1386"/>
      <c r="D1" s="1386"/>
      <c r="E1" s="1386"/>
      <c r="F1" s="1386"/>
      <c r="G1" s="1386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471" t="s">
        <v>144</v>
      </c>
      <c r="C4" s="102"/>
      <c r="D4" s="135"/>
      <c r="E4" s="86"/>
      <c r="F4" s="73"/>
      <c r="G4" s="237"/>
    </row>
    <row r="5" spans="1:9" x14ac:dyDescent="0.25">
      <c r="A5" s="1398" t="s">
        <v>97</v>
      </c>
      <c r="B5" s="1472"/>
      <c r="C5" s="128">
        <v>53</v>
      </c>
      <c r="D5" s="135">
        <v>44824</v>
      </c>
      <c r="E5" s="86">
        <v>2000.67</v>
      </c>
      <c r="F5" s="73">
        <v>147</v>
      </c>
      <c r="G5" s="48">
        <f>F32</f>
        <v>108.88</v>
      </c>
      <c r="H5" s="138">
        <f>E5-G5</f>
        <v>1891.79</v>
      </c>
    </row>
    <row r="6" spans="1:9" ht="15.75" thickBot="1" x14ac:dyDescent="0.3">
      <c r="A6" s="1398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5"/>
      <c r="B8" s="94">
        <f>F4+F5+F6-C8</f>
        <v>144</v>
      </c>
      <c r="C8" s="15">
        <v>3</v>
      </c>
      <c r="D8" s="92">
        <v>40.83</v>
      </c>
      <c r="E8" s="135">
        <v>44828</v>
      </c>
      <c r="F8" s="92">
        <f t="shared" ref="F8:F28" si="0">D8</f>
        <v>40.83</v>
      </c>
      <c r="G8" s="95" t="s">
        <v>171</v>
      </c>
      <c r="H8" s="71">
        <v>57</v>
      </c>
      <c r="I8" s="819">
        <f>E4+E5+E6-D8</f>
        <v>1959.8400000000001</v>
      </c>
    </row>
    <row r="9" spans="1:9" x14ac:dyDescent="0.25">
      <c r="A9" s="75"/>
      <c r="B9" s="106">
        <f>B8-C9</f>
        <v>143</v>
      </c>
      <c r="C9" s="15">
        <v>1</v>
      </c>
      <c r="D9" s="739">
        <v>13.61</v>
      </c>
      <c r="E9" s="587">
        <v>44840</v>
      </c>
      <c r="F9" s="739">
        <f t="shared" si="0"/>
        <v>13.61</v>
      </c>
      <c r="G9" s="746" t="s">
        <v>184</v>
      </c>
      <c r="H9" s="330">
        <v>57</v>
      </c>
      <c r="I9" s="132">
        <f>I8-D9</f>
        <v>1946.2300000000002</v>
      </c>
    </row>
    <row r="10" spans="1:9" x14ac:dyDescent="0.25">
      <c r="A10" s="75"/>
      <c r="B10" s="850">
        <f t="shared" ref="B10:B26" si="1">B9-C10</f>
        <v>141</v>
      </c>
      <c r="C10" s="15">
        <v>2</v>
      </c>
      <c r="D10" s="739">
        <v>27.22</v>
      </c>
      <c r="E10" s="587">
        <v>44846</v>
      </c>
      <c r="F10" s="739">
        <f t="shared" si="0"/>
        <v>27.22</v>
      </c>
      <c r="G10" s="747" t="s">
        <v>191</v>
      </c>
      <c r="H10" s="748">
        <v>57</v>
      </c>
      <c r="I10" s="819">
        <f t="shared" ref="I10:I28" si="2">I9-D10</f>
        <v>1919.0100000000002</v>
      </c>
    </row>
    <row r="11" spans="1:9" x14ac:dyDescent="0.25">
      <c r="A11" s="55"/>
      <c r="B11" s="106">
        <f t="shared" si="1"/>
        <v>139</v>
      </c>
      <c r="C11" s="15">
        <v>2</v>
      </c>
      <c r="D11" s="632">
        <f>13.61+13.61</f>
        <v>27.22</v>
      </c>
      <c r="E11" s="630">
        <v>44907</v>
      </c>
      <c r="F11" s="632">
        <f t="shared" si="0"/>
        <v>27.22</v>
      </c>
      <c r="G11" s="1016" t="s">
        <v>683</v>
      </c>
      <c r="H11" s="379">
        <v>57</v>
      </c>
      <c r="I11" s="132">
        <f t="shared" si="2"/>
        <v>1891.7900000000002</v>
      </c>
    </row>
    <row r="12" spans="1:9" x14ac:dyDescent="0.25">
      <c r="A12" s="75"/>
      <c r="B12" s="106">
        <f t="shared" si="1"/>
        <v>139</v>
      </c>
      <c r="C12" s="15"/>
      <c r="D12" s="632"/>
      <c r="E12" s="630"/>
      <c r="F12" s="632">
        <f t="shared" si="0"/>
        <v>0</v>
      </c>
      <c r="G12" s="1016"/>
      <c r="H12" s="379"/>
      <c r="I12" s="132">
        <f t="shared" si="2"/>
        <v>1891.7900000000002</v>
      </c>
    </row>
    <row r="13" spans="1:9" x14ac:dyDescent="0.25">
      <c r="A13" s="75"/>
      <c r="B13" s="106">
        <f t="shared" si="1"/>
        <v>139</v>
      </c>
      <c r="C13" s="15"/>
      <c r="D13" s="632"/>
      <c r="E13" s="630"/>
      <c r="F13" s="632">
        <f t="shared" si="0"/>
        <v>0</v>
      </c>
      <c r="G13" s="1016"/>
      <c r="H13" s="379"/>
      <c r="I13" s="132">
        <f t="shared" si="2"/>
        <v>1891.7900000000002</v>
      </c>
    </row>
    <row r="14" spans="1:9" x14ac:dyDescent="0.25">
      <c r="B14" s="106">
        <f t="shared" si="1"/>
        <v>139</v>
      </c>
      <c r="C14" s="15"/>
      <c r="D14" s="632"/>
      <c r="E14" s="630"/>
      <c r="F14" s="632">
        <f t="shared" si="0"/>
        <v>0</v>
      </c>
      <c r="G14" s="1016"/>
      <c r="H14" s="379"/>
      <c r="I14" s="132">
        <f t="shared" si="2"/>
        <v>1891.7900000000002</v>
      </c>
    </row>
    <row r="15" spans="1:9" x14ac:dyDescent="0.25">
      <c r="B15" s="106">
        <f t="shared" si="1"/>
        <v>139</v>
      </c>
      <c r="C15" s="15"/>
      <c r="D15" s="632"/>
      <c r="E15" s="630"/>
      <c r="F15" s="632">
        <f t="shared" si="0"/>
        <v>0</v>
      </c>
      <c r="G15" s="1016"/>
      <c r="H15" s="379"/>
      <c r="I15" s="132">
        <f t="shared" si="2"/>
        <v>1891.7900000000002</v>
      </c>
    </row>
    <row r="16" spans="1:9" x14ac:dyDescent="0.25">
      <c r="B16" s="106">
        <f t="shared" si="1"/>
        <v>139</v>
      </c>
      <c r="C16" s="15"/>
      <c r="D16" s="632"/>
      <c r="E16" s="630"/>
      <c r="F16" s="632">
        <f t="shared" si="0"/>
        <v>0</v>
      </c>
      <c r="G16" s="1016"/>
      <c r="H16" s="379"/>
      <c r="I16" s="132">
        <f t="shared" si="2"/>
        <v>1891.7900000000002</v>
      </c>
    </row>
    <row r="17" spans="1:9" x14ac:dyDescent="0.25">
      <c r="B17" s="106">
        <f t="shared" si="1"/>
        <v>139</v>
      </c>
      <c r="C17" s="15"/>
      <c r="D17" s="626"/>
      <c r="E17" s="630"/>
      <c r="F17" s="632">
        <f t="shared" si="0"/>
        <v>0</v>
      </c>
      <c r="G17" s="1016"/>
      <c r="H17" s="379"/>
      <c r="I17" s="132">
        <f t="shared" si="2"/>
        <v>1891.7900000000002</v>
      </c>
    </row>
    <row r="18" spans="1:9" x14ac:dyDescent="0.25">
      <c r="B18" s="106">
        <f t="shared" si="1"/>
        <v>139</v>
      </c>
      <c r="C18" s="15"/>
      <c r="D18" s="632"/>
      <c r="E18" s="630"/>
      <c r="F18" s="632">
        <f t="shared" si="0"/>
        <v>0</v>
      </c>
      <c r="G18" s="1016"/>
      <c r="H18" s="379"/>
      <c r="I18" s="132">
        <f t="shared" si="2"/>
        <v>1891.7900000000002</v>
      </c>
    </row>
    <row r="19" spans="1:9" x14ac:dyDescent="0.25">
      <c r="B19" s="106">
        <f t="shared" si="1"/>
        <v>139</v>
      </c>
      <c r="C19" s="15"/>
      <c r="D19" s="632"/>
      <c r="E19" s="630"/>
      <c r="F19" s="632">
        <f t="shared" si="0"/>
        <v>0</v>
      </c>
      <c r="G19" s="1016"/>
      <c r="H19" s="379"/>
      <c r="I19" s="132">
        <f t="shared" si="2"/>
        <v>1891.7900000000002</v>
      </c>
    </row>
    <row r="20" spans="1:9" x14ac:dyDescent="0.25">
      <c r="B20" s="106">
        <f t="shared" si="1"/>
        <v>139</v>
      </c>
      <c r="C20" s="15"/>
      <c r="D20" s="632"/>
      <c r="E20" s="630"/>
      <c r="F20" s="632">
        <f t="shared" si="0"/>
        <v>0</v>
      </c>
      <c r="G20" s="1016"/>
      <c r="H20" s="379"/>
      <c r="I20" s="132">
        <f t="shared" si="2"/>
        <v>1891.7900000000002</v>
      </c>
    </row>
    <row r="21" spans="1:9" x14ac:dyDescent="0.25">
      <c r="B21" s="106">
        <f t="shared" si="1"/>
        <v>139</v>
      </c>
      <c r="C21" s="15"/>
      <c r="D21" s="632"/>
      <c r="E21" s="630"/>
      <c r="F21" s="632">
        <f t="shared" si="0"/>
        <v>0</v>
      </c>
      <c r="G21" s="1016"/>
      <c r="H21" s="379"/>
      <c r="I21" s="132">
        <f t="shared" si="2"/>
        <v>1891.7900000000002</v>
      </c>
    </row>
    <row r="22" spans="1:9" x14ac:dyDescent="0.25">
      <c r="B22" s="106">
        <f t="shared" si="1"/>
        <v>139</v>
      </c>
      <c r="C22" s="15"/>
      <c r="D22" s="632"/>
      <c r="E22" s="630"/>
      <c r="F22" s="632">
        <f t="shared" si="0"/>
        <v>0</v>
      </c>
      <c r="G22" s="1016"/>
      <c r="H22" s="379"/>
      <c r="I22" s="132">
        <f t="shared" si="2"/>
        <v>1891.7900000000002</v>
      </c>
    </row>
    <row r="23" spans="1:9" x14ac:dyDescent="0.25">
      <c r="B23" s="106">
        <f t="shared" si="1"/>
        <v>139</v>
      </c>
      <c r="C23" s="15"/>
      <c r="D23" s="632"/>
      <c r="E23" s="630"/>
      <c r="F23" s="632">
        <f t="shared" si="0"/>
        <v>0</v>
      </c>
      <c r="G23" s="1016"/>
      <c r="H23" s="379"/>
      <c r="I23" s="132">
        <f t="shared" si="2"/>
        <v>1891.7900000000002</v>
      </c>
    </row>
    <row r="24" spans="1:9" x14ac:dyDescent="0.25">
      <c r="B24" s="106">
        <f t="shared" si="1"/>
        <v>139</v>
      </c>
      <c r="C24" s="15"/>
      <c r="D24" s="632"/>
      <c r="E24" s="630"/>
      <c r="F24" s="632">
        <f t="shared" si="0"/>
        <v>0</v>
      </c>
      <c r="G24" s="640"/>
      <c r="H24" s="379"/>
      <c r="I24" s="132">
        <f t="shared" si="2"/>
        <v>1891.7900000000002</v>
      </c>
    </row>
    <row r="25" spans="1:9" x14ac:dyDescent="0.25">
      <c r="B25" s="106">
        <f t="shared" si="1"/>
        <v>139</v>
      </c>
      <c r="C25" s="15"/>
      <c r="D25" s="632"/>
      <c r="E25" s="630"/>
      <c r="F25" s="632">
        <f t="shared" si="0"/>
        <v>0</v>
      </c>
      <c r="G25" s="640"/>
      <c r="H25" s="379"/>
      <c r="I25" s="132">
        <f t="shared" si="2"/>
        <v>1891.7900000000002</v>
      </c>
    </row>
    <row r="26" spans="1:9" x14ac:dyDescent="0.25">
      <c r="B26" s="106">
        <f t="shared" si="1"/>
        <v>139</v>
      </c>
      <c r="C26" s="15"/>
      <c r="D26" s="632"/>
      <c r="E26" s="630"/>
      <c r="F26" s="632">
        <f t="shared" si="0"/>
        <v>0</v>
      </c>
      <c r="G26" s="640"/>
      <c r="H26" s="379"/>
      <c r="I26" s="132">
        <f t="shared" si="2"/>
        <v>1891.7900000000002</v>
      </c>
    </row>
    <row r="27" spans="1:9" x14ac:dyDescent="0.25">
      <c r="B27" s="106"/>
      <c r="C27" s="15"/>
      <c r="D27" s="632"/>
      <c r="E27" s="630"/>
      <c r="F27" s="632">
        <f t="shared" si="0"/>
        <v>0</v>
      </c>
      <c r="G27" s="640"/>
      <c r="H27" s="1017"/>
      <c r="I27" s="132">
        <f t="shared" si="2"/>
        <v>1891.7900000000002</v>
      </c>
    </row>
    <row r="28" spans="1:9" x14ac:dyDescent="0.25">
      <c r="B28" s="2"/>
      <c r="C28" s="15"/>
      <c r="D28" s="92"/>
      <c r="E28" s="135"/>
      <c r="F28" s="92">
        <f t="shared" si="0"/>
        <v>0</v>
      </c>
      <c r="G28" s="95"/>
      <c r="H28" s="17"/>
      <c r="I28" s="132">
        <f t="shared" si="2"/>
        <v>1891.7900000000002</v>
      </c>
    </row>
    <row r="29" spans="1:9" x14ac:dyDescent="0.25">
      <c r="B29" s="2"/>
      <c r="C29" s="15"/>
      <c r="D29" s="92"/>
      <c r="E29" s="135"/>
      <c r="F29" s="14"/>
      <c r="G29" s="31"/>
      <c r="H29" s="17"/>
    </row>
    <row r="30" spans="1:9" x14ac:dyDescent="0.25">
      <c r="B30" s="2"/>
      <c r="C30" s="15"/>
      <c r="D30" s="6"/>
      <c r="E30" s="807"/>
      <c r="F30" s="6"/>
    </row>
    <row r="31" spans="1:9" ht="15.75" thickBot="1" x14ac:dyDescent="0.3">
      <c r="B31" s="74"/>
      <c r="C31" s="87"/>
      <c r="D31" s="76"/>
      <c r="E31" s="808"/>
      <c r="F31" s="76"/>
      <c r="G31" s="24"/>
    </row>
    <row r="32" spans="1:9" ht="16.5" thickTop="1" thickBot="1" x14ac:dyDescent="0.3">
      <c r="A32" s="75"/>
      <c r="B32" s="75"/>
      <c r="C32" s="127">
        <f>SUM(C8:C31)</f>
        <v>8</v>
      </c>
      <c r="D32" s="105">
        <f>SUM(D8:D31)</f>
        <v>108.88</v>
      </c>
      <c r="E32" s="75"/>
      <c r="F32" s="105">
        <f>SUM(F8:F31)</f>
        <v>108.88</v>
      </c>
      <c r="G32" s="75"/>
      <c r="H32" s="75"/>
    </row>
    <row r="33" spans="1:8" x14ac:dyDescent="0.25">
      <c r="A33" s="75"/>
      <c r="B33" s="75"/>
      <c r="C33" s="75"/>
      <c r="D33" s="260" t="s">
        <v>21</v>
      </c>
      <c r="E33" s="261"/>
      <c r="F33" s="141">
        <f>E5-D32</f>
        <v>1891.79</v>
      </c>
      <c r="G33" s="75"/>
      <c r="H33" s="75"/>
    </row>
    <row r="34" spans="1:8" ht="15.75" thickBot="1" x14ac:dyDescent="0.3">
      <c r="A34" s="75"/>
      <c r="B34" s="75"/>
      <c r="C34" s="75"/>
      <c r="D34" s="262" t="s">
        <v>4</v>
      </c>
      <c r="E34" s="263"/>
      <c r="F34" s="49">
        <f>F4+F5-C32</f>
        <v>139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  <pageSetup orientation="landscape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I39"/>
  <sheetViews>
    <sheetView workbookViewId="0">
      <selection activeCell="A13" sqref="A13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390"/>
      <c r="B1" s="1390"/>
      <c r="C1" s="1390"/>
      <c r="D1" s="1390"/>
      <c r="E1" s="1390"/>
      <c r="F1" s="1390"/>
      <c r="G1" s="1390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473" t="s">
        <v>83</v>
      </c>
      <c r="C4" s="102"/>
      <c r="D4" s="135"/>
      <c r="E4" s="86"/>
      <c r="F4" s="73"/>
      <c r="G4" s="237"/>
    </row>
    <row r="5" spans="1:9" x14ac:dyDescent="0.25">
      <c r="A5" s="75"/>
      <c r="B5" s="1474"/>
      <c r="C5" s="102"/>
      <c r="D5" s="135"/>
      <c r="E5" s="86"/>
      <c r="F5" s="73"/>
      <c r="G5" s="538">
        <f>F32</f>
        <v>0</v>
      </c>
      <c r="H5" s="138">
        <f>E5-G5</f>
        <v>0</v>
      </c>
    </row>
    <row r="6" spans="1:9" ht="15.75" thickBot="1" x14ac:dyDescent="0.3">
      <c r="B6" s="535" t="s">
        <v>84</v>
      </c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5"/>
      <c r="B8" s="94"/>
      <c r="C8" s="15"/>
      <c r="D8" s="92"/>
      <c r="E8" s="134"/>
      <c r="F8" s="92">
        <f t="shared" ref="F8:F28" si="0">D8</f>
        <v>0</v>
      </c>
      <c r="G8" s="95"/>
      <c r="H8" s="71"/>
      <c r="I8" s="47">
        <f>I7-D8+E5</f>
        <v>0</v>
      </c>
    </row>
    <row r="9" spans="1:9" x14ac:dyDescent="0.25">
      <c r="A9" s="75"/>
      <c r="B9" s="2"/>
      <c r="C9" s="539"/>
      <c r="D9" s="105"/>
      <c r="E9" s="540"/>
      <c r="F9" s="92">
        <f t="shared" si="0"/>
        <v>0</v>
      </c>
      <c r="G9" s="541"/>
      <c r="H9" s="71"/>
      <c r="I9" s="47">
        <f>I8-D9</f>
        <v>0</v>
      </c>
    </row>
    <row r="10" spans="1:9" x14ac:dyDescent="0.25">
      <c r="A10" s="75"/>
      <c r="B10" s="2"/>
      <c r="C10" s="539"/>
      <c r="D10" s="105"/>
      <c r="E10" s="540"/>
      <c r="F10" s="92">
        <f t="shared" si="0"/>
        <v>0</v>
      </c>
      <c r="G10" s="541"/>
      <c r="H10" s="71"/>
      <c r="I10" s="47">
        <f t="shared" ref="I10:I28" si="1">I9-D10</f>
        <v>0</v>
      </c>
    </row>
    <row r="11" spans="1:9" x14ac:dyDescent="0.25">
      <c r="A11" s="55"/>
      <c r="B11" s="2"/>
      <c r="C11" s="539"/>
      <c r="D11" s="105"/>
      <c r="E11" s="540"/>
      <c r="F11" s="92">
        <f t="shared" si="0"/>
        <v>0</v>
      </c>
      <c r="G11" s="541"/>
      <c r="H11" s="71"/>
      <c r="I11" s="47">
        <f t="shared" si="1"/>
        <v>0</v>
      </c>
    </row>
    <row r="12" spans="1:9" x14ac:dyDescent="0.25">
      <c r="A12" s="75"/>
      <c r="B12" s="2"/>
      <c r="C12" s="539"/>
      <c r="D12" s="105"/>
      <c r="E12" s="540"/>
      <c r="F12" s="92">
        <f t="shared" si="0"/>
        <v>0</v>
      </c>
      <c r="G12" s="541"/>
      <c r="H12" s="71"/>
      <c r="I12" s="47">
        <f t="shared" si="1"/>
        <v>0</v>
      </c>
    </row>
    <row r="13" spans="1:9" x14ac:dyDescent="0.25">
      <c r="A13" s="75"/>
      <c r="B13" s="2"/>
      <c r="C13" s="539"/>
      <c r="D13" s="105"/>
      <c r="E13" s="540"/>
      <c r="F13" s="92">
        <f t="shared" si="0"/>
        <v>0</v>
      </c>
      <c r="G13" s="541"/>
      <c r="H13" s="71"/>
      <c r="I13" s="47">
        <f t="shared" si="1"/>
        <v>0</v>
      </c>
    </row>
    <row r="14" spans="1:9" x14ac:dyDescent="0.25">
      <c r="B14" s="2"/>
      <c r="C14" s="539"/>
      <c r="D14" s="105"/>
      <c r="E14" s="540"/>
      <c r="F14" s="92">
        <f t="shared" si="0"/>
        <v>0</v>
      </c>
      <c r="G14" s="541"/>
      <c r="H14" s="71"/>
      <c r="I14" s="47">
        <f t="shared" si="1"/>
        <v>0</v>
      </c>
    </row>
    <row r="15" spans="1:9" x14ac:dyDescent="0.25">
      <c r="B15" s="2"/>
      <c r="C15" s="539"/>
      <c r="D15" s="105"/>
      <c r="E15" s="540"/>
      <c r="F15" s="92">
        <f t="shared" si="0"/>
        <v>0</v>
      </c>
      <c r="G15" s="541"/>
      <c r="H15" s="71"/>
      <c r="I15" s="47">
        <f t="shared" si="1"/>
        <v>0</v>
      </c>
    </row>
    <row r="16" spans="1:9" x14ac:dyDescent="0.25">
      <c r="B16" s="2"/>
      <c r="C16" s="539"/>
      <c r="D16" s="105"/>
      <c r="E16" s="540"/>
      <c r="F16" s="92">
        <f t="shared" si="0"/>
        <v>0</v>
      </c>
      <c r="G16" s="541"/>
      <c r="H16" s="71"/>
      <c r="I16" s="47">
        <f t="shared" si="1"/>
        <v>0</v>
      </c>
    </row>
    <row r="17" spans="1:9" x14ac:dyDescent="0.25">
      <c r="B17" s="2"/>
      <c r="C17" s="53"/>
      <c r="D17" s="105"/>
      <c r="E17" s="540"/>
      <c r="F17" s="92">
        <f t="shared" si="0"/>
        <v>0</v>
      </c>
      <c r="G17" s="541"/>
      <c r="H17" s="71"/>
      <c r="I17" s="47">
        <f t="shared" si="1"/>
        <v>0</v>
      </c>
    </row>
    <row r="18" spans="1:9" x14ac:dyDescent="0.25">
      <c r="B18" s="2"/>
      <c r="C18" s="539"/>
      <c r="D18" s="105"/>
      <c r="E18" s="540"/>
      <c r="F18" s="92">
        <f t="shared" si="0"/>
        <v>0</v>
      </c>
      <c r="G18" s="541"/>
      <c r="H18" s="71"/>
      <c r="I18" s="47">
        <f t="shared" si="1"/>
        <v>0</v>
      </c>
    </row>
    <row r="19" spans="1:9" x14ac:dyDescent="0.25">
      <c r="B19" s="2"/>
      <c r="C19" s="539"/>
      <c r="D19" s="105"/>
      <c r="E19" s="540"/>
      <c r="F19" s="92">
        <f t="shared" si="0"/>
        <v>0</v>
      </c>
      <c r="G19" s="541"/>
      <c r="H19" s="71"/>
      <c r="I19" s="47">
        <f t="shared" si="1"/>
        <v>0</v>
      </c>
    </row>
    <row r="20" spans="1:9" x14ac:dyDescent="0.25">
      <c r="B20" s="2"/>
      <c r="C20" s="539"/>
      <c r="D20" s="105"/>
      <c r="E20" s="540"/>
      <c r="F20" s="92">
        <f t="shared" si="0"/>
        <v>0</v>
      </c>
      <c r="G20" s="541"/>
      <c r="H20" s="71"/>
      <c r="I20" s="47">
        <f t="shared" si="1"/>
        <v>0</v>
      </c>
    </row>
    <row r="21" spans="1:9" x14ac:dyDescent="0.25">
      <c r="B21" s="2"/>
      <c r="C21" s="539"/>
      <c r="D21" s="105"/>
      <c r="E21" s="540"/>
      <c r="F21" s="92">
        <f t="shared" si="0"/>
        <v>0</v>
      </c>
      <c r="G21" s="541"/>
      <c r="H21" s="71"/>
      <c r="I21" s="47">
        <f t="shared" si="1"/>
        <v>0</v>
      </c>
    </row>
    <row r="22" spans="1:9" x14ac:dyDescent="0.25">
      <c r="B22" s="2"/>
      <c r="C22" s="539"/>
      <c r="D22" s="105"/>
      <c r="E22" s="540"/>
      <c r="F22" s="92">
        <f t="shared" si="0"/>
        <v>0</v>
      </c>
      <c r="G22" s="541"/>
      <c r="H22" s="71"/>
      <c r="I22" s="47">
        <f t="shared" si="1"/>
        <v>0</v>
      </c>
    </row>
    <row r="23" spans="1:9" x14ac:dyDescent="0.25">
      <c r="B23" s="2"/>
      <c r="C23" s="539"/>
      <c r="D23" s="105"/>
      <c r="E23" s="540"/>
      <c r="F23" s="92">
        <f t="shared" si="0"/>
        <v>0</v>
      </c>
      <c r="G23" s="541"/>
      <c r="H23" s="71"/>
      <c r="I23" s="47">
        <f t="shared" si="1"/>
        <v>0</v>
      </c>
    </row>
    <row r="24" spans="1:9" x14ac:dyDescent="0.25">
      <c r="B24" s="2"/>
      <c r="C24" s="539"/>
      <c r="D24" s="105"/>
      <c r="E24" s="540"/>
      <c r="F24" s="92">
        <f t="shared" si="0"/>
        <v>0</v>
      </c>
      <c r="G24" s="541"/>
      <c r="H24" s="71"/>
      <c r="I24" s="47">
        <f t="shared" si="1"/>
        <v>0</v>
      </c>
    </row>
    <row r="25" spans="1:9" x14ac:dyDescent="0.25">
      <c r="B25" s="2"/>
      <c r="C25" s="539"/>
      <c r="D25" s="105"/>
      <c r="E25" s="540"/>
      <c r="F25" s="92">
        <f t="shared" si="0"/>
        <v>0</v>
      </c>
      <c r="G25" s="541"/>
      <c r="H25" s="71"/>
      <c r="I25" s="47">
        <f t="shared" si="1"/>
        <v>0</v>
      </c>
    </row>
    <row r="26" spans="1:9" x14ac:dyDescent="0.25">
      <c r="B26" s="109"/>
      <c r="C26" s="539"/>
      <c r="D26" s="105"/>
      <c r="E26" s="540"/>
      <c r="F26" s="92">
        <f t="shared" si="0"/>
        <v>0</v>
      </c>
      <c r="G26" s="542"/>
      <c r="H26" s="71"/>
      <c r="I26" s="47">
        <f t="shared" si="1"/>
        <v>0</v>
      </c>
    </row>
    <row r="27" spans="1:9" x14ac:dyDescent="0.25">
      <c r="B27" s="106"/>
      <c r="C27" s="15"/>
      <c r="D27" s="14"/>
      <c r="E27" s="118"/>
      <c r="F27" s="92">
        <f t="shared" si="0"/>
        <v>0</v>
      </c>
      <c r="G27" s="95"/>
      <c r="H27" s="71"/>
      <c r="I27" s="47">
        <f t="shared" si="1"/>
        <v>0</v>
      </c>
    </row>
    <row r="28" spans="1:9" x14ac:dyDescent="0.25">
      <c r="B28" s="2"/>
      <c r="C28" s="15"/>
      <c r="D28" s="14"/>
      <c r="E28" s="118"/>
      <c r="F28" s="92">
        <f t="shared" si="0"/>
        <v>0</v>
      </c>
      <c r="G28" s="95"/>
      <c r="H28" s="17"/>
      <c r="I28" s="47">
        <f t="shared" si="1"/>
        <v>0</v>
      </c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4"/>
      <c r="C31" s="87"/>
      <c r="D31" s="76"/>
      <c r="E31" s="119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260" t="s">
        <v>21</v>
      </c>
      <c r="E33" s="261"/>
      <c r="F33" s="141">
        <f>E5-D32</f>
        <v>0</v>
      </c>
      <c r="G33" s="75"/>
      <c r="H33" s="75"/>
    </row>
    <row r="34" spans="1:8" ht="15.75" thickBot="1" x14ac:dyDescent="0.3">
      <c r="A34" s="75"/>
      <c r="B34" s="75"/>
      <c r="C34" s="75"/>
      <c r="D34" s="262" t="s">
        <v>4</v>
      </c>
      <c r="E34" s="263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CCFF"/>
  </sheetPr>
  <dimension ref="A1:I39"/>
  <sheetViews>
    <sheetView workbookViewId="0">
      <selection activeCell="D15" sqref="D15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390"/>
      <c r="B1" s="1390"/>
      <c r="C1" s="1390"/>
      <c r="D1" s="1390"/>
      <c r="E1" s="1390"/>
      <c r="F1" s="1390"/>
      <c r="G1" s="1390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471" t="s">
        <v>101</v>
      </c>
      <c r="C4" s="102"/>
      <c r="D4" s="135"/>
      <c r="E4" s="86"/>
      <c r="F4" s="73"/>
      <c r="G4" s="237"/>
    </row>
    <row r="5" spans="1:9" x14ac:dyDescent="0.25">
      <c r="A5" s="1391"/>
      <c r="B5" s="1472"/>
      <c r="C5" s="128"/>
      <c r="D5" s="135"/>
      <c r="E5" s="86"/>
      <c r="F5" s="73"/>
      <c r="G5" s="48">
        <f>F32</f>
        <v>0</v>
      </c>
      <c r="H5" s="138">
        <f>E5-G5</f>
        <v>0</v>
      </c>
    </row>
    <row r="6" spans="1:9" ht="15.75" thickBot="1" x14ac:dyDescent="0.3">
      <c r="A6" s="1391"/>
      <c r="C6" s="393"/>
      <c r="D6" s="135"/>
      <c r="E6" s="75"/>
      <c r="F6" s="73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5"/>
      <c r="B8" s="94"/>
      <c r="C8" s="15"/>
      <c r="D8" s="443"/>
      <c r="E8" s="244"/>
      <c r="F8" s="92"/>
      <c r="G8" s="95"/>
      <c r="H8" s="71"/>
      <c r="I8" s="132">
        <f>E4+E5+E6-D8</f>
        <v>0</v>
      </c>
    </row>
    <row r="9" spans="1:9" x14ac:dyDescent="0.25">
      <c r="A9" s="75"/>
      <c r="B9" s="2"/>
      <c r="C9" s="15"/>
      <c r="D9" s="443"/>
      <c r="E9" s="244"/>
      <c r="F9" s="92">
        <f t="shared" ref="F9:F28" si="0">D9</f>
        <v>0</v>
      </c>
      <c r="G9" s="95"/>
      <c r="H9" s="71"/>
      <c r="I9" s="132">
        <f>I8-D9</f>
        <v>0</v>
      </c>
    </row>
    <row r="10" spans="1:9" x14ac:dyDescent="0.25">
      <c r="A10" s="75"/>
      <c r="B10" s="2"/>
      <c r="C10" s="15"/>
      <c r="D10" s="443"/>
      <c r="E10" s="244"/>
      <c r="F10" s="92">
        <f t="shared" si="0"/>
        <v>0</v>
      </c>
      <c r="G10" s="95"/>
      <c r="H10" s="71"/>
      <c r="I10" s="132">
        <f t="shared" ref="I10:I27" si="1">I9-D10</f>
        <v>0</v>
      </c>
    </row>
    <row r="11" spans="1:9" x14ac:dyDescent="0.25">
      <c r="A11" s="55"/>
      <c r="B11" s="2"/>
      <c r="C11" s="15"/>
      <c r="D11" s="443"/>
      <c r="E11" s="244"/>
      <c r="F11" s="92">
        <f t="shared" si="0"/>
        <v>0</v>
      </c>
      <c r="G11" s="95"/>
      <c r="H11" s="71"/>
      <c r="I11" s="132">
        <f t="shared" si="1"/>
        <v>0</v>
      </c>
    </row>
    <row r="12" spans="1:9" x14ac:dyDescent="0.25">
      <c r="A12" s="75"/>
      <c r="B12" s="2"/>
      <c r="C12" s="15"/>
      <c r="D12" s="443"/>
      <c r="E12" s="244"/>
      <c r="F12" s="92">
        <f t="shared" si="0"/>
        <v>0</v>
      </c>
      <c r="G12" s="95"/>
      <c r="H12" s="71"/>
      <c r="I12" s="132">
        <f t="shared" si="1"/>
        <v>0</v>
      </c>
    </row>
    <row r="13" spans="1:9" x14ac:dyDescent="0.25">
      <c r="A13" s="75"/>
      <c r="B13" s="2"/>
      <c r="C13" s="15"/>
      <c r="D13" s="443"/>
      <c r="E13" s="244"/>
      <c r="F13" s="92">
        <f t="shared" si="0"/>
        <v>0</v>
      </c>
      <c r="G13" s="95"/>
      <c r="H13" s="71"/>
      <c r="I13" s="132">
        <f t="shared" si="1"/>
        <v>0</v>
      </c>
    </row>
    <row r="14" spans="1:9" x14ac:dyDescent="0.25">
      <c r="B14" s="2"/>
      <c r="C14" s="15"/>
      <c r="D14" s="443"/>
      <c r="E14" s="244"/>
      <c r="F14" s="92">
        <f t="shared" si="0"/>
        <v>0</v>
      </c>
      <c r="G14" s="95"/>
      <c r="H14" s="71"/>
      <c r="I14" s="132">
        <f t="shared" si="1"/>
        <v>0</v>
      </c>
    </row>
    <row r="15" spans="1:9" x14ac:dyDescent="0.25">
      <c r="B15" s="2"/>
      <c r="C15" s="15"/>
      <c r="D15" s="443"/>
      <c r="E15" s="244"/>
      <c r="F15" s="92">
        <f t="shared" si="0"/>
        <v>0</v>
      </c>
      <c r="G15" s="95"/>
      <c r="H15" s="71"/>
      <c r="I15" s="132">
        <f t="shared" si="1"/>
        <v>0</v>
      </c>
    </row>
    <row r="16" spans="1:9" x14ac:dyDescent="0.25">
      <c r="B16" s="2"/>
      <c r="C16" s="15"/>
      <c r="D16" s="443"/>
      <c r="E16" s="444"/>
      <c r="F16" s="92">
        <f t="shared" si="0"/>
        <v>0</v>
      </c>
      <c r="G16" s="95"/>
      <c r="H16" s="71"/>
      <c r="I16" s="132">
        <f t="shared" si="1"/>
        <v>0</v>
      </c>
    </row>
    <row r="17" spans="1:9" x14ac:dyDescent="0.25">
      <c r="B17" s="2"/>
      <c r="C17" s="15"/>
      <c r="D17" s="445"/>
      <c r="E17" s="444"/>
      <c r="F17" s="92">
        <f t="shared" si="0"/>
        <v>0</v>
      </c>
      <c r="G17" s="95"/>
      <c r="H17" s="71"/>
      <c r="I17" s="132">
        <f t="shared" si="1"/>
        <v>0</v>
      </c>
    </row>
    <row r="18" spans="1:9" x14ac:dyDescent="0.25">
      <c r="B18" s="2"/>
      <c r="C18" s="15"/>
      <c r="D18" s="443"/>
      <c r="E18" s="444"/>
      <c r="F18" s="92">
        <f t="shared" si="0"/>
        <v>0</v>
      </c>
      <c r="G18" s="95"/>
      <c r="H18" s="71"/>
      <c r="I18" s="132">
        <f t="shared" si="1"/>
        <v>0</v>
      </c>
    </row>
    <row r="19" spans="1:9" x14ac:dyDescent="0.25">
      <c r="B19" s="2"/>
      <c r="C19" s="15"/>
      <c r="D19" s="443"/>
      <c r="E19" s="444"/>
      <c r="F19" s="92">
        <f t="shared" si="0"/>
        <v>0</v>
      </c>
      <c r="G19" s="95"/>
      <c r="H19" s="71"/>
      <c r="I19" s="132">
        <f t="shared" si="1"/>
        <v>0</v>
      </c>
    </row>
    <row r="20" spans="1:9" x14ac:dyDescent="0.25">
      <c r="B20" s="2"/>
      <c r="C20" s="15"/>
      <c r="D20" s="443"/>
      <c r="E20" s="444"/>
      <c r="F20" s="92">
        <f t="shared" si="0"/>
        <v>0</v>
      </c>
      <c r="G20" s="95"/>
      <c r="H20" s="71"/>
      <c r="I20" s="132">
        <f t="shared" si="1"/>
        <v>0</v>
      </c>
    </row>
    <row r="21" spans="1:9" x14ac:dyDescent="0.25">
      <c r="B21" s="2"/>
      <c r="C21" s="15"/>
      <c r="D21" s="443"/>
      <c r="E21" s="444"/>
      <c r="F21" s="92">
        <f t="shared" si="0"/>
        <v>0</v>
      </c>
      <c r="G21" s="95"/>
      <c r="H21" s="71"/>
      <c r="I21" s="132">
        <f t="shared" si="1"/>
        <v>0</v>
      </c>
    </row>
    <row r="22" spans="1:9" x14ac:dyDescent="0.25">
      <c r="B22" s="2"/>
      <c r="C22" s="15"/>
      <c r="D22" s="443"/>
      <c r="E22" s="444"/>
      <c r="F22" s="92">
        <f t="shared" si="0"/>
        <v>0</v>
      </c>
      <c r="G22" s="95"/>
      <c r="H22" s="71"/>
      <c r="I22" s="132">
        <f t="shared" si="1"/>
        <v>0</v>
      </c>
    </row>
    <row r="23" spans="1:9" x14ac:dyDescent="0.25">
      <c r="B23" s="2"/>
      <c r="C23" s="15"/>
      <c r="D23" s="443"/>
      <c r="E23" s="444"/>
      <c r="F23" s="92">
        <f t="shared" si="0"/>
        <v>0</v>
      </c>
      <c r="G23" s="95"/>
      <c r="H23" s="71"/>
      <c r="I23" s="132">
        <f t="shared" si="1"/>
        <v>0</v>
      </c>
    </row>
    <row r="24" spans="1:9" x14ac:dyDescent="0.25">
      <c r="B24" s="2"/>
      <c r="C24" s="15"/>
      <c r="D24" s="443"/>
      <c r="E24" s="444"/>
      <c r="F24" s="92">
        <f t="shared" si="0"/>
        <v>0</v>
      </c>
      <c r="G24" s="95"/>
      <c r="H24" s="71"/>
      <c r="I24" s="132">
        <f t="shared" si="1"/>
        <v>0</v>
      </c>
    </row>
    <row r="25" spans="1:9" x14ac:dyDescent="0.25">
      <c r="B25" s="2"/>
      <c r="C25" s="15"/>
      <c r="D25" s="443"/>
      <c r="E25" s="444"/>
      <c r="F25" s="92">
        <f t="shared" si="0"/>
        <v>0</v>
      </c>
      <c r="G25" s="95"/>
      <c r="H25" s="71"/>
      <c r="I25" s="132">
        <f t="shared" si="1"/>
        <v>0</v>
      </c>
    </row>
    <row r="26" spans="1:9" x14ac:dyDescent="0.25">
      <c r="B26" s="109"/>
      <c r="C26" s="15"/>
      <c r="D26" s="443"/>
      <c r="E26" s="444"/>
      <c r="F26" s="92">
        <f t="shared" si="0"/>
        <v>0</v>
      </c>
      <c r="G26" s="95"/>
      <c r="H26" s="71"/>
      <c r="I26" s="132">
        <f t="shared" si="1"/>
        <v>0</v>
      </c>
    </row>
    <row r="27" spans="1:9" x14ac:dyDescent="0.25">
      <c r="B27" s="106"/>
      <c r="C27" s="15"/>
      <c r="D27" s="14"/>
      <c r="E27" s="85"/>
      <c r="F27" s="92">
        <f t="shared" si="0"/>
        <v>0</v>
      </c>
      <c r="G27" s="95"/>
      <c r="H27" s="71"/>
      <c r="I27" s="132">
        <f t="shared" si="1"/>
        <v>0</v>
      </c>
    </row>
    <row r="28" spans="1:9" x14ac:dyDescent="0.25">
      <c r="B28" s="2"/>
      <c r="C28" s="15"/>
      <c r="D28" s="14"/>
      <c r="E28" s="85"/>
      <c r="F28" s="92">
        <f t="shared" si="0"/>
        <v>0</v>
      </c>
      <c r="G28" s="95"/>
      <c r="H28" s="71"/>
      <c r="I28" s="75"/>
    </row>
    <row r="29" spans="1:9" x14ac:dyDescent="0.25">
      <c r="B29" s="2"/>
      <c r="C29" s="15"/>
      <c r="D29" s="14"/>
      <c r="E29" s="85"/>
      <c r="F29" s="14"/>
      <c r="G29" s="31"/>
      <c r="H29" s="17"/>
    </row>
    <row r="30" spans="1:9" x14ac:dyDescent="0.25">
      <c r="B30" s="2"/>
      <c r="C30" s="15"/>
      <c r="D30" s="6"/>
      <c r="E30" s="85"/>
      <c r="F30" s="6"/>
    </row>
    <row r="31" spans="1:9" ht="15.75" thickBot="1" x14ac:dyDescent="0.3">
      <c r="B31" s="74"/>
      <c r="C31" s="87"/>
      <c r="D31" s="76"/>
      <c r="E31" s="432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260" t="s">
        <v>21</v>
      </c>
      <c r="E33" s="261"/>
      <c r="F33" s="141">
        <f>E5-F32</f>
        <v>0</v>
      </c>
      <c r="G33" s="75"/>
      <c r="H33" s="75"/>
    </row>
    <row r="34" spans="1:8" ht="15.75" thickBot="1" x14ac:dyDescent="0.3">
      <c r="A34" s="75"/>
      <c r="B34" s="75"/>
      <c r="C34" s="75"/>
      <c r="D34" s="262" t="s">
        <v>4</v>
      </c>
      <c r="E34" s="263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99FF"/>
  </sheetPr>
  <dimension ref="A1:I39"/>
  <sheetViews>
    <sheetView workbookViewId="0">
      <selection activeCell="F6" sqref="F6"/>
    </sheetView>
  </sheetViews>
  <sheetFormatPr baseColWidth="10" defaultRowHeight="15" x14ac:dyDescent="0.25"/>
  <cols>
    <col min="1" max="1" width="33.140625" customWidth="1"/>
    <col min="2" max="2" width="16.28515625" bestFit="1" customWidth="1"/>
    <col min="4" max="4" width="11.28515625" customWidth="1"/>
  </cols>
  <sheetData>
    <row r="1" spans="1:9" ht="40.5" x14ac:dyDescent="0.55000000000000004">
      <c r="A1" s="1390" t="s">
        <v>339</v>
      </c>
      <c r="B1" s="1390"/>
      <c r="C1" s="1390"/>
      <c r="D1" s="1390"/>
      <c r="E1" s="1390"/>
      <c r="F1" s="1390"/>
      <c r="G1" s="1390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475" t="s">
        <v>102</v>
      </c>
      <c r="C4" s="102"/>
      <c r="D4" s="135"/>
      <c r="E4" s="86"/>
      <c r="F4" s="73"/>
      <c r="G4" s="237"/>
    </row>
    <row r="5" spans="1:9" x14ac:dyDescent="0.25">
      <c r="A5" s="1391" t="s">
        <v>506</v>
      </c>
      <c r="B5" s="1476"/>
      <c r="C5" s="128">
        <v>40</v>
      </c>
      <c r="D5" s="135">
        <v>44921</v>
      </c>
      <c r="E5" s="86">
        <v>1291.1099999999999</v>
      </c>
      <c r="F5" s="73">
        <v>44</v>
      </c>
      <c r="G5" s="48">
        <f>F32</f>
        <v>0</v>
      </c>
      <c r="H5" s="138">
        <f>E5-G5</f>
        <v>1291.1099999999999</v>
      </c>
    </row>
    <row r="6" spans="1:9" ht="15.75" thickBot="1" x14ac:dyDescent="0.3">
      <c r="A6" s="1391"/>
      <c r="C6" s="393"/>
      <c r="D6" s="135"/>
      <c r="E6" s="75"/>
      <c r="F6" s="73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5"/>
      <c r="B8" s="94">
        <f>F5-C8</f>
        <v>44</v>
      </c>
      <c r="C8" s="15"/>
      <c r="D8" s="92"/>
      <c r="E8" s="244"/>
      <c r="F8" s="92">
        <f t="shared" ref="F8:F28" si="0">D8</f>
        <v>0</v>
      </c>
      <c r="G8" s="95"/>
      <c r="H8" s="71"/>
      <c r="I8" s="132">
        <f>E4+E5+E6-D8</f>
        <v>1291.1099999999999</v>
      </c>
    </row>
    <row r="9" spans="1:9" x14ac:dyDescent="0.25">
      <c r="A9" s="75"/>
      <c r="B9" s="2">
        <f>B8-C9</f>
        <v>44</v>
      </c>
      <c r="C9" s="15"/>
      <c r="D9" s="613"/>
      <c r="E9" s="612"/>
      <c r="F9" s="613">
        <f t="shared" si="0"/>
        <v>0</v>
      </c>
      <c r="G9" s="489"/>
      <c r="H9" s="60"/>
      <c r="I9" s="132">
        <f>I8-D9</f>
        <v>1291.1099999999999</v>
      </c>
    </row>
    <row r="10" spans="1:9" x14ac:dyDescent="0.25">
      <c r="A10" s="75"/>
      <c r="B10" s="2">
        <f t="shared" ref="B10:B28" si="1">B9-C10</f>
        <v>44</v>
      </c>
      <c r="C10" s="15"/>
      <c r="D10" s="613"/>
      <c r="E10" s="612"/>
      <c r="F10" s="613">
        <f t="shared" si="0"/>
        <v>0</v>
      </c>
      <c r="G10" s="489"/>
      <c r="H10" s="60"/>
      <c r="I10" s="132">
        <f t="shared" ref="I10:I27" si="2">I9-D10</f>
        <v>1291.1099999999999</v>
      </c>
    </row>
    <row r="11" spans="1:9" x14ac:dyDescent="0.25">
      <c r="A11" s="55"/>
      <c r="B11" s="2">
        <f t="shared" si="1"/>
        <v>44</v>
      </c>
      <c r="C11" s="15"/>
      <c r="D11" s="613"/>
      <c r="E11" s="612"/>
      <c r="F11" s="613">
        <f t="shared" si="0"/>
        <v>0</v>
      </c>
      <c r="G11" s="489"/>
      <c r="H11" s="60"/>
      <c r="I11" s="132">
        <f t="shared" si="2"/>
        <v>1291.1099999999999</v>
      </c>
    </row>
    <row r="12" spans="1:9" x14ac:dyDescent="0.25">
      <c r="A12" s="75"/>
      <c r="B12" s="2">
        <f t="shared" si="1"/>
        <v>44</v>
      </c>
      <c r="C12" s="15"/>
      <c r="D12" s="613"/>
      <c r="E12" s="612"/>
      <c r="F12" s="613">
        <f t="shared" si="0"/>
        <v>0</v>
      </c>
      <c r="G12" s="489"/>
      <c r="H12" s="60"/>
      <c r="I12" s="132">
        <f t="shared" si="2"/>
        <v>1291.1099999999999</v>
      </c>
    </row>
    <row r="13" spans="1:9" x14ac:dyDescent="0.25">
      <c r="A13" s="75"/>
      <c r="B13" s="2">
        <f t="shared" si="1"/>
        <v>44</v>
      </c>
      <c r="C13" s="15"/>
      <c r="D13" s="632"/>
      <c r="E13" s="628"/>
      <c r="F13" s="632">
        <f t="shared" si="0"/>
        <v>0</v>
      </c>
      <c r="G13" s="640"/>
      <c r="H13" s="379"/>
      <c r="I13" s="132">
        <f t="shared" si="2"/>
        <v>1291.1099999999999</v>
      </c>
    </row>
    <row r="14" spans="1:9" x14ac:dyDescent="0.25">
      <c r="B14" s="2">
        <f t="shared" si="1"/>
        <v>44</v>
      </c>
      <c r="C14" s="15"/>
      <c r="D14" s="632"/>
      <c r="E14" s="628"/>
      <c r="F14" s="632">
        <f t="shared" si="0"/>
        <v>0</v>
      </c>
      <c r="G14" s="640"/>
      <c r="H14" s="379"/>
      <c r="I14" s="132">
        <f t="shared" si="2"/>
        <v>1291.1099999999999</v>
      </c>
    </row>
    <row r="15" spans="1:9" x14ac:dyDescent="0.25">
      <c r="B15" s="2">
        <f t="shared" si="1"/>
        <v>44</v>
      </c>
      <c r="C15" s="15"/>
      <c r="D15" s="632"/>
      <c r="E15" s="628"/>
      <c r="F15" s="632">
        <f t="shared" si="0"/>
        <v>0</v>
      </c>
      <c r="G15" s="640"/>
      <c r="H15" s="379"/>
      <c r="I15" s="132">
        <f t="shared" si="2"/>
        <v>1291.1099999999999</v>
      </c>
    </row>
    <row r="16" spans="1:9" x14ac:dyDescent="0.25">
      <c r="B16" s="2">
        <f t="shared" si="1"/>
        <v>44</v>
      </c>
      <c r="C16" s="15"/>
      <c r="D16" s="632"/>
      <c r="E16" s="628"/>
      <c r="F16" s="632">
        <f t="shared" si="0"/>
        <v>0</v>
      </c>
      <c r="G16" s="640"/>
      <c r="H16" s="379"/>
      <c r="I16" s="132">
        <f t="shared" si="2"/>
        <v>1291.1099999999999</v>
      </c>
    </row>
    <row r="17" spans="1:9" x14ac:dyDescent="0.25">
      <c r="B17" s="2">
        <f t="shared" si="1"/>
        <v>44</v>
      </c>
      <c r="C17" s="15"/>
      <c r="D17" s="626"/>
      <c r="E17" s="628"/>
      <c r="F17" s="632">
        <f t="shared" si="0"/>
        <v>0</v>
      </c>
      <c r="G17" s="640"/>
      <c r="H17" s="379"/>
      <c r="I17" s="132">
        <f t="shared" si="2"/>
        <v>1291.1099999999999</v>
      </c>
    </row>
    <row r="18" spans="1:9" x14ac:dyDescent="0.25">
      <c r="B18" s="2">
        <f t="shared" si="1"/>
        <v>44</v>
      </c>
      <c r="C18" s="15"/>
      <c r="D18" s="632"/>
      <c r="E18" s="628"/>
      <c r="F18" s="632">
        <f t="shared" si="0"/>
        <v>0</v>
      </c>
      <c r="G18" s="640"/>
      <c r="H18" s="379"/>
      <c r="I18" s="132">
        <f t="shared" si="2"/>
        <v>1291.1099999999999</v>
      </c>
    </row>
    <row r="19" spans="1:9" x14ac:dyDescent="0.25">
      <c r="B19" s="2">
        <f t="shared" si="1"/>
        <v>44</v>
      </c>
      <c r="C19" s="15"/>
      <c r="D19" s="632"/>
      <c r="E19" s="628"/>
      <c r="F19" s="632">
        <f t="shared" si="0"/>
        <v>0</v>
      </c>
      <c r="G19" s="640"/>
      <c r="H19" s="379"/>
      <c r="I19" s="132">
        <f t="shared" si="2"/>
        <v>1291.1099999999999</v>
      </c>
    </row>
    <row r="20" spans="1:9" x14ac:dyDescent="0.25">
      <c r="B20" s="2">
        <f t="shared" si="1"/>
        <v>44</v>
      </c>
      <c r="C20" s="15"/>
      <c r="D20" s="632"/>
      <c r="E20" s="628"/>
      <c r="F20" s="632">
        <f t="shared" si="0"/>
        <v>0</v>
      </c>
      <c r="G20" s="640"/>
      <c r="H20" s="379"/>
      <c r="I20" s="132">
        <f t="shared" si="2"/>
        <v>1291.1099999999999</v>
      </c>
    </row>
    <row r="21" spans="1:9" x14ac:dyDescent="0.25">
      <c r="B21" s="2">
        <f t="shared" si="1"/>
        <v>44</v>
      </c>
      <c r="C21" s="15"/>
      <c r="D21" s="632"/>
      <c r="E21" s="628"/>
      <c r="F21" s="632">
        <f t="shared" si="0"/>
        <v>0</v>
      </c>
      <c r="G21" s="640"/>
      <c r="H21" s="379"/>
      <c r="I21" s="132">
        <f t="shared" si="2"/>
        <v>1291.1099999999999</v>
      </c>
    </row>
    <row r="22" spans="1:9" x14ac:dyDescent="0.25">
      <c r="B22" s="2">
        <f t="shared" si="1"/>
        <v>44</v>
      </c>
      <c r="C22" s="15"/>
      <c r="D22" s="641"/>
      <c r="E22" s="642"/>
      <c r="F22" s="632">
        <f t="shared" si="0"/>
        <v>0</v>
      </c>
      <c r="G22" s="640"/>
      <c r="H22" s="379"/>
      <c r="I22" s="132">
        <f t="shared" si="2"/>
        <v>1291.1099999999999</v>
      </c>
    </row>
    <row r="23" spans="1:9" x14ac:dyDescent="0.25">
      <c r="B23" s="2">
        <f t="shared" si="1"/>
        <v>44</v>
      </c>
      <c r="C23" s="15"/>
      <c r="D23" s="443"/>
      <c r="E23" s="444"/>
      <c r="F23" s="92">
        <f t="shared" si="0"/>
        <v>0</v>
      </c>
      <c r="G23" s="95"/>
      <c r="H23" s="71"/>
      <c r="I23" s="132">
        <f t="shared" si="2"/>
        <v>1291.1099999999999</v>
      </c>
    </row>
    <row r="24" spans="1:9" x14ac:dyDescent="0.25">
      <c r="B24" s="2">
        <f t="shared" si="1"/>
        <v>44</v>
      </c>
      <c r="C24" s="15"/>
      <c r="D24" s="443"/>
      <c r="E24" s="444"/>
      <c r="F24" s="92">
        <f t="shared" si="0"/>
        <v>0</v>
      </c>
      <c r="G24" s="95"/>
      <c r="H24" s="71"/>
      <c r="I24" s="132">
        <f t="shared" si="2"/>
        <v>1291.1099999999999</v>
      </c>
    </row>
    <row r="25" spans="1:9" x14ac:dyDescent="0.25">
      <c r="B25" s="2">
        <f t="shared" si="1"/>
        <v>44</v>
      </c>
      <c r="C25" s="15"/>
      <c r="D25" s="443"/>
      <c r="E25" s="444"/>
      <c r="F25" s="92">
        <f t="shared" si="0"/>
        <v>0</v>
      </c>
      <c r="G25" s="95"/>
      <c r="H25" s="71"/>
      <c r="I25" s="132">
        <f t="shared" si="2"/>
        <v>1291.1099999999999</v>
      </c>
    </row>
    <row r="26" spans="1:9" x14ac:dyDescent="0.25">
      <c r="B26" s="2">
        <f t="shared" si="1"/>
        <v>44</v>
      </c>
      <c r="C26" s="15"/>
      <c r="D26" s="443"/>
      <c r="E26" s="444"/>
      <c r="F26" s="92">
        <f t="shared" si="0"/>
        <v>0</v>
      </c>
      <c r="G26" s="95"/>
      <c r="H26" s="71"/>
      <c r="I26" s="132">
        <f t="shared" si="2"/>
        <v>1291.1099999999999</v>
      </c>
    </row>
    <row r="27" spans="1:9" x14ac:dyDescent="0.25">
      <c r="B27" s="2">
        <f t="shared" si="1"/>
        <v>44</v>
      </c>
      <c r="C27" s="15"/>
      <c r="D27" s="14"/>
      <c r="E27" s="85"/>
      <c r="F27" s="92">
        <f t="shared" si="0"/>
        <v>0</v>
      </c>
      <c r="G27" s="95"/>
      <c r="H27" s="71"/>
      <c r="I27" s="132">
        <f t="shared" si="2"/>
        <v>1291.1099999999999</v>
      </c>
    </row>
    <row r="28" spans="1:9" x14ac:dyDescent="0.25">
      <c r="B28" s="2">
        <f t="shared" si="1"/>
        <v>44</v>
      </c>
      <c r="C28" s="15"/>
      <c r="D28" s="14"/>
      <c r="E28" s="85"/>
      <c r="F28" s="92">
        <f t="shared" si="0"/>
        <v>0</v>
      </c>
      <c r="G28" s="95"/>
      <c r="H28" s="71"/>
      <c r="I28" s="75"/>
    </row>
    <row r="29" spans="1:9" x14ac:dyDescent="0.25">
      <c r="B29" s="2"/>
      <c r="C29" s="15"/>
      <c r="D29" s="14"/>
      <c r="E29" s="85"/>
      <c r="F29" s="14"/>
      <c r="G29" s="31"/>
      <c r="H29" s="17"/>
    </row>
    <row r="30" spans="1:9" x14ac:dyDescent="0.25">
      <c r="B30" s="2"/>
      <c r="C30" s="15"/>
      <c r="D30" s="6"/>
      <c r="E30" s="85"/>
      <c r="F30" s="6"/>
    </row>
    <row r="31" spans="1:9" ht="15.75" thickBot="1" x14ac:dyDescent="0.3">
      <c r="B31" s="74"/>
      <c r="C31" s="87"/>
      <c r="D31" s="76"/>
      <c r="E31" s="432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260" t="s">
        <v>21</v>
      </c>
      <c r="E33" s="261"/>
      <c r="F33" s="141">
        <f>E5-F32</f>
        <v>1291.1099999999999</v>
      </c>
      <c r="G33" s="75"/>
      <c r="H33" s="75"/>
    </row>
    <row r="34" spans="1:8" ht="15.75" thickBot="1" x14ac:dyDescent="0.3">
      <c r="A34" s="75"/>
      <c r="B34" s="75"/>
      <c r="C34" s="75"/>
      <c r="D34" s="262" t="s">
        <v>4</v>
      </c>
      <c r="E34" s="263"/>
      <c r="F34" s="49">
        <f>F4+F5-C32</f>
        <v>44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7" sqref="E26:E27"/>
    </sheetView>
  </sheetViews>
  <sheetFormatPr baseColWidth="10" defaultRowHeight="15" x14ac:dyDescent="0.25"/>
  <sheetData/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I83"/>
  <sheetViews>
    <sheetView workbookViewId="0">
      <selection activeCell="A6" sqref="A6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1" customWidth="1"/>
  </cols>
  <sheetData>
    <row r="1" spans="1:9" ht="40.5" x14ac:dyDescent="0.55000000000000004">
      <c r="A1" s="1390" t="s">
        <v>498</v>
      </c>
      <c r="B1" s="1390"/>
      <c r="C1" s="1390"/>
      <c r="D1" s="1390"/>
      <c r="E1" s="1390"/>
      <c r="F1" s="1390"/>
      <c r="G1" s="1390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29"/>
      <c r="D4" s="134"/>
      <c r="E4" s="78"/>
      <c r="F4" s="62"/>
      <c r="G4" s="155"/>
      <c r="H4" s="155"/>
    </row>
    <row r="5" spans="1:9" x14ac:dyDescent="0.25">
      <c r="A5" s="225"/>
      <c r="B5" s="1392"/>
      <c r="C5" s="391"/>
      <c r="D5" s="134"/>
      <c r="E5" s="208"/>
      <c r="F5" s="62"/>
      <c r="G5" s="5"/>
    </row>
    <row r="6" spans="1:9" ht="20.25" x14ac:dyDescent="0.3">
      <c r="A6" s="1142" t="s">
        <v>52</v>
      </c>
      <c r="B6" s="1392"/>
      <c r="C6" s="229">
        <v>72</v>
      </c>
      <c r="D6" s="134">
        <v>44925</v>
      </c>
      <c r="E6" s="78">
        <v>713.92</v>
      </c>
      <c r="F6" s="62">
        <v>27</v>
      </c>
      <c r="G6" s="47">
        <f>F78</f>
        <v>0</v>
      </c>
      <c r="H6" s="7">
        <f>E6-G6+E7+E5-G5</f>
        <v>713.92</v>
      </c>
    </row>
    <row r="7" spans="1:9" ht="15.75" thickBot="1" x14ac:dyDescent="0.3">
      <c r="B7" s="19"/>
      <c r="C7" s="483"/>
      <c r="D7" s="134"/>
      <c r="E7" s="69"/>
      <c r="F7" s="73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6.5" thickTop="1" x14ac:dyDescent="0.25">
      <c r="A9" s="80" t="s">
        <v>32</v>
      </c>
      <c r="B9" s="83">
        <f>F6-C9+F5+F7+F4</f>
        <v>27</v>
      </c>
      <c r="C9" s="15"/>
      <c r="D9" s="69"/>
      <c r="E9" s="202"/>
      <c r="F9" s="69">
        <f t="shared" ref="F9:F10" si="0">D9</f>
        <v>0</v>
      </c>
      <c r="G9" s="70"/>
      <c r="H9" s="71"/>
      <c r="I9" s="339">
        <f>E6-F9+E5+E7+E4</f>
        <v>713.92</v>
      </c>
    </row>
    <row r="10" spans="1:9" x14ac:dyDescent="0.25">
      <c r="A10" s="194"/>
      <c r="B10" s="83">
        <f>B9-C10</f>
        <v>27</v>
      </c>
      <c r="C10" s="15"/>
      <c r="D10" s="69"/>
      <c r="E10" s="202"/>
      <c r="F10" s="69">
        <f t="shared" si="0"/>
        <v>0</v>
      </c>
      <c r="G10" s="70"/>
      <c r="H10" s="71"/>
      <c r="I10" s="105">
        <f>I9-F10</f>
        <v>713.92</v>
      </c>
    </row>
    <row r="11" spans="1:9" x14ac:dyDescent="0.25">
      <c r="A11" s="182"/>
      <c r="B11" s="83">
        <f t="shared" ref="B11:B54" si="1">B10-C11</f>
        <v>27</v>
      </c>
      <c r="C11" s="15"/>
      <c r="D11" s="69"/>
      <c r="E11" s="202"/>
      <c r="F11" s="69">
        <f>D11</f>
        <v>0</v>
      </c>
      <c r="G11" s="70"/>
      <c r="H11" s="71"/>
      <c r="I11" s="105">
        <f t="shared" ref="I11:I74" si="2">I10-F11</f>
        <v>713.92</v>
      </c>
    </row>
    <row r="12" spans="1:9" x14ac:dyDescent="0.25">
      <c r="A12" s="182"/>
      <c r="B12" s="83">
        <f t="shared" si="1"/>
        <v>27</v>
      </c>
      <c r="C12" s="15"/>
      <c r="D12" s="69"/>
      <c r="E12" s="202"/>
      <c r="F12" s="69">
        <f>D12</f>
        <v>0</v>
      </c>
      <c r="G12" s="70"/>
      <c r="H12" s="71"/>
      <c r="I12" s="105">
        <f t="shared" si="2"/>
        <v>713.92</v>
      </c>
    </row>
    <row r="13" spans="1:9" x14ac:dyDescent="0.25">
      <c r="A13" s="82" t="s">
        <v>33</v>
      </c>
      <c r="B13" s="83">
        <f t="shared" si="1"/>
        <v>27</v>
      </c>
      <c r="C13" s="15"/>
      <c r="D13" s="69"/>
      <c r="E13" s="202"/>
      <c r="F13" s="69">
        <f t="shared" ref="F13:F73" si="3">D13</f>
        <v>0</v>
      </c>
      <c r="G13" s="70"/>
      <c r="H13" s="71"/>
      <c r="I13" s="105">
        <f t="shared" si="2"/>
        <v>713.92</v>
      </c>
    </row>
    <row r="14" spans="1:9" x14ac:dyDescent="0.25">
      <c r="A14" s="73"/>
      <c r="B14" s="83">
        <f t="shared" si="1"/>
        <v>27</v>
      </c>
      <c r="C14" s="15"/>
      <c r="D14" s="69"/>
      <c r="E14" s="202"/>
      <c r="F14" s="69">
        <f t="shared" si="3"/>
        <v>0</v>
      </c>
      <c r="G14" s="70"/>
      <c r="H14" s="71"/>
      <c r="I14" s="105">
        <f t="shared" si="2"/>
        <v>713.92</v>
      </c>
    </row>
    <row r="15" spans="1:9" x14ac:dyDescent="0.25">
      <c r="A15" s="73"/>
      <c r="B15" s="83">
        <f t="shared" si="1"/>
        <v>27</v>
      </c>
      <c r="C15" s="15"/>
      <c r="D15" s="69"/>
      <c r="E15" s="202"/>
      <c r="F15" s="69">
        <f t="shared" si="3"/>
        <v>0</v>
      </c>
      <c r="G15" s="70"/>
      <c r="H15" s="71"/>
      <c r="I15" s="105">
        <f t="shared" si="2"/>
        <v>713.92</v>
      </c>
    </row>
    <row r="16" spans="1:9" x14ac:dyDescent="0.25">
      <c r="B16" s="83">
        <f t="shared" si="1"/>
        <v>27</v>
      </c>
      <c r="C16" s="15"/>
      <c r="D16" s="69"/>
      <c r="E16" s="202"/>
      <c r="F16" s="69">
        <f t="shared" si="3"/>
        <v>0</v>
      </c>
      <c r="G16" s="70"/>
      <c r="H16" s="71"/>
      <c r="I16" s="105">
        <f t="shared" si="2"/>
        <v>713.92</v>
      </c>
    </row>
    <row r="17" spans="1:9" x14ac:dyDescent="0.25">
      <c r="B17" s="83">
        <f t="shared" si="1"/>
        <v>27</v>
      </c>
      <c r="C17" s="15"/>
      <c r="D17" s="69"/>
      <c r="E17" s="202"/>
      <c r="F17" s="69">
        <f t="shared" si="3"/>
        <v>0</v>
      </c>
      <c r="G17" s="70"/>
      <c r="H17" s="71"/>
      <c r="I17" s="105">
        <f t="shared" si="2"/>
        <v>713.92</v>
      </c>
    </row>
    <row r="18" spans="1:9" x14ac:dyDescent="0.25">
      <c r="A18" s="122"/>
      <c r="B18" s="83">
        <f t="shared" si="1"/>
        <v>27</v>
      </c>
      <c r="C18" s="15"/>
      <c r="D18" s="69"/>
      <c r="E18" s="202"/>
      <c r="F18" s="69">
        <f t="shared" si="3"/>
        <v>0</v>
      </c>
      <c r="G18" s="70"/>
      <c r="H18" s="71"/>
      <c r="I18" s="105">
        <f t="shared" si="2"/>
        <v>713.92</v>
      </c>
    </row>
    <row r="19" spans="1:9" x14ac:dyDescent="0.25">
      <c r="A19" s="122"/>
      <c r="B19" s="83">
        <f t="shared" si="1"/>
        <v>27</v>
      </c>
      <c r="C19" s="15"/>
      <c r="D19" s="69"/>
      <c r="E19" s="202"/>
      <c r="F19" s="69">
        <f t="shared" si="3"/>
        <v>0</v>
      </c>
      <c r="G19" s="70"/>
      <c r="H19" s="71"/>
      <c r="I19" s="105">
        <f t="shared" si="2"/>
        <v>713.92</v>
      </c>
    </row>
    <row r="20" spans="1:9" x14ac:dyDescent="0.25">
      <c r="A20" s="122"/>
      <c r="B20" s="83">
        <f t="shared" si="1"/>
        <v>27</v>
      </c>
      <c r="C20" s="15"/>
      <c r="D20" s="69"/>
      <c r="E20" s="202"/>
      <c r="F20" s="69">
        <f t="shared" si="3"/>
        <v>0</v>
      </c>
      <c r="G20" s="70"/>
      <c r="H20" s="71"/>
      <c r="I20" s="105">
        <f t="shared" si="2"/>
        <v>713.92</v>
      </c>
    </row>
    <row r="21" spans="1:9" x14ac:dyDescent="0.25">
      <c r="A21" s="122"/>
      <c r="B21" s="83">
        <f t="shared" si="1"/>
        <v>27</v>
      </c>
      <c r="C21" s="15"/>
      <c r="D21" s="69"/>
      <c r="E21" s="202"/>
      <c r="F21" s="69">
        <f t="shared" si="3"/>
        <v>0</v>
      </c>
      <c r="G21" s="70"/>
      <c r="H21" s="71"/>
      <c r="I21" s="105">
        <f t="shared" si="2"/>
        <v>713.92</v>
      </c>
    </row>
    <row r="22" spans="1:9" x14ac:dyDescent="0.25">
      <c r="A22" s="122"/>
      <c r="B22" s="232">
        <f t="shared" si="1"/>
        <v>27</v>
      </c>
      <c r="C22" s="15"/>
      <c r="D22" s="69"/>
      <c r="E22" s="202"/>
      <c r="F22" s="69">
        <f t="shared" si="3"/>
        <v>0</v>
      </c>
      <c r="G22" s="70"/>
      <c r="H22" s="71"/>
      <c r="I22" s="105">
        <f t="shared" si="2"/>
        <v>713.92</v>
      </c>
    </row>
    <row r="23" spans="1:9" x14ac:dyDescent="0.25">
      <c r="A23" s="123"/>
      <c r="B23" s="232">
        <f t="shared" si="1"/>
        <v>27</v>
      </c>
      <c r="C23" s="15"/>
      <c r="D23" s="69"/>
      <c r="E23" s="202"/>
      <c r="F23" s="69">
        <f t="shared" si="3"/>
        <v>0</v>
      </c>
      <c r="G23" s="70"/>
      <c r="H23" s="71"/>
      <c r="I23" s="105">
        <f t="shared" si="2"/>
        <v>713.92</v>
      </c>
    </row>
    <row r="24" spans="1:9" x14ac:dyDescent="0.25">
      <c r="A24" s="122"/>
      <c r="B24" s="232">
        <f t="shared" si="1"/>
        <v>27</v>
      </c>
      <c r="C24" s="15"/>
      <c r="D24" s="69"/>
      <c r="E24" s="202"/>
      <c r="F24" s="69">
        <f t="shared" si="3"/>
        <v>0</v>
      </c>
      <c r="G24" s="70"/>
      <c r="H24" s="71"/>
      <c r="I24" s="105">
        <f t="shared" si="2"/>
        <v>713.92</v>
      </c>
    </row>
    <row r="25" spans="1:9" x14ac:dyDescent="0.25">
      <c r="A25" s="122"/>
      <c r="B25" s="232">
        <f t="shared" si="1"/>
        <v>27</v>
      </c>
      <c r="C25" s="15"/>
      <c r="D25" s="69"/>
      <c r="E25" s="202"/>
      <c r="F25" s="69">
        <f t="shared" si="3"/>
        <v>0</v>
      </c>
      <c r="G25" s="70"/>
      <c r="H25" s="71"/>
      <c r="I25" s="105">
        <f t="shared" si="2"/>
        <v>713.92</v>
      </c>
    </row>
    <row r="26" spans="1:9" x14ac:dyDescent="0.25">
      <c r="A26" s="122"/>
      <c r="B26" s="182">
        <f t="shared" si="1"/>
        <v>27</v>
      </c>
      <c r="C26" s="15"/>
      <c r="D26" s="69"/>
      <c r="E26" s="202"/>
      <c r="F26" s="69">
        <f t="shared" si="3"/>
        <v>0</v>
      </c>
      <c r="G26" s="70"/>
      <c r="H26" s="71"/>
      <c r="I26" s="105">
        <f t="shared" si="2"/>
        <v>713.92</v>
      </c>
    </row>
    <row r="27" spans="1:9" x14ac:dyDescent="0.25">
      <c r="A27" s="122"/>
      <c r="B27" s="232">
        <f t="shared" si="1"/>
        <v>27</v>
      </c>
      <c r="C27" s="15"/>
      <c r="D27" s="69"/>
      <c r="E27" s="202"/>
      <c r="F27" s="69">
        <f t="shared" si="3"/>
        <v>0</v>
      </c>
      <c r="G27" s="70"/>
      <c r="H27" s="71"/>
      <c r="I27" s="105">
        <f t="shared" si="2"/>
        <v>713.92</v>
      </c>
    </row>
    <row r="28" spans="1:9" x14ac:dyDescent="0.25">
      <c r="A28" s="122"/>
      <c r="B28" s="182">
        <f t="shared" si="1"/>
        <v>27</v>
      </c>
      <c r="C28" s="15"/>
      <c r="D28" s="69"/>
      <c r="E28" s="202"/>
      <c r="F28" s="69">
        <f t="shared" si="3"/>
        <v>0</v>
      </c>
      <c r="G28" s="70"/>
      <c r="H28" s="71"/>
      <c r="I28" s="105">
        <f t="shared" si="2"/>
        <v>713.92</v>
      </c>
    </row>
    <row r="29" spans="1:9" x14ac:dyDescent="0.25">
      <c r="A29" s="122"/>
      <c r="B29" s="232">
        <f t="shared" si="1"/>
        <v>27</v>
      </c>
      <c r="C29" s="15"/>
      <c r="D29" s="69"/>
      <c r="E29" s="202"/>
      <c r="F29" s="69">
        <f t="shared" si="3"/>
        <v>0</v>
      </c>
      <c r="G29" s="70"/>
      <c r="H29" s="71"/>
      <c r="I29" s="105">
        <f t="shared" si="2"/>
        <v>713.92</v>
      </c>
    </row>
    <row r="30" spans="1:9" x14ac:dyDescent="0.25">
      <c r="A30" s="122"/>
      <c r="B30" s="232">
        <f t="shared" si="1"/>
        <v>27</v>
      </c>
      <c r="C30" s="15"/>
      <c r="D30" s="69"/>
      <c r="E30" s="202"/>
      <c r="F30" s="69">
        <f t="shared" si="3"/>
        <v>0</v>
      </c>
      <c r="G30" s="70"/>
      <c r="H30" s="71"/>
      <c r="I30" s="105">
        <f t="shared" si="2"/>
        <v>713.92</v>
      </c>
    </row>
    <row r="31" spans="1:9" x14ac:dyDescent="0.25">
      <c r="A31" s="122"/>
      <c r="B31" s="232">
        <f t="shared" si="1"/>
        <v>27</v>
      </c>
      <c r="C31" s="15"/>
      <c r="D31" s="69"/>
      <c r="E31" s="202"/>
      <c r="F31" s="69">
        <f t="shared" si="3"/>
        <v>0</v>
      </c>
      <c r="G31" s="70"/>
      <c r="H31" s="71"/>
      <c r="I31" s="105">
        <f t="shared" si="2"/>
        <v>713.92</v>
      </c>
    </row>
    <row r="32" spans="1:9" x14ac:dyDescent="0.25">
      <c r="A32" s="122"/>
      <c r="B32" s="232">
        <f t="shared" si="1"/>
        <v>27</v>
      </c>
      <c r="C32" s="15"/>
      <c r="D32" s="69"/>
      <c r="E32" s="202"/>
      <c r="F32" s="69">
        <f t="shared" si="3"/>
        <v>0</v>
      </c>
      <c r="G32" s="70"/>
      <c r="H32" s="71"/>
      <c r="I32" s="105">
        <f t="shared" si="2"/>
        <v>713.92</v>
      </c>
    </row>
    <row r="33" spans="1:9" x14ac:dyDescent="0.25">
      <c r="A33" s="122"/>
      <c r="B33" s="232">
        <f t="shared" si="1"/>
        <v>27</v>
      </c>
      <c r="C33" s="15"/>
      <c r="D33" s="69"/>
      <c r="E33" s="202"/>
      <c r="F33" s="69">
        <f t="shared" si="3"/>
        <v>0</v>
      </c>
      <c r="G33" s="70"/>
      <c r="H33" s="71"/>
      <c r="I33" s="105">
        <f t="shared" si="2"/>
        <v>713.92</v>
      </c>
    </row>
    <row r="34" spans="1:9" x14ac:dyDescent="0.25">
      <c r="A34" s="122"/>
      <c r="B34" s="232">
        <f t="shared" si="1"/>
        <v>27</v>
      </c>
      <c r="C34" s="15"/>
      <c r="D34" s="69"/>
      <c r="E34" s="202"/>
      <c r="F34" s="69">
        <f t="shared" si="3"/>
        <v>0</v>
      </c>
      <c r="G34" s="70"/>
      <c r="H34" s="71"/>
      <c r="I34" s="105">
        <f t="shared" si="2"/>
        <v>713.92</v>
      </c>
    </row>
    <row r="35" spans="1:9" x14ac:dyDescent="0.25">
      <c r="A35" s="122"/>
      <c r="B35" s="232">
        <f t="shared" si="1"/>
        <v>27</v>
      </c>
      <c r="C35" s="15"/>
      <c r="D35" s="69"/>
      <c r="E35" s="202"/>
      <c r="F35" s="69">
        <f t="shared" si="3"/>
        <v>0</v>
      </c>
      <c r="G35" s="70"/>
      <c r="H35" s="71"/>
      <c r="I35" s="105">
        <f t="shared" si="2"/>
        <v>713.92</v>
      </c>
    </row>
    <row r="36" spans="1:9" x14ac:dyDescent="0.25">
      <c r="A36" s="122" t="s">
        <v>22</v>
      </c>
      <c r="B36" s="232">
        <f t="shared" si="1"/>
        <v>27</v>
      </c>
      <c r="C36" s="15"/>
      <c r="D36" s="69"/>
      <c r="E36" s="202"/>
      <c r="F36" s="69">
        <f t="shared" si="3"/>
        <v>0</v>
      </c>
      <c r="G36" s="70"/>
      <c r="H36" s="71"/>
      <c r="I36" s="105">
        <f t="shared" si="2"/>
        <v>713.92</v>
      </c>
    </row>
    <row r="37" spans="1:9" x14ac:dyDescent="0.25">
      <c r="A37" s="123"/>
      <c r="B37" s="232">
        <f t="shared" si="1"/>
        <v>27</v>
      </c>
      <c r="C37" s="15"/>
      <c r="D37" s="69"/>
      <c r="E37" s="202"/>
      <c r="F37" s="69">
        <f t="shared" si="3"/>
        <v>0</v>
      </c>
      <c r="G37" s="70"/>
      <c r="H37" s="71"/>
      <c r="I37" s="105">
        <f t="shared" si="2"/>
        <v>713.92</v>
      </c>
    </row>
    <row r="38" spans="1:9" x14ac:dyDescent="0.25">
      <c r="A38" s="122"/>
      <c r="B38" s="232">
        <f t="shared" si="1"/>
        <v>27</v>
      </c>
      <c r="C38" s="15"/>
      <c r="D38" s="69"/>
      <c r="E38" s="202"/>
      <c r="F38" s="69">
        <f t="shared" si="3"/>
        <v>0</v>
      </c>
      <c r="G38" s="70"/>
      <c r="H38" s="71"/>
      <c r="I38" s="105">
        <f t="shared" si="2"/>
        <v>713.92</v>
      </c>
    </row>
    <row r="39" spans="1:9" x14ac:dyDescent="0.25">
      <c r="A39" s="122"/>
      <c r="B39" s="83">
        <f t="shared" si="1"/>
        <v>27</v>
      </c>
      <c r="C39" s="15"/>
      <c r="D39" s="69"/>
      <c r="E39" s="202"/>
      <c r="F39" s="69">
        <f t="shared" si="3"/>
        <v>0</v>
      </c>
      <c r="G39" s="70"/>
      <c r="H39" s="71"/>
      <c r="I39" s="105">
        <f t="shared" si="2"/>
        <v>713.92</v>
      </c>
    </row>
    <row r="40" spans="1:9" x14ac:dyDescent="0.25">
      <c r="A40" s="122"/>
      <c r="B40" s="83">
        <f t="shared" si="1"/>
        <v>27</v>
      </c>
      <c r="C40" s="15"/>
      <c r="D40" s="69"/>
      <c r="E40" s="202"/>
      <c r="F40" s="69">
        <f t="shared" si="3"/>
        <v>0</v>
      </c>
      <c r="G40" s="70"/>
      <c r="H40" s="71"/>
      <c r="I40" s="105">
        <f t="shared" si="2"/>
        <v>713.92</v>
      </c>
    </row>
    <row r="41" spans="1:9" x14ac:dyDescent="0.25">
      <c r="A41" s="122"/>
      <c r="B41" s="83">
        <f t="shared" si="1"/>
        <v>27</v>
      </c>
      <c r="C41" s="15"/>
      <c r="D41" s="69"/>
      <c r="E41" s="202"/>
      <c r="F41" s="69">
        <f t="shared" si="3"/>
        <v>0</v>
      </c>
      <c r="G41" s="70"/>
      <c r="H41" s="71"/>
      <c r="I41" s="105">
        <f t="shared" si="2"/>
        <v>713.92</v>
      </c>
    </row>
    <row r="42" spans="1:9" x14ac:dyDescent="0.25">
      <c r="A42" s="122"/>
      <c r="B42" s="83">
        <f t="shared" si="1"/>
        <v>27</v>
      </c>
      <c r="C42" s="15"/>
      <c r="D42" s="69"/>
      <c r="E42" s="202"/>
      <c r="F42" s="69">
        <f t="shared" si="3"/>
        <v>0</v>
      </c>
      <c r="G42" s="70"/>
      <c r="H42" s="71"/>
      <c r="I42" s="105">
        <f t="shared" si="2"/>
        <v>713.92</v>
      </c>
    </row>
    <row r="43" spans="1:9" x14ac:dyDescent="0.25">
      <c r="A43" s="122"/>
      <c r="B43" s="83">
        <f t="shared" si="1"/>
        <v>27</v>
      </c>
      <c r="C43" s="15"/>
      <c r="D43" s="69"/>
      <c r="E43" s="202"/>
      <c r="F43" s="69">
        <f t="shared" si="3"/>
        <v>0</v>
      </c>
      <c r="G43" s="70"/>
      <c r="H43" s="71"/>
      <c r="I43" s="105">
        <f t="shared" si="2"/>
        <v>713.92</v>
      </c>
    </row>
    <row r="44" spans="1:9" x14ac:dyDescent="0.25">
      <c r="A44" s="122"/>
      <c r="B44" s="83">
        <f t="shared" si="1"/>
        <v>27</v>
      </c>
      <c r="C44" s="15"/>
      <c r="D44" s="69"/>
      <c r="E44" s="202"/>
      <c r="F44" s="69">
        <f t="shared" si="3"/>
        <v>0</v>
      </c>
      <c r="G44" s="70"/>
      <c r="H44" s="71"/>
      <c r="I44" s="105">
        <f t="shared" si="2"/>
        <v>713.92</v>
      </c>
    </row>
    <row r="45" spans="1:9" x14ac:dyDescent="0.25">
      <c r="A45" s="122"/>
      <c r="B45" s="83">
        <f t="shared" si="1"/>
        <v>27</v>
      </c>
      <c r="C45" s="15"/>
      <c r="D45" s="69"/>
      <c r="E45" s="202"/>
      <c r="F45" s="69">
        <f t="shared" si="3"/>
        <v>0</v>
      </c>
      <c r="G45" s="70"/>
      <c r="H45" s="71"/>
      <c r="I45" s="105">
        <f t="shared" si="2"/>
        <v>713.92</v>
      </c>
    </row>
    <row r="46" spans="1:9" x14ac:dyDescent="0.25">
      <c r="A46" s="122"/>
      <c r="B46" s="83">
        <f t="shared" si="1"/>
        <v>27</v>
      </c>
      <c r="C46" s="15"/>
      <c r="D46" s="69"/>
      <c r="E46" s="202"/>
      <c r="F46" s="69">
        <f t="shared" si="3"/>
        <v>0</v>
      </c>
      <c r="G46" s="70"/>
      <c r="H46" s="71"/>
      <c r="I46" s="105">
        <f t="shared" si="2"/>
        <v>713.92</v>
      </c>
    </row>
    <row r="47" spans="1:9" x14ac:dyDescent="0.25">
      <c r="A47" s="122"/>
      <c r="B47" s="83">
        <f t="shared" si="1"/>
        <v>27</v>
      </c>
      <c r="C47" s="15"/>
      <c r="D47" s="69"/>
      <c r="E47" s="202"/>
      <c r="F47" s="69">
        <f t="shared" si="3"/>
        <v>0</v>
      </c>
      <c r="G47" s="70"/>
      <c r="H47" s="71"/>
      <c r="I47" s="105">
        <f t="shared" si="2"/>
        <v>713.92</v>
      </c>
    </row>
    <row r="48" spans="1:9" x14ac:dyDescent="0.25">
      <c r="A48" s="122"/>
      <c r="B48" s="83">
        <f t="shared" si="1"/>
        <v>27</v>
      </c>
      <c r="C48" s="15"/>
      <c r="D48" s="69"/>
      <c r="E48" s="202"/>
      <c r="F48" s="69">
        <f t="shared" si="3"/>
        <v>0</v>
      </c>
      <c r="G48" s="70"/>
      <c r="H48" s="71"/>
      <c r="I48" s="105">
        <f t="shared" si="2"/>
        <v>713.92</v>
      </c>
    </row>
    <row r="49" spans="1:9" x14ac:dyDescent="0.25">
      <c r="A49" s="122"/>
      <c r="B49" s="83">
        <f t="shared" si="1"/>
        <v>27</v>
      </c>
      <c r="C49" s="15"/>
      <c r="D49" s="69"/>
      <c r="E49" s="202"/>
      <c r="F49" s="69">
        <f t="shared" si="3"/>
        <v>0</v>
      </c>
      <c r="G49" s="70"/>
      <c r="H49" s="71"/>
      <c r="I49" s="105">
        <f t="shared" si="2"/>
        <v>713.92</v>
      </c>
    </row>
    <row r="50" spans="1:9" x14ac:dyDescent="0.25">
      <c r="A50" s="122"/>
      <c r="B50" s="83">
        <f t="shared" si="1"/>
        <v>27</v>
      </c>
      <c r="C50" s="15"/>
      <c r="D50" s="69"/>
      <c r="E50" s="202"/>
      <c r="F50" s="69">
        <f t="shared" si="3"/>
        <v>0</v>
      </c>
      <c r="G50" s="70"/>
      <c r="H50" s="71"/>
      <c r="I50" s="105">
        <f t="shared" si="2"/>
        <v>713.92</v>
      </c>
    </row>
    <row r="51" spans="1:9" x14ac:dyDescent="0.25">
      <c r="A51" s="122"/>
      <c r="B51" s="83">
        <f t="shared" si="1"/>
        <v>27</v>
      </c>
      <c r="C51" s="15"/>
      <c r="D51" s="69"/>
      <c r="E51" s="202"/>
      <c r="F51" s="69">
        <f t="shared" si="3"/>
        <v>0</v>
      </c>
      <c r="G51" s="70"/>
      <c r="H51" s="71"/>
      <c r="I51" s="105">
        <f t="shared" si="2"/>
        <v>713.92</v>
      </c>
    </row>
    <row r="52" spans="1:9" x14ac:dyDescent="0.25">
      <c r="A52" s="122"/>
      <c r="B52" s="83">
        <f t="shared" si="1"/>
        <v>27</v>
      </c>
      <c r="C52" s="15"/>
      <c r="D52" s="69"/>
      <c r="E52" s="202"/>
      <c r="F52" s="69">
        <f t="shared" si="3"/>
        <v>0</v>
      </c>
      <c r="G52" s="70"/>
      <c r="H52" s="71"/>
      <c r="I52" s="105">
        <f t="shared" si="2"/>
        <v>713.92</v>
      </c>
    </row>
    <row r="53" spans="1:9" x14ac:dyDescent="0.25">
      <c r="A53" s="122"/>
      <c r="B53" s="83">
        <f t="shared" si="1"/>
        <v>27</v>
      </c>
      <c r="C53" s="15"/>
      <c r="D53" s="69"/>
      <c r="E53" s="202"/>
      <c r="F53" s="69">
        <f t="shared" si="3"/>
        <v>0</v>
      </c>
      <c r="G53" s="70"/>
      <c r="H53" s="71"/>
      <c r="I53" s="105">
        <f t="shared" si="2"/>
        <v>713.92</v>
      </c>
    </row>
    <row r="54" spans="1:9" x14ac:dyDescent="0.25">
      <c r="A54" s="122"/>
      <c r="B54" s="83">
        <f t="shared" si="1"/>
        <v>27</v>
      </c>
      <c r="C54" s="15"/>
      <c r="D54" s="69"/>
      <c r="E54" s="202"/>
      <c r="F54" s="69">
        <f t="shared" si="3"/>
        <v>0</v>
      </c>
      <c r="G54" s="70"/>
      <c r="H54" s="71"/>
      <c r="I54" s="105">
        <f t="shared" si="2"/>
        <v>713.92</v>
      </c>
    </row>
    <row r="55" spans="1:9" x14ac:dyDescent="0.25">
      <c r="A55" s="122"/>
      <c r="B55" s="12">
        <f>B54-C55</f>
        <v>27</v>
      </c>
      <c r="C55" s="15"/>
      <c r="D55" s="69"/>
      <c r="E55" s="202"/>
      <c r="F55" s="69">
        <f t="shared" si="3"/>
        <v>0</v>
      </c>
      <c r="G55" s="70"/>
      <c r="H55" s="71"/>
      <c r="I55" s="105">
        <f t="shared" si="2"/>
        <v>713.92</v>
      </c>
    </row>
    <row r="56" spans="1:9" x14ac:dyDescent="0.25">
      <c r="A56" s="122"/>
      <c r="B56" s="12">
        <f t="shared" ref="B56:B75" si="4">B55-C56</f>
        <v>27</v>
      </c>
      <c r="C56" s="15"/>
      <c r="D56" s="69"/>
      <c r="E56" s="202"/>
      <c r="F56" s="69">
        <f t="shared" si="3"/>
        <v>0</v>
      </c>
      <c r="G56" s="70"/>
      <c r="H56" s="71"/>
      <c r="I56" s="105">
        <f t="shared" si="2"/>
        <v>713.92</v>
      </c>
    </row>
    <row r="57" spans="1:9" x14ac:dyDescent="0.25">
      <c r="A57" s="122"/>
      <c r="B57" s="12">
        <f t="shared" si="4"/>
        <v>27</v>
      </c>
      <c r="C57" s="15"/>
      <c r="D57" s="69"/>
      <c r="E57" s="202"/>
      <c r="F57" s="69">
        <f t="shared" si="3"/>
        <v>0</v>
      </c>
      <c r="G57" s="70"/>
      <c r="H57" s="71"/>
      <c r="I57" s="105">
        <f t="shared" si="2"/>
        <v>713.92</v>
      </c>
    </row>
    <row r="58" spans="1:9" x14ac:dyDescent="0.25">
      <c r="A58" s="122"/>
      <c r="B58" s="12">
        <f t="shared" si="4"/>
        <v>27</v>
      </c>
      <c r="C58" s="15"/>
      <c r="D58" s="69"/>
      <c r="E58" s="202"/>
      <c r="F58" s="69">
        <f t="shared" si="3"/>
        <v>0</v>
      </c>
      <c r="G58" s="70"/>
      <c r="H58" s="71"/>
      <c r="I58" s="105">
        <f t="shared" si="2"/>
        <v>713.92</v>
      </c>
    </row>
    <row r="59" spans="1:9" x14ac:dyDescent="0.25">
      <c r="A59" s="122"/>
      <c r="B59" s="12">
        <f t="shared" si="4"/>
        <v>27</v>
      </c>
      <c r="C59" s="15"/>
      <c r="D59" s="69"/>
      <c r="E59" s="202"/>
      <c r="F59" s="69">
        <f t="shared" si="3"/>
        <v>0</v>
      </c>
      <c r="G59" s="70"/>
      <c r="H59" s="71"/>
      <c r="I59" s="105">
        <f t="shared" si="2"/>
        <v>713.92</v>
      </c>
    </row>
    <row r="60" spans="1:9" x14ac:dyDescent="0.25">
      <c r="A60" s="122"/>
      <c r="B60" s="12">
        <f t="shared" si="4"/>
        <v>27</v>
      </c>
      <c r="C60" s="15"/>
      <c r="D60" s="69"/>
      <c r="E60" s="202"/>
      <c r="F60" s="69">
        <f t="shared" si="3"/>
        <v>0</v>
      </c>
      <c r="G60" s="70"/>
      <c r="H60" s="71"/>
      <c r="I60" s="105">
        <f t="shared" si="2"/>
        <v>713.92</v>
      </c>
    </row>
    <row r="61" spans="1:9" x14ac:dyDescent="0.25">
      <c r="A61" s="122"/>
      <c r="B61" s="12">
        <f t="shared" si="4"/>
        <v>27</v>
      </c>
      <c r="C61" s="15"/>
      <c r="D61" s="69"/>
      <c r="E61" s="202"/>
      <c r="F61" s="69">
        <f t="shared" si="3"/>
        <v>0</v>
      </c>
      <c r="G61" s="70"/>
      <c r="H61" s="71"/>
      <c r="I61" s="105">
        <f t="shared" si="2"/>
        <v>713.92</v>
      </c>
    </row>
    <row r="62" spans="1:9" x14ac:dyDescent="0.25">
      <c r="A62" s="122"/>
      <c r="B62" s="12">
        <f t="shared" si="4"/>
        <v>27</v>
      </c>
      <c r="C62" s="15"/>
      <c r="D62" s="69"/>
      <c r="E62" s="202"/>
      <c r="F62" s="69">
        <f t="shared" si="3"/>
        <v>0</v>
      </c>
      <c r="G62" s="70"/>
      <c r="H62" s="71"/>
      <c r="I62" s="105">
        <f t="shared" si="2"/>
        <v>713.92</v>
      </c>
    </row>
    <row r="63" spans="1:9" x14ac:dyDescent="0.25">
      <c r="A63" s="122"/>
      <c r="B63" s="12">
        <f t="shared" si="4"/>
        <v>27</v>
      </c>
      <c r="C63" s="15"/>
      <c r="D63" s="69"/>
      <c r="E63" s="202"/>
      <c r="F63" s="69">
        <f t="shared" si="3"/>
        <v>0</v>
      </c>
      <c r="G63" s="70"/>
      <c r="H63" s="71"/>
      <c r="I63" s="105">
        <f t="shared" si="2"/>
        <v>713.92</v>
      </c>
    </row>
    <row r="64" spans="1:9" x14ac:dyDescent="0.25">
      <c r="A64" s="122"/>
      <c r="B64" s="12">
        <f t="shared" si="4"/>
        <v>27</v>
      </c>
      <c r="C64" s="15"/>
      <c r="D64" s="69"/>
      <c r="E64" s="202"/>
      <c r="F64" s="69">
        <f t="shared" si="3"/>
        <v>0</v>
      </c>
      <c r="G64" s="70"/>
      <c r="H64" s="71"/>
      <c r="I64" s="105">
        <f t="shared" si="2"/>
        <v>713.92</v>
      </c>
    </row>
    <row r="65" spans="1:9" x14ac:dyDescent="0.25">
      <c r="A65" s="122"/>
      <c r="B65" s="12">
        <f t="shared" si="4"/>
        <v>27</v>
      </c>
      <c r="C65" s="15"/>
      <c r="D65" s="69"/>
      <c r="E65" s="202"/>
      <c r="F65" s="69">
        <f t="shared" si="3"/>
        <v>0</v>
      </c>
      <c r="G65" s="70"/>
      <c r="H65" s="71"/>
      <c r="I65" s="105">
        <f t="shared" si="2"/>
        <v>713.92</v>
      </c>
    </row>
    <row r="66" spans="1:9" x14ac:dyDescent="0.25">
      <c r="A66" s="122"/>
      <c r="B66" s="12">
        <f t="shared" si="4"/>
        <v>27</v>
      </c>
      <c r="C66" s="15"/>
      <c r="D66" s="69"/>
      <c r="E66" s="202"/>
      <c r="F66" s="69">
        <f t="shared" si="3"/>
        <v>0</v>
      </c>
      <c r="G66" s="70"/>
      <c r="H66" s="71"/>
      <c r="I66" s="105">
        <f t="shared" si="2"/>
        <v>713.92</v>
      </c>
    </row>
    <row r="67" spans="1:9" x14ac:dyDescent="0.25">
      <c r="A67" s="122"/>
      <c r="B67" s="12">
        <f t="shared" si="4"/>
        <v>27</v>
      </c>
      <c r="C67" s="15"/>
      <c r="D67" s="69"/>
      <c r="E67" s="202"/>
      <c r="F67" s="69">
        <f t="shared" si="3"/>
        <v>0</v>
      </c>
      <c r="G67" s="70"/>
      <c r="H67" s="71"/>
      <c r="I67" s="105">
        <f t="shared" si="2"/>
        <v>713.92</v>
      </c>
    </row>
    <row r="68" spans="1:9" x14ac:dyDescent="0.25">
      <c r="A68" s="122"/>
      <c r="B68" s="12">
        <f t="shared" si="4"/>
        <v>27</v>
      </c>
      <c r="C68" s="15"/>
      <c r="D68" s="59"/>
      <c r="E68" s="209"/>
      <c r="F68" s="69">
        <f t="shared" si="3"/>
        <v>0</v>
      </c>
      <c r="G68" s="70"/>
      <c r="H68" s="71"/>
      <c r="I68" s="105">
        <f t="shared" si="2"/>
        <v>713.92</v>
      </c>
    </row>
    <row r="69" spans="1:9" x14ac:dyDescent="0.25">
      <c r="A69" s="122"/>
      <c r="B69" s="12">
        <f t="shared" si="4"/>
        <v>27</v>
      </c>
      <c r="C69" s="15"/>
      <c r="D69" s="59"/>
      <c r="E69" s="209"/>
      <c r="F69" s="69">
        <f t="shared" si="3"/>
        <v>0</v>
      </c>
      <c r="G69" s="70"/>
      <c r="H69" s="71"/>
      <c r="I69" s="105">
        <f t="shared" si="2"/>
        <v>713.92</v>
      </c>
    </row>
    <row r="70" spans="1:9" x14ac:dyDescent="0.25">
      <c r="A70" s="122"/>
      <c r="B70" s="12">
        <f t="shared" si="4"/>
        <v>27</v>
      </c>
      <c r="C70" s="15"/>
      <c r="D70" s="59"/>
      <c r="E70" s="209"/>
      <c r="F70" s="69">
        <f t="shared" si="3"/>
        <v>0</v>
      </c>
      <c r="G70" s="70"/>
      <c r="H70" s="71"/>
      <c r="I70" s="105">
        <f t="shared" si="2"/>
        <v>713.92</v>
      </c>
    </row>
    <row r="71" spans="1:9" x14ac:dyDescent="0.25">
      <c r="A71" s="122"/>
      <c r="B71" s="12">
        <f t="shared" si="4"/>
        <v>27</v>
      </c>
      <c r="C71" s="15"/>
      <c r="D71" s="59"/>
      <c r="E71" s="209"/>
      <c r="F71" s="69">
        <f t="shared" si="3"/>
        <v>0</v>
      </c>
      <c r="G71" s="70"/>
      <c r="H71" s="71"/>
      <c r="I71" s="105">
        <f t="shared" si="2"/>
        <v>713.92</v>
      </c>
    </row>
    <row r="72" spans="1:9" x14ac:dyDescent="0.25">
      <c r="A72" s="122"/>
      <c r="B72" s="12">
        <f t="shared" si="4"/>
        <v>27</v>
      </c>
      <c r="C72" s="15"/>
      <c r="D72" s="59"/>
      <c r="E72" s="209"/>
      <c r="F72" s="69">
        <f t="shared" si="3"/>
        <v>0</v>
      </c>
      <c r="G72" s="70"/>
      <c r="H72" s="71"/>
      <c r="I72" s="105">
        <f t="shared" si="2"/>
        <v>713.92</v>
      </c>
    </row>
    <row r="73" spans="1:9" x14ac:dyDescent="0.25">
      <c r="A73" s="122"/>
      <c r="B73" s="12">
        <f t="shared" si="4"/>
        <v>27</v>
      </c>
      <c r="C73" s="15"/>
      <c r="D73" s="59"/>
      <c r="E73" s="209"/>
      <c r="F73" s="69">
        <f t="shared" si="3"/>
        <v>0</v>
      </c>
      <c r="G73" s="70"/>
      <c r="H73" s="71"/>
      <c r="I73" s="105">
        <f t="shared" si="2"/>
        <v>713.92</v>
      </c>
    </row>
    <row r="74" spans="1:9" x14ac:dyDescent="0.25">
      <c r="A74" s="122"/>
      <c r="B74" s="12">
        <f t="shared" si="4"/>
        <v>27</v>
      </c>
      <c r="C74" s="15"/>
      <c r="D74" s="59"/>
      <c r="E74" s="209"/>
      <c r="F74" s="69">
        <f>D74</f>
        <v>0</v>
      </c>
      <c r="G74" s="70"/>
      <c r="H74" s="71"/>
      <c r="I74" s="105">
        <f t="shared" si="2"/>
        <v>713.92</v>
      </c>
    </row>
    <row r="75" spans="1:9" x14ac:dyDescent="0.25">
      <c r="A75" s="122"/>
      <c r="B75" s="12">
        <f t="shared" si="4"/>
        <v>27</v>
      </c>
      <c r="C75" s="15"/>
      <c r="D75" s="59"/>
      <c r="E75" s="209"/>
      <c r="F75" s="69">
        <f>D75</f>
        <v>0</v>
      </c>
      <c r="G75" s="70"/>
      <c r="H75" s="71"/>
      <c r="I75" s="105">
        <f t="shared" ref="I75:I76" si="5">I74-F75</f>
        <v>713.92</v>
      </c>
    </row>
    <row r="76" spans="1:9" x14ac:dyDescent="0.25">
      <c r="A76" s="122"/>
      <c r="C76" s="15"/>
      <c r="D76" s="59"/>
      <c r="E76" s="209"/>
      <c r="F76" s="69">
        <f>D76</f>
        <v>0</v>
      </c>
      <c r="G76" s="70"/>
      <c r="H76" s="71"/>
      <c r="I76" s="105">
        <f t="shared" si="5"/>
        <v>713.92</v>
      </c>
    </row>
    <row r="77" spans="1:9" ht="15.75" thickBot="1" x14ac:dyDescent="0.3">
      <c r="A77" s="122"/>
      <c r="B77" s="16"/>
      <c r="C77" s="52"/>
      <c r="D77" s="107"/>
      <c r="E77" s="196"/>
      <c r="F77" s="103"/>
      <c r="G77" s="104"/>
      <c r="H77" s="60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27</v>
      </c>
    </row>
    <row r="82" spans="3:6" ht="15.75" thickBot="1" x14ac:dyDescent="0.3"/>
    <row r="83" spans="3:6" ht="15.75" thickBot="1" x14ac:dyDescent="0.3">
      <c r="C83" s="1388" t="s">
        <v>11</v>
      </c>
      <c r="D83" s="1389"/>
      <c r="E83" s="57">
        <f>E5+E6-F78+E7</f>
        <v>713.92</v>
      </c>
      <c r="F83" s="73"/>
    </row>
  </sheetData>
  <mergeCells count="3">
    <mergeCell ref="A1:G1"/>
    <mergeCell ref="B5:B6"/>
    <mergeCell ref="C83:D8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C53"/>
  <sheetViews>
    <sheetView topLeftCell="R1" zoomScaleNormal="100" workbookViewId="0">
      <pane ySplit="8" topLeftCell="A9" activePane="bottomLeft" state="frozen"/>
      <selection activeCell="K1" sqref="K1"/>
      <selection pane="bottomLeft" activeCell="AA6" sqref="AA6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1"/>
  </cols>
  <sheetData>
    <row r="1" spans="1:29" ht="40.5" x14ac:dyDescent="0.55000000000000004">
      <c r="A1" s="1386" t="s">
        <v>320</v>
      </c>
      <c r="B1" s="1386"/>
      <c r="C1" s="1386"/>
      <c r="D1" s="1386"/>
      <c r="E1" s="1386"/>
      <c r="F1" s="1386"/>
      <c r="G1" s="1386"/>
      <c r="H1" s="11">
        <v>1</v>
      </c>
      <c r="K1" s="1386" t="str">
        <f>A1</f>
        <v>INVENTARIO   DEL MES DE    NOVIEMBRE 2022</v>
      </c>
      <c r="L1" s="1386"/>
      <c r="M1" s="1386"/>
      <c r="N1" s="1386"/>
      <c r="O1" s="1386"/>
      <c r="P1" s="1386"/>
      <c r="Q1" s="1386"/>
      <c r="R1" s="11">
        <v>2</v>
      </c>
      <c r="U1" s="1390" t="s">
        <v>339</v>
      </c>
      <c r="V1" s="1390"/>
      <c r="W1" s="1390"/>
      <c r="X1" s="1390"/>
      <c r="Y1" s="1390"/>
      <c r="Z1" s="1390"/>
      <c r="AA1" s="1390"/>
      <c r="AB1" s="11">
        <v>3</v>
      </c>
    </row>
    <row r="2" spans="1:29" ht="15.75" thickBot="1" x14ac:dyDescent="0.3">
      <c r="C2" s="12"/>
      <c r="D2" s="12"/>
      <c r="F2" s="12"/>
      <c r="M2" s="12"/>
      <c r="N2" s="12"/>
      <c r="P2" s="12"/>
      <c r="W2" s="12"/>
      <c r="X2" s="12"/>
      <c r="Z2" s="12"/>
    </row>
    <row r="3" spans="1:2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</row>
    <row r="4" spans="1:29" ht="15.75" thickTop="1" x14ac:dyDescent="0.25">
      <c r="A4" s="12"/>
      <c r="B4" s="12"/>
      <c r="C4" s="229"/>
      <c r="D4" s="134"/>
      <c r="E4" s="78">
        <v>11.81</v>
      </c>
      <c r="F4" s="62">
        <v>1</v>
      </c>
      <c r="G4" s="155"/>
      <c r="H4" s="155"/>
      <c r="K4" s="12"/>
      <c r="L4" s="12"/>
      <c r="M4" s="229"/>
      <c r="N4" s="134"/>
      <c r="O4" s="78"/>
      <c r="P4" s="62"/>
      <c r="Q4" s="155"/>
      <c r="R4" s="155"/>
      <c r="U4" s="12"/>
      <c r="V4" s="12"/>
      <c r="W4" s="229"/>
      <c r="X4" s="134"/>
      <c r="Y4" s="69">
        <v>107.07</v>
      </c>
      <c r="Z4" s="73">
        <v>9</v>
      </c>
      <c r="AA4" s="155"/>
      <c r="AB4" s="155"/>
    </row>
    <row r="5" spans="1:29" ht="15" customHeight="1" x14ac:dyDescent="0.25">
      <c r="A5" s="225" t="s">
        <v>65</v>
      </c>
      <c r="B5" s="1393" t="s">
        <v>63</v>
      </c>
      <c r="C5" s="391">
        <v>95</v>
      </c>
      <c r="D5" s="134">
        <v>44853</v>
      </c>
      <c r="E5" s="208">
        <v>510.98</v>
      </c>
      <c r="F5" s="62">
        <v>43</v>
      </c>
      <c r="G5" s="5"/>
      <c r="K5" s="225" t="s">
        <v>65</v>
      </c>
      <c r="L5" s="1393" t="s">
        <v>63</v>
      </c>
      <c r="M5" s="391">
        <v>95</v>
      </c>
      <c r="N5" s="134">
        <v>44873</v>
      </c>
      <c r="O5" s="208">
        <v>507.83</v>
      </c>
      <c r="P5" s="62">
        <v>43</v>
      </c>
      <c r="Q5" s="5"/>
      <c r="U5" s="225" t="s">
        <v>65</v>
      </c>
      <c r="V5" s="1393" t="s">
        <v>63</v>
      </c>
      <c r="W5" s="391">
        <v>95</v>
      </c>
      <c r="X5" s="134">
        <v>44911</v>
      </c>
      <c r="Y5" s="208">
        <v>503.78</v>
      </c>
      <c r="Z5" s="62">
        <v>42</v>
      </c>
      <c r="AA5" s="5"/>
    </row>
    <row r="6" spans="1:29" x14ac:dyDescent="0.25">
      <c r="A6" s="404"/>
      <c r="B6" s="1393"/>
      <c r="C6" s="483"/>
      <c r="D6" s="134"/>
      <c r="E6" s="69"/>
      <c r="F6" s="73"/>
      <c r="G6" s="47">
        <f>F48</f>
        <v>522.79</v>
      </c>
      <c r="H6" s="7">
        <f>E6-G6+E7+E5-G5</f>
        <v>-11.809999999999945</v>
      </c>
      <c r="K6" s="404"/>
      <c r="L6" s="1393"/>
      <c r="M6" s="483"/>
      <c r="N6" s="134"/>
      <c r="O6" s="69">
        <v>106.36</v>
      </c>
      <c r="P6" s="73">
        <v>9</v>
      </c>
      <c r="Q6" s="47">
        <f>P48</f>
        <v>614.19000000000005</v>
      </c>
      <c r="R6" s="7">
        <f>O6-Q6+O7+O5-Q5</f>
        <v>-5.6843418860808015E-14</v>
      </c>
      <c r="U6" s="404"/>
      <c r="V6" s="1393"/>
      <c r="W6" s="483">
        <v>95</v>
      </c>
      <c r="X6" s="134">
        <v>44930</v>
      </c>
      <c r="Y6" s="69">
        <v>516.19000000000005</v>
      </c>
      <c r="Z6" s="73">
        <v>42</v>
      </c>
      <c r="AA6" s="47">
        <f>Z48</f>
        <v>180.93</v>
      </c>
      <c r="AB6" s="7">
        <f>Y6-AA6+Y7+Y5-AA5</f>
        <v>839.04</v>
      </c>
    </row>
    <row r="7" spans="1:29" ht="15.75" thickBot="1" x14ac:dyDescent="0.3">
      <c r="B7" s="19"/>
      <c r="C7" s="229"/>
      <c r="D7" s="134"/>
      <c r="E7" s="78"/>
      <c r="F7" s="62"/>
      <c r="L7" s="19"/>
      <c r="M7" s="229"/>
      <c r="N7" s="134"/>
      <c r="O7" s="78"/>
      <c r="P7" s="62"/>
      <c r="V7" s="19"/>
      <c r="W7" s="229"/>
      <c r="X7" s="134"/>
      <c r="Y7" s="78"/>
      <c r="Z7" s="62"/>
    </row>
    <row r="8" spans="1:29" ht="16.5" customHeight="1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/>
      <c r="R8" s="24"/>
      <c r="V8" s="64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/>
      <c r="AB8" s="24"/>
    </row>
    <row r="9" spans="1:29" ht="15.75" thickTop="1" x14ac:dyDescent="0.25">
      <c r="A9" s="80" t="s">
        <v>32</v>
      </c>
      <c r="B9" s="815">
        <f>F6-C9+F5+F7+F4</f>
        <v>43</v>
      </c>
      <c r="C9" s="15">
        <v>1</v>
      </c>
      <c r="D9" s="69">
        <v>11.78</v>
      </c>
      <c r="E9" s="202">
        <v>44863</v>
      </c>
      <c r="F9" s="69">
        <f>D9</f>
        <v>11.78</v>
      </c>
      <c r="G9" s="70" t="s">
        <v>214</v>
      </c>
      <c r="H9" s="71">
        <v>98</v>
      </c>
      <c r="I9" s="814">
        <f>E6-F9+E5+E7+E4</f>
        <v>511.01000000000005</v>
      </c>
      <c r="K9" s="80" t="s">
        <v>32</v>
      </c>
      <c r="L9" s="815">
        <f>P6-M9+P5+P7+P4</f>
        <v>42</v>
      </c>
      <c r="M9" s="15">
        <v>10</v>
      </c>
      <c r="N9" s="69">
        <v>118.15</v>
      </c>
      <c r="O9" s="202">
        <v>44895</v>
      </c>
      <c r="P9" s="69">
        <f>N9</f>
        <v>118.15</v>
      </c>
      <c r="Q9" s="70" t="s">
        <v>577</v>
      </c>
      <c r="R9" s="71">
        <v>98</v>
      </c>
      <c r="S9" s="814">
        <f>O6-P9+O5+O7+O4</f>
        <v>496.03999999999996</v>
      </c>
      <c r="U9" s="80" t="s">
        <v>32</v>
      </c>
      <c r="V9" s="886">
        <f>Z6-W9+Z5+Z7+Z4</f>
        <v>78</v>
      </c>
      <c r="W9" s="811">
        <v>15</v>
      </c>
      <c r="X9" s="697">
        <v>180.93</v>
      </c>
      <c r="Y9" s="727">
        <v>44925</v>
      </c>
      <c r="Z9" s="697">
        <f>X9</f>
        <v>180.93</v>
      </c>
      <c r="AA9" s="695" t="s">
        <v>853</v>
      </c>
      <c r="AB9" s="696">
        <v>98</v>
      </c>
      <c r="AC9" s="731">
        <f>Y6-Z9+Y5+Y7+Y4</f>
        <v>946.1099999999999</v>
      </c>
    </row>
    <row r="10" spans="1:29" x14ac:dyDescent="0.25">
      <c r="A10" s="194"/>
      <c r="B10" s="83">
        <f>B9-C10</f>
        <v>42</v>
      </c>
      <c r="C10" s="15">
        <v>1</v>
      </c>
      <c r="D10" s="829">
        <v>12.2</v>
      </c>
      <c r="E10" s="830">
        <v>44872</v>
      </c>
      <c r="F10" s="829">
        <f>D10</f>
        <v>12.2</v>
      </c>
      <c r="G10" s="831" t="s">
        <v>247</v>
      </c>
      <c r="H10" s="832">
        <v>98</v>
      </c>
      <c r="I10" s="105">
        <f>I9-F10</f>
        <v>498.81000000000006</v>
      </c>
      <c r="K10" s="194"/>
      <c r="L10" s="83">
        <f>L9-M10</f>
        <v>41</v>
      </c>
      <c r="M10" s="15">
        <v>1</v>
      </c>
      <c r="N10" s="69">
        <v>11.83</v>
      </c>
      <c r="O10" s="202">
        <v>44895</v>
      </c>
      <c r="P10" s="69">
        <f>N10</f>
        <v>11.83</v>
      </c>
      <c r="Q10" s="70" t="s">
        <v>578</v>
      </c>
      <c r="R10" s="71">
        <v>98</v>
      </c>
      <c r="S10" s="105">
        <f>S9-P10</f>
        <v>484.21</v>
      </c>
      <c r="U10" s="194"/>
      <c r="V10" s="83">
        <f>V9-W10</f>
        <v>78</v>
      </c>
      <c r="W10" s="15"/>
      <c r="X10" s="69"/>
      <c r="Y10" s="202"/>
      <c r="Z10" s="69">
        <f>X10</f>
        <v>0</v>
      </c>
      <c r="AA10" s="70"/>
      <c r="AB10" s="71"/>
      <c r="AC10" s="105">
        <f>AC9-Z10</f>
        <v>946.1099999999999</v>
      </c>
    </row>
    <row r="11" spans="1:29" x14ac:dyDescent="0.25">
      <c r="A11" s="182"/>
      <c r="B11" s="83">
        <f t="shared" ref="B11:B45" si="0">B10-C11</f>
        <v>32</v>
      </c>
      <c r="C11" s="15">
        <v>10</v>
      </c>
      <c r="D11" s="829">
        <v>118.47</v>
      </c>
      <c r="E11" s="830">
        <v>44872</v>
      </c>
      <c r="F11" s="829">
        <f>D11</f>
        <v>118.47</v>
      </c>
      <c r="G11" s="831" t="s">
        <v>249</v>
      </c>
      <c r="H11" s="832">
        <v>98</v>
      </c>
      <c r="I11" s="105">
        <f t="shared" ref="I11:I45" si="1">I10-F11</f>
        <v>380.34000000000003</v>
      </c>
      <c r="K11" s="182"/>
      <c r="L11" s="83">
        <f t="shared" ref="L11:L45" si="2">L10-M11</f>
        <v>36</v>
      </c>
      <c r="M11" s="15">
        <v>5</v>
      </c>
      <c r="N11" s="69">
        <v>59.37</v>
      </c>
      <c r="O11" s="202">
        <v>44901</v>
      </c>
      <c r="P11" s="69">
        <f>N11</f>
        <v>59.37</v>
      </c>
      <c r="Q11" s="70" t="s">
        <v>621</v>
      </c>
      <c r="R11" s="71">
        <v>98</v>
      </c>
      <c r="S11" s="105">
        <f t="shared" ref="S11:S45" si="3">S10-P11</f>
        <v>424.84</v>
      </c>
      <c r="U11" s="182"/>
      <c r="V11" s="83">
        <f t="shared" ref="V11:V45" si="4">V10-W11</f>
        <v>78</v>
      </c>
      <c r="W11" s="15"/>
      <c r="X11" s="69"/>
      <c r="Y11" s="202"/>
      <c r="Z11" s="69">
        <f>X11</f>
        <v>0</v>
      </c>
      <c r="AA11" s="70"/>
      <c r="AB11" s="71"/>
      <c r="AC11" s="105">
        <f t="shared" ref="AC11:AC45" si="5">AC10-Z11</f>
        <v>946.1099999999999</v>
      </c>
    </row>
    <row r="12" spans="1:29" x14ac:dyDescent="0.25">
      <c r="A12" s="182"/>
      <c r="B12" s="83">
        <f t="shared" si="0"/>
        <v>27</v>
      </c>
      <c r="C12" s="15">
        <v>5</v>
      </c>
      <c r="D12" s="829">
        <v>59.94</v>
      </c>
      <c r="E12" s="830">
        <v>44876</v>
      </c>
      <c r="F12" s="829">
        <f>D12</f>
        <v>59.94</v>
      </c>
      <c r="G12" s="831" t="s">
        <v>261</v>
      </c>
      <c r="H12" s="832">
        <v>98</v>
      </c>
      <c r="I12" s="105">
        <f t="shared" si="1"/>
        <v>320.40000000000003</v>
      </c>
      <c r="K12" s="182"/>
      <c r="L12" s="83">
        <f t="shared" si="2"/>
        <v>16</v>
      </c>
      <c r="M12" s="15">
        <v>20</v>
      </c>
      <c r="N12" s="69">
        <v>235.3</v>
      </c>
      <c r="O12" s="202">
        <v>44905</v>
      </c>
      <c r="P12" s="69">
        <f>N12</f>
        <v>235.3</v>
      </c>
      <c r="Q12" s="70" t="s">
        <v>666</v>
      </c>
      <c r="R12" s="71">
        <v>98</v>
      </c>
      <c r="S12" s="105">
        <f t="shared" si="3"/>
        <v>189.53999999999996</v>
      </c>
      <c r="U12" s="182"/>
      <c r="V12" s="83">
        <f t="shared" si="4"/>
        <v>78</v>
      </c>
      <c r="W12" s="15"/>
      <c r="X12" s="69"/>
      <c r="Y12" s="202"/>
      <c r="Z12" s="69">
        <f>X12</f>
        <v>0</v>
      </c>
      <c r="AA12" s="70"/>
      <c r="AB12" s="71"/>
      <c r="AC12" s="105">
        <f t="shared" si="5"/>
        <v>946.1099999999999</v>
      </c>
    </row>
    <row r="13" spans="1:29" x14ac:dyDescent="0.25">
      <c r="A13" s="82" t="s">
        <v>33</v>
      </c>
      <c r="B13" s="83">
        <f t="shared" si="0"/>
        <v>17</v>
      </c>
      <c r="C13" s="15">
        <v>10</v>
      </c>
      <c r="D13" s="829">
        <v>119.76</v>
      </c>
      <c r="E13" s="830">
        <v>44882</v>
      </c>
      <c r="F13" s="829">
        <f t="shared" ref="F13:F45" si="6">D13</f>
        <v>119.76</v>
      </c>
      <c r="G13" s="831" t="s">
        <v>281</v>
      </c>
      <c r="H13" s="832">
        <v>98</v>
      </c>
      <c r="I13" s="105">
        <f t="shared" si="1"/>
        <v>200.64000000000004</v>
      </c>
      <c r="K13" s="82" t="s">
        <v>33</v>
      </c>
      <c r="L13" s="83">
        <f t="shared" si="2"/>
        <v>14</v>
      </c>
      <c r="M13" s="15">
        <v>2</v>
      </c>
      <c r="N13" s="69">
        <v>22.97</v>
      </c>
      <c r="O13" s="202">
        <v>44918</v>
      </c>
      <c r="P13" s="69">
        <f t="shared" ref="P13:P45" si="7">N13</f>
        <v>22.97</v>
      </c>
      <c r="Q13" s="70" t="s">
        <v>808</v>
      </c>
      <c r="R13" s="71">
        <v>98</v>
      </c>
      <c r="S13" s="105">
        <f t="shared" si="3"/>
        <v>166.56999999999996</v>
      </c>
      <c r="U13" s="82" t="s">
        <v>33</v>
      </c>
      <c r="V13" s="83">
        <f t="shared" si="4"/>
        <v>78</v>
      </c>
      <c r="W13" s="15"/>
      <c r="X13" s="69"/>
      <c r="Y13" s="202"/>
      <c r="Z13" s="69">
        <f t="shared" ref="Z13:Z45" si="8">X13</f>
        <v>0</v>
      </c>
      <c r="AA13" s="70"/>
      <c r="AB13" s="71"/>
      <c r="AC13" s="105">
        <f t="shared" si="5"/>
        <v>946.1099999999999</v>
      </c>
    </row>
    <row r="14" spans="1:29" x14ac:dyDescent="0.25">
      <c r="A14" s="73"/>
      <c r="B14" s="815">
        <f t="shared" si="0"/>
        <v>9</v>
      </c>
      <c r="C14" s="15">
        <v>8</v>
      </c>
      <c r="D14" s="829">
        <v>94.28</v>
      </c>
      <c r="E14" s="830">
        <v>44887</v>
      </c>
      <c r="F14" s="829">
        <f t="shared" si="6"/>
        <v>94.28</v>
      </c>
      <c r="G14" s="831" t="s">
        <v>294</v>
      </c>
      <c r="H14" s="832">
        <v>98</v>
      </c>
      <c r="I14" s="814">
        <f t="shared" si="1"/>
        <v>106.36000000000004</v>
      </c>
      <c r="K14" s="73"/>
      <c r="L14" s="83">
        <f t="shared" si="2"/>
        <v>9</v>
      </c>
      <c r="M14" s="15">
        <v>5</v>
      </c>
      <c r="N14" s="69">
        <v>59.5</v>
      </c>
      <c r="O14" s="202">
        <v>44922</v>
      </c>
      <c r="P14" s="69">
        <f t="shared" si="7"/>
        <v>59.5</v>
      </c>
      <c r="Q14" s="70" t="s">
        <v>832</v>
      </c>
      <c r="R14" s="71">
        <v>98</v>
      </c>
      <c r="S14" s="105">
        <f t="shared" si="3"/>
        <v>107.06999999999996</v>
      </c>
      <c r="U14" s="73"/>
      <c r="V14" s="83">
        <f t="shared" si="4"/>
        <v>78</v>
      </c>
      <c r="W14" s="15"/>
      <c r="X14" s="69"/>
      <c r="Y14" s="202"/>
      <c r="Z14" s="69">
        <f t="shared" si="8"/>
        <v>0</v>
      </c>
      <c r="AA14" s="70"/>
      <c r="AB14" s="71"/>
      <c r="AC14" s="105">
        <f t="shared" si="5"/>
        <v>946.1099999999999</v>
      </c>
    </row>
    <row r="15" spans="1:29" x14ac:dyDescent="0.25">
      <c r="A15" s="73"/>
      <c r="B15" s="83">
        <f t="shared" si="0"/>
        <v>9</v>
      </c>
      <c r="C15" s="15"/>
      <c r="D15" s="534"/>
      <c r="E15" s="726"/>
      <c r="F15" s="534">
        <f t="shared" si="6"/>
        <v>0</v>
      </c>
      <c r="G15" s="329"/>
      <c r="H15" s="330"/>
      <c r="I15" s="105">
        <f t="shared" si="1"/>
        <v>106.36000000000004</v>
      </c>
      <c r="K15" s="73"/>
      <c r="L15" s="83">
        <f t="shared" si="2"/>
        <v>9</v>
      </c>
      <c r="M15" s="15"/>
      <c r="N15" s="69"/>
      <c r="O15" s="202"/>
      <c r="P15" s="69">
        <f t="shared" si="7"/>
        <v>0</v>
      </c>
      <c r="Q15" s="70"/>
      <c r="R15" s="71"/>
      <c r="S15" s="105">
        <f t="shared" si="3"/>
        <v>107.06999999999996</v>
      </c>
      <c r="U15" s="73"/>
      <c r="V15" s="83">
        <f t="shared" si="4"/>
        <v>78</v>
      </c>
      <c r="W15" s="15"/>
      <c r="X15" s="69"/>
      <c r="Y15" s="202"/>
      <c r="Z15" s="69">
        <f t="shared" si="8"/>
        <v>0</v>
      </c>
      <c r="AA15" s="70"/>
      <c r="AB15" s="71"/>
      <c r="AC15" s="105">
        <f t="shared" si="5"/>
        <v>946.1099999999999</v>
      </c>
    </row>
    <row r="16" spans="1:29" x14ac:dyDescent="0.25">
      <c r="B16" s="83">
        <f t="shared" si="0"/>
        <v>9</v>
      </c>
      <c r="C16" s="15"/>
      <c r="D16" s="534"/>
      <c r="E16" s="726"/>
      <c r="F16" s="534">
        <f t="shared" si="6"/>
        <v>0</v>
      </c>
      <c r="G16" s="329"/>
      <c r="H16" s="330"/>
      <c r="I16" s="105">
        <f t="shared" si="1"/>
        <v>106.36000000000004</v>
      </c>
      <c r="L16" s="83">
        <f t="shared" si="2"/>
        <v>9</v>
      </c>
      <c r="M16" s="15"/>
      <c r="N16" s="69"/>
      <c r="O16" s="202"/>
      <c r="P16" s="1165">
        <f t="shared" si="7"/>
        <v>0</v>
      </c>
      <c r="Q16" s="1166"/>
      <c r="R16" s="1167"/>
      <c r="S16" s="1163">
        <f t="shared" si="3"/>
        <v>107.06999999999996</v>
      </c>
      <c r="V16" s="83">
        <f t="shared" si="4"/>
        <v>78</v>
      </c>
      <c r="W16" s="15"/>
      <c r="X16" s="69"/>
      <c r="Y16" s="202"/>
      <c r="Z16" s="69">
        <f t="shared" si="8"/>
        <v>0</v>
      </c>
      <c r="AA16" s="70"/>
      <c r="AB16" s="71"/>
      <c r="AC16" s="105">
        <f t="shared" si="5"/>
        <v>946.1099999999999</v>
      </c>
    </row>
    <row r="17" spans="1:29" x14ac:dyDescent="0.25">
      <c r="B17" s="83">
        <f t="shared" si="0"/>
        <v>0</v>
      </c>
      <c r="C17" s="15">
        <v>9</v>
      </c>
      <c r="D17" s="534"/>
      <c r="E17" s="726"/>
      <c r="F17" s="1160">
        <v>106.36</v>
      </c>
      <c r="G17" s="1161"/>
      <c r="H17" s="1162"/>
      <c r="I17" s="1163">
        <f t="shared" si="1"/>
        <v>0</v>
      </c>
      <c r="L17" s="83">
        <f t="shared" si="2"/>
        <v>0</v>
      </c>
      <c r="M17" s="15">
        <v>9</v>
      </c>
      <c r="N17" s="69"/>
      <c r="O17" s="202"/>
      <c r="P17" s="1165">
        <v>107.07</v>
      </c>
      <c r="Q17" s="1166"/>
      <c r="R17" s="1167"/>
      <c r="S17" s="1163">
        <f t="shared" si="3"/>
        <v>0</v>
      </c>
      <c r="V17" s="83">
        <f t="shared" si="4"/>
        <v>78</v>
      </c>
      <c r="W17" s="15"/>
      <c r="X17" s="69"/>
      <c r="Y17" s="202"/>
      <c r="Z17" s="69">
        <f t="shared" si="8"/>
        <v>0</v>
      </c>
      <c r="AA17" s="70"/>
      <c r="AB17" s="71"/>
      <c r="AC17" s="105">
        <f t="shared" si="5"/>
        <v>946.1099999999999</v>
      </c>
    </row>
    <row r="18" spans="1:29" x14ac:dyDescent="0.25">
      <c r="A18" s="122"/>
      <c r="B18" s="83">
        <f t="shared" si="0"/>
        <v>0</v>
      </c>
      <c r="C18" s="15"/>
      <c r="D18" s="534"/>
      <c r="E18" s="726"/>
      <c r="F18" s="1160">
        <f t="shared" si="6"/>
        <v>0</v>
      </c>
      <c r="G18" s="1161"/>
      <c r="H18" s="1162"/>
      <c r="I18" s="1163">
        <f t="shared" si="1"/>
        <v>0</v>
      </c>
      <c r="K18" s="122"/>
      <c r="L18" s="83">
        <f t="shared" si="2"/>
        <v>0</v>
      </c>
      <c r="M18" s="15"/>
      <c r="N18" s="69"/>
      <c r="O18" s="202"/>
      <c r="P18" s="1165">
        <f t="shared" si="7"/>
        <v>0</v>
      </c>
      <c r="Q18" s="1166"/>
      <c r="R18" s="1167"/>
      <c r="S18" s="1163">
        <f t="shared" si="3"/>
        <v>0</v>
      </c>
      <c r="U18" s="122"/>
      <c r="V18" s="83">
        <f t="shared" si="4"/>
        <v>78</v>
      </c>
      <c r="W18" s="15"/>
      <c r="X18" s="69"/>
      <c r="Y18" s="202"/>
      <c r="Z18" s="69">
        <f t="shared" si="8"/>
        <v>0</v>
      </c>
      <c r="AA18" s="70"/>
      <c r="AB18" s="71"/>
      <c r="AC18" s="105">
        <f t="shared" si="5"/>
        <v>946.1099999999999</v>
      </c>
    </row>
    <row r="19" spans="1:29" x14ac:dyDescent="0.25">
      <c r="A19" s="122"/>
      <c r="B19" s="83">
        <f t="shared" si="0"/>
        <v>0</v>
      </c>
      <c r="C19" s="15"/>
      <c r="D19" s="534"/>
      <c r="E19" s="726"/>
      <c r="F19" s="1160">
        <f t="shared" si="6"/>
        <v>0</v>
      </c>
      <c r="G19" s="1161"/>
      <c r="H19" s="1162"/>
      <c r="I19" s="1163">
        <f t="shared" si="1"/>
        <v>0</v>
      </c>
      <c r="K19" s="122"/>
      <c r="L19" s="83">
        <f t="shared" si="2"/>
        <v>0</v>
      </c>
      <c r="M19" s="15"/>
      <c r="N19" s="69"/>
      <c r="O19" s="202"/>
      <c r="P19" s="1165">
        <f t="shared" si="7"/>
        <v>0</v>
      </c>
      <c r="Q19" s="1166"/>
      <c r="R19" s="1167"/>
      <c r="S19" s="1163">
        <f t="shared" si="3"/>
        <v>0</v>
      </c>
      <c r="U19" s="122"/>
      <c r="V19" s="83">
        <f t="shared" si="4"/>
        <v>78</v>
      </c>
      <c r="W19" s="15"/>
      <c r="X19" s="69"/>
      <c r="Y19" s="202"/>
      <c r="Z19" s="69">
        <f t="shared" si="8"/>
        <v>0</v>
      </c>
      <c r="AA19" s="70"/>
      <c r="AB19" s="71"/>
      <c r="AC19" s="105">
        <f t="shared" si="5"/>
        <v>946.1099999999999</v>
      </c>
    </row>
    <row r="20" spans="1:29" x14ac:dyDescent="0.25">
      <c r="A20" s="122"/>
      <c r="B20" s="83">
        <f t="shared" si="0"/>
        <v>0</v>
      </c>
      <c r="C20" s="15"/>
      <c r="D20" s="534"/>
      <c r="E20" s="726"/>
      <c r="F20" s="1160">
        <f t="shared" si="6"/>
        <v>0</v>
      </c>
      <c r="G20" s="1161"/>
      <c r="H20" s="1162"/>
      <c r="I20" s="1163">
        <f t="shared" si="1"/>
        <v>0</v>
      </c>
      <c r="K20" s="122"/>
      <c r="L20" s="83">
        <f t="shared" si="2"/>
        <v>0</v>
      </c>
      <c r="M20" s="15"/>
      <c r="N20" s="69"/>
      <c r="O20" s="202"/>
      <c r="P20" s="69">
        <f t="shared" si="7"/>
        <v>0</v>
      </c>
      <c r="Q20" s="70"/>
      <c r="R20" s="71"/>
      <c r="S20" s="105">
        <f t="shared" si="3"/>
        <v>0</v>
      </c>
      <c r="U20" s="122"/>
      <c r="V20" s="83">
        <f t="shared" si="4"/>
        <v>78</v>
      </c>
      <c r="W20" s="15"/>
      <c r="X20" s="69"/>
      <c r="Y20" s="202"/>
      <c r="Z20" s="69">
        <f t="shared" si="8"/>
        <v>0</v>
      </c>
      <c r="AA20" s="70"/>
      <c r="AB20" s="71"/>
      <c r="AC20" s="105">
        <f t="shared" si="5"/>
        <v>946.1099999999999</v>
      </c>
    </row>
    <row r="21" spans="1:29" x14ac:dyDescent="0.25">
      <c r="A21" s="122"/>
      <c r="B21" s="83">
        <f t="shared" si="0"/>
        <v>0</v>
      </c>
      <c r="C21" s="15"/>
      <c r="D21" s="534"/>
      <c r="E21" s="726"/>
      <c r="F21" s="534">
        <f t="shared" si="6"/>
        <v>0</v>
      </c>
      <c r="G21" s="329"/>
      <c r="H21" s="330"/>
      <c r="I21" s="105">
        <f t="shared" si="1"/>
        <v>0</v>
      </c>
      <c r="K21" s="122"/>
      <c r="L21" s="83">
        <f t="shared" si="2"/>
        <v>0</v>
      </c>
      <c r="M21" s="15"/>
      <c r="N21" s="69"/>
      <c r="O21" s="202"/>
      <c r="P21" s="69">
        <f t="shared" si="7"/>
        <v>0</v>
      </c>
      <c r="Q21" s="70"/>
      <c r="R21" s="71"/>
      <c r="S21" s="105">
        <f t="shared" si="3"/>
        <v>0</v>
      </c>
      <c r="U21" s="122"/>
      <c r="V21" s="83">
        <f t="shared" si="4"/>
        <v>78</v>
      </c>
      <c r="W21" s="15"/>
      <c r="X21" s="69"/>
      <c r="Y21" s="202"/>
      <c r="Z21" s="69">
        <f t="shared" si="8"/>
        <v>0</v>
      </c>
      <c r="AA21" s="70"/>
      <c r="AB21" s="71"/>
      <c r="AC21" s="105">
        <f t="shared" si="5"/>
        <v>946.1099999999999</v>
      </c>
    </row>
    <row r="22" spans="1:29" x14ac:dyDescent="0.25">
      <c r="A22" s="122"/>
      <c r="B22" s="232">
        <f t="shared" si="0"/>
        <v>0</v>
      </c>
      <c r="C22" s="15"/>
      <c r="D22" s="534"/>
      <c r="E22" s="726"/>
      <c r="F22" s="534">
        <f t="shared" si="6"/>
        <v>0</v>
      </c>
      <c r="G22" s="329"/>
      <c r="H22" s="330"/>
      <c r="I22" s="105">
        <f t="shared" si="1"/>
        <v>0</v>
      </c>
      <c r="K22" s="122"/>
      <c r="L22" s="232">
        <f t="shared" si="2"/>
        <v>0</v>
      </c>
      <c r="M22" s="15"/>
      <c r="N22" s="69"/>
      <c r="O22" s="202"/>
      <c r="P22" s="69">
        <f t="shared" si="7"/>
        <v>0</v>
      </c>
      <c r="Q22" s="70"/>
      <c r="R22" s="71"/>
      <c r="S22" s="105">
        <f t="shared" si="3"/>
        <v>0</v>
      </c>
      <c r="U22" s="122"/>
      <c r="V22" s="232">
        <f t="shared" si="4"/>
        <v>78</v>
      </c>
      <c r="W22" s="15"/>
      <c r="X22" s="69"/>
      <c r="Y22" s="202"/>
      <c r="Z22" s="69">
        <f t="shared" si="8"/>
        <v>0</v>
      </c>
      <c r="AA22" s="70"/>
      <c r="AB22" s="71"/>
      <c r="AC22" s="105">
        <f t="shared" si="5"/>
        <v>946.1099999999999</v>
      </c>
    </row>
    <row r="23" spans="1:29" x14ac:dyDescent="0.25">
      <c r="A23" s="123"/>
      <c r="B23" s="232">
        <f t="shared" si="0"/>
        <v>0</v>
      </c>
      <c r="C23" s="15"/>
      <c r="D23" s="534"/>
      <c r="E23" s="726"/>
      <c r="F23" s="534">
        <f t="shared" si="6"/>
        <v>0</v>
      </c>
      <c r="G23" s="329"/>
      <c r="H23" s="330"/>
      <c r="I23" s="105">
        <f t="shared" si="1"/>
        <v>0</v>
      </c>
      <c r="K23" s="123"/>
      <c r="L23" s="232">
        <f t="shared" si="2"/>
        <v>0</v>
      </c>
      <c r="M23" s="15"/>
      <c r="N23" s="69"/>
      <c r="O23" s="202"/>
      <c r="P23" s="69">
        <f t="shared" si="7"/>
        <v>0</v>
      </c>
      <c r="Q23" s="70"/>
      <c r="R23" s="71"/>
      <c r="S23" s="105">
        <f t="shared" si="3"/>
        <v>0</v>
      </c>
      <c r="U23" s="123"/>
      <c r="V23" s="232">
        <f t="shared" si="4"/>
        <v>78</v>
      </c>
      <c r="W23" s="15"/>
      <c r="X23" s="69"/>
      <c r="Y23" s="202"/>
      <c r="Z23" s="69">
        <f t="shared" si="8"/>
        <v>0</v>
      </c>
      <c r="AA23" s="70"/>
      <c r="AB23" s="71"/>
      <c r="AC23" s="105">
        <f t="shared" si="5"/>
        <v>946.1099999999999</v>
      </c>
    </row>
    <row r="24" spans="1:29" x14ac:dyDescent="0.25">
      <c r="A24" s="122"/>
      <c r="B24" s="232">
        <f t="shared" si="0"/>
        <v>0</v>
      </c>
      <c r="C24" s="15"/>
      <c r="D24" s="534"/>
      <c r="E24" s="726"/>
      <c r="F24" s="534">
        <f t="shared" si="6"/>
        <v>0</v>
      </c>
      <c r="G24" s="329"/>
      <c r="H24" s="330"/>
      <c r="I24" s="105">
        <f t="shared" si="1"/>
        <v>0</v>
      </c>
      <c r="K24" s="122"/>
      <c r="L24" s="232">
        <f t="shared" si="2"/>
        <v>0</v>
      </c>
      <c r="M24" s="15"/>
      <c r="N24" s="69"/>
      <c r="O24" s="202"/>
      <c r="P24" s="69">
        <f t="shared" si="7"/>
        <v>0</v>
      </c>
      <c r="Q24" s="70"/>
      <c r="R24" s="71"/>
      <c r="S24" s="105">
        <f t="shared" si="3"/>
        <v>0</v>
      </c>
      <c r="U24" s="122"/>
      <c r="V24" s="232">
        <f t="shared" si="4"/>
        <v>78</v>
      </c>
      <c r="W24" s="15"/>
      <c r="X24" s="69"/>
      <c r="Y24" s="202"/>
      <c r="Z24" s="69">
        <f t="shared" si="8"/>
        <v>0</v>
      </c>
      <c r="AA24" s="70"/>
      <c r="AB24" s="71"/>
      <c r="AC24" s="105">
        <f t="shared" si="5"/>
        <v>946.1099999999999</v>
      </c>
    </row>
    <row r="25" spans="1:29" x14ac:dyDescent="0.25">
      <c r="A25" s="122"/>
      <c r="B25" s="232">
        <f t="shared" si="0"/>
        <v>0</v>
      </c>
      <c r="C25" s="15"/>
      <c r="D25" s="534"/>
      <c r="E25" s="726"/>
      <c r="F25" s="534">
        <f t="shared" si="6"/>
        <v>0</v>
      </c>
      <c r="G25" s="329"/>
      <c r="H25" s="330"/>
      <c r="I25" s="105">
        <f t="shared" si="1"/>
        <v>0</v>
      </c>
      <c r="K25" s="122"/>
      <c r="L25" s="232">
        <f t="shared" si="2"/>
        <v>0</v>
      </c>
      <c r="M25" s="15"/>
      <c r="N25" s="69"/>
      <c r="O25" s="202"/>
      <c r="P25" s="69">
        <f t="shared" si="7"/>
        <v>0</v>
      </c>
      <c r="Q25" s="70"/>
      <c r="R25" s="71"/>
      <c r="S25" s="105">
        <f t="shared" si="3"/>
        <v>0</v>
      </c>
      <c r="U25" s="122"/>
      <c r="V25" s="232">
        <f t="shared" si="4"/>
        <v>78</v>
      </c>
      <c r="W25" s="15"/>
      <c r="X25" s="69"/>
      <c r="Y25" s="202"/>
      <c r="Z25" s="69">
        <f t="shared" si="8"/>
        <v>0</v>
      </c>
      <c r="AA25" s="70"/>
      <c r="AB25" s="71"/>
      <c r="AC25" s="105">
        <f t="shared" si="5"/>
        <v>946.1099999999999</v>
      </c>
    </row>
    <row r="26" spans="1:29" x14ac:dyDescent="0.25">
      <c r="A26" s="122"/>
      <c r="B26" s="182">
        <f t="shared" si="0"/>
        <v>0</v>
      </c>
      <c r="C26" s="15"/>
      <c r="D26" s="534"/>
      <c r="E26" s="726"/>
      <c r="F26" s="534">
        <f t="shared" si="6"/>
        <v>0</v>
      </c>
      <c r="G26" s="329"/>
      <c r="H26" s="330"/>
      <c r="I26" s="105">
        <f t="shared" si="1"/>
        <v>0</v>
      </c>
      <c r="K26" s="122"/>
      <c r="L26" s="182">
        <f t="shared" si="2"/>
        <v>0</v>
      </c>
      <c r="M26" s="15"/>
      <c r="N26" s="69"/>
      <c r="O26" s="202"/>
      <c r="P26" s="69">
        <f t="shared" si="7"/>
        <v>0</v>
      </c>
      <c r="Q26" s="70"/>
      <c r="R26" s="71"/>
      <c r="S26" s="105">
        <f t="shared" si="3"/>
        <v>0</v>
      </c>
      <c r="U26" s="122"/>
      <c r="V26" s="182">
        <f t="shared" si="4"/>
        <v>78</v>
      </c>
      <c r="W26" s="15"/>
      <c r="X26" s="69"/>
      <c r="Y26" s="202"/>
      <c r="Z26" s="69">
        <f t="shared" si="8"/>
        <v>0</v>
      </c>
      <c r="AA26" s="70"/>
      <c r="AB26" s="71"/>
      <c r="AC26" s="105">
        <f t="shared" si="5"/>
        <v>946.1099999999999</v>
      </c>
    </row>
    <row r="27" spans="1:29" x14ac:dyDescent="0.25">
      <c r="A27" s="122"/>
      <c r="B27" s="232">
        <f t="shared" si="0"/>
        <v>0</v>
      </c>
      <c r="C27" s="15"/>
      <c r="D27" s="534"/>
      <c r="E27" s="726"/>
      <c r="F27" s="534">
        <f t="shared" si="6"/>
        <v>0</v>
      </c>
      <c r="G27" s="329"/>
      <c r="H27" s="330"/>
      <c r="I27" s="105">
        <f t="shared" si="1"/>
        <v>0</v>
      </c>
      <c r="K27" s="122"/>
      <c r="L27" s="232">
        <f t="shared" si="2"/>
        <v>0</v>
      </c>
      <c r="M27" s="15"/>
      <c r="N27" s="69"/>
      <c r="O27" s="202"/>
      <c r="P27" s="69">
        <f t="shared" si="7"/>
        <v>0</v>
      </c>
      <c r="Q27" s="70"/>
      <c r="R27" s="71"/>
      <c r="S27" s="105">
        <f t="shared" si="3"/>
        <v>0</v>
      </c>
      <c r="U27" s="122"/>
      <c r="V27" s="232">
        <f t="shared" si="4"/>
        <v>78</v>
      </c>
      <c r="W27" s="15"/>
      <c r="X27" s="69"/>
      <c r="Y27" s="202"/>
      <c r="Z27" s="69">
        <f t="shared" si="8"/>
        <v>0</v>
      </c>
      <c r="AA27" s="70"/>
      <c r="AB27" s="71"/>
      <c r="AC27" s="105">
        <f t="shared" si="5"/>
        <v>946.1099999999999</v>
      </c>
    </row>
    <row r="28" spans="1:29" x14ac:dyDescent="0.25">
      <c r="A28" s="122"/>
      <c r="B28" s="182">
        <f t="shared" si="0"/>
        <v>0</v>
      </c>
      <c r="C28" s="15"/>
      <c r="D28" s="534"/>
      <c r="E28" s="726"/>
      <c r="F28" s="534">
        <f t="shared" si="6"/>
        <v>0</v>
      </c>
      <c r="G28" s="329"/>
      <c r="H28" s="330"/>
      <c r="I28" s="105">
        <f t="shared" si="1"/>
        <v>0</v>
      </c>
      <c r="K28" s="122"/>
      <c r="L28" s="182">
        <f t="shared" si="2"/>
        <v>0</v>
      </c>
      <c r="M28" s="15"/>
      <c r="N28" s="69"/>
      <c r="O28" s="202"/>
      <c r="P28" s="69">
        <f t="shared" si="7"/>
        <v>0</v>
      </c>
      <c r="Q28" s="70"/>
      <c r="R28" s="71"/>
      <c r="S28" s="105">
        <f t="shared" si="3"/>
        <v>0</v>
      </c>
      <c r="U28" s="122"/>
      <c r="V28" s="182">
        <f t="shared" si="4"/>
        <v>78</v>
      </c>
      <c r="W28" s="15"/>
      <c r="X28" s="69"/>
      <c r="Y28" s="202"/>
      <c r="Z28" s="69">
        <f t="shared" si="8"/>
        <v>0</v>
      </c>
      <c r="AA28" s="70"/>
      <c r="AB28" s="71"/>
      <c r="AC28" s="105">
        <f t="shared" si="5"/>
        <v>946.1099999999999</v>
      </c>
    </row>
    <row r="29" spans="1:29" x14ac:dyDescent="0.25">
      <c r="A29" s="122"/>
      <c r="B29" s="232">
        <f t="shared" si="0"/>
        <v>0</v>
      </c>
      <c r="C29" s="15"/>
      <c r="D29" s="534"/>
      <c r="E29" s="726"/>
      <c r="F29" s="534">
        <f t="shared" si="6"/>
        <v>0</v>
      </c>
      <c r="G29" s="329"/>
      <c r="H29" s="330"/>
      <c r="I29" s="105">
        <f t="shared" si="1"/>
        <v>0</v>
      </c>
      <c r="K29" s="122"/>
      <c r="L29" s="232">
        <f t="shared" si="2"/>
        <v>0</v>
      </c>
      <c r="M29" s="15"/>
      <c r="N29" s="69"/>
      <c r="O29" s="202"/>
      <c r="P29" s="69">
        <f t="shared" si="7"/>
        <v>0</v>
      </c>
      <c r="Q29" s="70"/>
      <c r="R29" s="71"/>
      <c r="S29" s="105">
        <f t="shared" si="3"/>
        <v>0</v>
      </c>
      <c r="U29" s="122"/>
      <c r="V29" s="232">
        <f t="shared" si="4"/>
        <v>78</v>
      </c>
      <c r="W29" s="15"/>
      <c r="X29" s="69"/>
      <c r="Y29" s="202"/>
      <c r="Z29" s="69">
        <f t="shared" si="8"/>
        <v>0</v>
      </c>
      <c r="AA29" s="70"/>
      <c r="AB29" s="71"/>
      <c r="AC29" s="105">
        <f t="shared" si="5"/>
        <v>946.1099999999999</v>
      </c>
    </row>
    <row r="30" spans="1:29" x14ac:dyDescent="0.25">
      <c r="A30" s="122"/>
      <c r="B30" s="232">
        <f t="shared" si="0"/>
        <v>0</v>
      </c>
      <c r="C30" s="15"/>
      <c r="D30" s="534"/>
      <c r="E30" s="726"/>
      <c r="F30" s="534">
        <f t="shared" si="6"/>
        <v>0</v>
      </c>
      <c r="G30" s="329"/>
      <c r="H30" s="330"/>
      <c r="I30" s="105">
        <f t="shared" si="1"/>
        <v>0</v>
      </c>
      <c r="K30" s="122"/>
      <c r="L30" s="232">
        <f t="shared" si="2"/>
        <v>0</v>
      </c>
      <c r="M30" s="15"/>
      <c r="N30" s="69"/>
      <c r="O30" s="202"/>
      <c r="P30" s="69">
        <f t="shared" si="7"/>
        <v>0</v>
      </c>
      <c r="Q30" s="70"/>
      <c r="R30" s="71"/>
      <c r="S30" s="105">
        <f t="shared" si="3"/>
        <v>0</v>
      </c>
      <c r="U30" s="122"/>
      <c r="V30" s="232">
        <f t="shared" si="4"/>
        <v>78</v>
      </c>
      <c r="W30" s="15"/>
      <c r="X30" s="69"/>
      <c r="Y30" s="202"/>
      <c r="Z30" s="69">
        <f t="shared" si="8"/>
        <v>0</v>
      </c>
      <c r="AA30" s="70"/>
      <c r="AB30" s="71"/>
      <c r="AC30" s="105">
        <f t="shared" si="5"/>
        <v>946.1099999999999</v>
      </c>
    </row>
    <row r="31" spans="1:29" x14ac:dyDescent="0.25">
      <c r="A31" s="122"/>
      <c r="B31" s="232">
        <f t="shared" si="0"/>
        <v>0</v>
      </c>
      <c r="C31" s="15"/>
      <c r="D31" s="534"/>
      <c r="E31" s="726"/>
      <c r="F31" s="534">
        <f t="shared" si="6"/>
        <v>0</v>
      </c>
      <c r="G31" s="329"/>
      <c r="H31" s="330"/>
      <c r="I31" s="105">
        <f t="shared" si="1"/>
        <v>0</v>
      </c>
      <c r="K31" s="122"/>
      <c r="L31" s="232">
        <f t="shared" si="2"/>
        <v>0</v>
      </c>
      <c r="M31" s="15"/>
      <c r="N31" s="69"/>
      <c r="O31" s="202"/>
      <c r="P31" s="69">
        <f t="shared" si="7"/>
        <v>0</v>
      </c>
      <c r="Q31" s="70"/>
      <c r="R31" s="71"/>
      <c r="S31" s="105">
        <f t="shared" si="3"/>
        <v>0</v>
      </c>
      <c r="U31" s="122"/>
      <c r="V31" s="232">
        <f t="shared" si="4"/>
        <v>78</v>
      </c>
      <c r="W31" s="15"/>
      <c r="X31" s="69"/>
      <c r="Y31" s="202"/>
      <c r="Z31" s="69">
        <f t="shared" si="8"/>
        <v>0</v>
      </c>
      <c r="AA31" s="70"/>
      <c r="AB31" s="71"/>
      <c r="AC31" s="105">
        <f t="shared" si="5"/>
        <v>946.1099999999999</v>
      </c>
    </row>
    <row r="32" spans="1:29" x14ac:dyDescent="0.25">
      <c r="A32" s="122"/>
      <c r="B32" s="232">
        <f t="shared" si="0"/>
        <v>0</v>
      </c>
      <c r="C32" s="15"/>
      <c r="D32" s="69"/>
      <c r="E32" s="202"/>
      <c r="F32" s="69">
        <f t="shared" si="6"/>
        <v>0</v>
      </c>
      <c r="G32" s="70"/>
      <c r="H32" s="71"/>
      <c r="I32" s="105">
        <f t="shared" si="1"/>
        <v>0</v>
      </c>
      <c r="K32" s="122"/>
      <c r="L32" s="232">
        <f t="shared" si="2"/>
        <v>0</v>
      </c>
      <c r="M32" s="15"/>
      <c r="N32" s="69"/>
      <c r="O32" s="202"/>
      <c r="P32" s="69">
        <f t="shared" si="7"/>
        <v>0</v>
      </c>
      <c r="Q32" s="70"/>
      <c r="R32" s="71"/>
      <c r="S32" s="105">
        <f t="shared" si="3"/>
        <v>0</v>
      </c>
      <c r="U32" s="122"/>
      <c r="V32" s="232">
        <f t="shared" si="4"/>
        <v>78</v>
      </c>
      <c r="W32" s="15"/>
      <c r="X32" s="69"/>
      <c r="Y32" s="202"/>
      <c r="Z32" s="69">
        <f t="shared" si="8"/>
        <v>0</v>
      </c>
      <c r="AA32" s="70"/>
      <c r="AB32" s="71"/>
      <c r="AC32" s="105">
        <f t="shared" si="5"/>
        <v>946.1099999999999</v>
      </c>
    </row>
    <row r="33" spans="1:29" x14ac:dyDescent="0.25">
      <c r="A33" s="122"/>
      <c r="B33" s="232">
        <f t="shared" si="0"/>
        <v>0</v>
      </c>
      <c r="C33" s="15"/>
      <c r="D33" s="69"/>
      <c r="E33" s="202"/>
      <c r="F33" s="69">
        <f t="shared" si="6"/>
        <v>0</v>
      </c>
      <c r="G33" s="70"/>
      <c r="H33" s="71"/>
      <c r="I33" s="105">
        <f t="shared" si="1"/>
        <v>0</v>
      </c>
      <c r="K33" s="122"/>
      <c r="L33" s="232">
        <f t="shared" si="2"/>
        <v>0</v>
      </c>
      <c r="M33" s="15"/>
      <c r="N33" s="69"/>
      <c r="O33" s="202"/>
      <c r="P33" s="69">
        <f t="shared" si="7"/>
        <v>0</v>
      </c>
      <c r="Q33" s="70"/>
      <c r="R33" s="71"/>
      <c r="S33" s="105">
        <f t="shared" si="3"/>
        <v>0</v>
      </c>
      <c r="U33" s="122"/>
      <c r="V33" s="232">
        <f t="shared" si="4"/>
        <v>78</v>
      </c>
      <c r="W33" s="15"/>
      <c r="X33" s="69"/>
      <c r="Y33" s="202"/>
      <c r="Z33" s="69">
        <f t="shared" si="8"/>
        <v>0</v>
      </c>
      <c r="AA33" s="70"/>
      <c r="AB33" s="71"/>
      <c r="AC33" s="105">
        <f t="shared" si="5"/>
        <v>946.1099999999999</v>
      </c>
    </row>
    <row r="34" spans="1:29" x14ac:dyDescent="0.25">
      <c r="A34" s="122"/>
      <c r="B34" s="232">
        <f t="shared" si="0"/>
        <v>0</v>
      </c>
      <c r="C34" s="15"/>
      <c r="D34" s="69"/>
      <c r="E34" s="202"/>
      <c r="F34" s="69">
        <f t="shared" si="6"/>
        <v>0</v>
      </c>
      <c r="G34" s="70"/>
      <c r="H34" s="71"/>
      <c r="I34" s="105">
        <f t="shared" si="1"/>
        <v>0</v>
      </c>
      <c r="K34" s="122"/>
      <c r="L34" s="232">
        <f t="shared" si="2"/>
        <v>0</v>
      </c>
      <c r="M34" s="15"/>
      <c r="N34" s="69"/>
      <c r="O34" s="202"/>
      <c r="P34" s="69">
        <f t="shared" si="7"/>
        <v>0</v>
      </c>
      <c r="Q34" s="70"/>
      <c r="R34" s="71"/>
      <c r="S34" s="105">
        <f t="shared" si="3"/>
        <v>0</v>
      </c>
      <c r="U34" s="122"/>
      <c r="V34" s="232">
        <f t="shared" si="4"/>
        <v>78</v>
      </c>
      <c r="W34" s="15"/>
      <c r="X34" s="69"/>
      <c r="Y34" s="202"/>
      <c r="Z34" s="69">
        <f t="shared" si="8"/>
        <v>0</v>
      </c>
      <c r="AA34" s="70"/>
      <c r="AB34" s="71"/>
      <c r="AC34" s="105">
        <f t="shared" si="5"/>
        <v>946.1099999999999</v>
      </c>
    </row>
    <row r="35" spans="1:29" x14ac:dyDescent="0.25">
      <c r="A35" s="122"/>
      <c r="B35" s="232">
        <f t="shared" si="0"/>
        <v>0</v>
      </c>
      <c r="C35" s="15"/>
      <c r="D35" s="69"/>
      <c r="E35" s="202"/>
      <c r="F35" s="69">
        <f t="shared" si="6"/>
        <v>0</v>
      </c>
      <c r="G35" s="70"/>
      <c r="H35" s="71"/>
      <c r="I35" s="105">
        <f t="shared" si="1"/>
        <v>0</v>
      </c>
      <c r="K35" s="122"/>
      <c r="L35" s="232">
        <f t="shared" si="2"/>
        <v>0</v>
      </c>
      <c r="M35" s="15"/>
      <c r="N35" s="69"/>
      <c r="O35" s="202"/>
      <c r="P35" s="69">
        <f t="shared" si="7"/>
        <v>0</v>
      </c>
      <c r="Q35" s="70"/>
      <c r="R35" s="71"/>
      <c r="S35" s="105">
        <f t="shared" si="3"/>
        <v>0</v>
      </c>
      <c r="U35" s="122"/>
      <c r="V35" s="232">
        <f t="shared" si="4"/>
        <v>78</v>
      </c>
      <c r="W35" s="15"/>
      <c r="X35" s="69"/>
      <c r="Y35" s="202"/>
      <c r="Z35" s="69">
        <f t="shared" si="8"/>
        <v>0</v>
      </c>
      <c r="AA35" s="70"/>
      <c r="AB35" s="71"/>
      <c r="AC35" s="105">
        <f t="shared" si="5"/>
        <v>946.1099999999999</v>
      </c>
    </row>
    <row r="36" spans="1:29" x14ac:dyDescent="0.25">
      <c r="A36" s="122" t="s">
        <v>22</v>
      </c>
      <c r="B36" s="232">
        <f t="shared" si="0"/>
        <v>0</v>
      </c>
      <c r="C36" s="15"/>
      <c r="D36" s="69"/>
      <c r="E36" s="202"/>
      <c r="F36" s="69">
        <f t="shared" si="6"/>
        <v>0</v>
      </c>
      <c r="G36" s="70"/>
      <c r="H36" s="71"/>
      <c r="I36" s="105">
        <f t="shared" si="1"/>
        <v>0</v>
      </c>
      <c r="K36" s="122" t="s">
        <v>22</v>
      </c>
      <c r="L36" s="232">
        <f t="shared" si="2"/>
        <v>0</v>
      </c>
      <c r="M36" s="15"/>
      <c r="N36" s="69"/>
      <c r="O36" s="202"/>
      <c r="P36" s="69">
        <f t="shared" si="7"/>
        <v>0</v>
      </c>
      <c r="Q36" s="70"/>
      <c r="R36" s="71"/>
      <c r="S36" s="105">
        <f t="shared" si="3"/>
        <v>0</v>
      </c>
      <c r="U36" s="122" t="s">
        <v>22</v>
      </c>
      <c r="V36" s="232">
        <f t="shared" si="4"/>
        <v>78</v>
      </c>
      <c r="W36" s="15"/>
      <c r="X36" s="69"/>
      <c r="Y36" s="202"/>
      <c r="Z36" s="69">
        <f t="shared" si="8"/>
        <v>0</v>
      </c>
      <c r="AA36" s="70"/>
      <c r="AB36" s="71"/>
      <c r="AC36" s="105">
        <f t="shared" si="5"/>
        <v>946.1099999999999</v>
      </c>
    </row>
    <row r="37" spans="1:29" x14ac:dyDescent="0.25">
      <c r="A37" s="123"/>
      <c r="B37" s="232">
        <f t="shared" si="0"/>
        <v>0</v>
      </c>
      <c r="C37" s="15"/>
      <c r="D37" s="69"/>
      <c r="E37" s="202"/>
      <c r="F37" s="69">
        <f t="shared" si="6"/>
        <v>0</v>
      </c>
      <c r="G37" s="70"/>
      <c r="H37" s="71"/>
      <c r="I37" s="105">
        <f t="shared" si="1"/>
        <v>0</v>
      </c>
      <c r="K37" s="123"/>
      <c r="L37" s="232">
        <f t="shared" si="2"/>
        <v>0</v>
      </c>
      <c r="M37" s="15"/>
      <c r="N37" s="69"/>
      <c r="O37" s="202"/>
      <c r="P37" s="69">
        <f t="shared" si="7"/>
        <v>0</v>
      </c>
      <c r="Q37" s="70"/>
      <c r="R37" s="71"/>
      <c r="S37" s="105">
        <f t="shared" si="3"/>
        <v>0</v>
      </c>
      <c r="U37" s="123"/>
      <c r="V37" s="232">
        <f t="shared" si="4"/>
        <v>78</v>
      </c>
      <c r="W37" s="15"/>
      <c r="X37" s="69"/>
      <c r="Y37" s="202"/>
      <c r="Z37" s="69">
        <f t="shared" si="8"/>
        <v>0</v>
      </c>
      <c r="AA37" s="70"/>
      <c r="AB37" s="71"/>
      <c r="AC37" s="105">
        <f t="shared" si="5"/>
        <v>946.1099999999999</v>
      </c>
    </row>
    <row r="38" spans="1:29" x14ac:dyDescent="0.25">
      <c r="A38" s="122"/>
      <c r="B38" s="232">
        <f t="shared" si="0"/>
        <v>0</v>
      </c>
      <c r="C38" s="15"/>
      <c r="D38" s="69"/>
      <c r="E38" s="202"/>
      <c r="F38" s="69">
        <f t="shared" si="6"/>
        <v>0</v>
      </c>
      <c r="G38" s="70"/>
      <c r="H38" s="71"/>
      <c r="I38" s="105">
        <f t="shared" si="1"/>
        <v>0</v>
      </c>
      <c r="K38" s="122"/>
      <c r="L38" s="232">
        <f t="shared" si="2"/>
        <v>0</v>
      </c>
      <c r="M38" s="15"/>
      <c r="N38" s="69"/>
      <c r="O38" s="202"/>
      <c r="P38" s="69">
        <f t="shared" si="7"/>
        <v>0</v>
      </c>
      <c r="Q38" s="70"/>
      <c r="R38" s="71"/>
      <c r="S38" s="105">
        <f t="shared" si="3"/>
        <v>0</v>
      </c>
      <c r="U38" s="122"/>
      <c r="V38" s="232">
        <f t="shared" si="4"/>
        <v>78</v>
      </c>
      <c r="W38" s="15"/>
      <c r="X38" s="69"/>
      <c r="Y38" s="202"/>
      <c r="Z38" s="69">
        <f t="shared" si="8"/>
        <v>0</v>
      </c>
      <c r="AA38" s="70"/>
      <c r="AB38" s="71"/>
      <c r="AC38" s="105">
        <f t="shared" si="5"/>
        <v>946.1099999999999</v>
      </c>
    </row>
    <row r="39" spans="1:29" x14ac:dyDescent="0.25">
      <c r="A39" s="122"/>
      <c r="B39" s="83">
        <f t="shared" si="0"/>
        <v>0</v>
      </c>
      <c r="C39" s="15"/>
      <c r="D39" s="69"/>
      <c r="E39" s="202"/>
      <c r="F39" s="69">
        <f t="shared" si="6"/>
        <v>0</v>
      </c>
      <c r="G39" s="70"/>
      <c r="H39" s="71"/>
      <c r="I39" s="105">
        <f t="shared" si="1"/>
        <v>0</v>
      </c>
      <c r="K39" s="122"/>
      <c r="L39" s="83">
        <f t="shared" si="2"/>
        <v>0</v>
      </c>
      <c r="M39" s="15"/>
      <c r="N39" s="69"/>
      <c r="O39" s="202"/>
      <c r="P39" s="69">
        <f t="shared" si="7"/>
        <v>0</v>
      </c>
      <c r="Q39" s="70"/>
      <c r="R39" s="71"/>
      <c r="S39" s="105">
        <f t="shared" si="3"/>
        <v>0</v>
      </c>
      <c r="U39" s="122"/>
      <c r="V39" s="83">
        <f t="shared" si="4"/>
        <v>78</v>
      </c>
      <c r="W39" s="15"/>
      <c r="X39" s="69"/>
      <c r="Y39" s="202"/>
      <c r="Z39" s="69">
        <f t="shared" si="8"/>
        <v>0</v>
      </c>
      <c r="AA39" s="70"/>
      <c r="AB39" s="71"/>
      <c r="AC39" s="105">
        <f t="shared" si="5"/>
        <v>946.1099999999999</v>
      </c>
    </row>
    <row r="40" spans="1:29" x14ac:dyDescent="0.25">
      <c r="A40" s="122"/>
      <c r="B40" s="83">
        <f t="shared" si="0"/>
        <v>0</v>
      </c>
      <c r="C40" s="15"/>
      <c r="D40" s="69"/>
      <c r="E40" s="202"/>
      <c r="F40" s="69">
        <f t="shared" si="6"/>
        <v>0</v>
      </c>
      <c r="G40" s="70"/>
      <c r="H40" s="71"/>
      <c r="I40" s="105">
        <f t="shared" si="1"/>
        <v>0</v>
      </c>
      <c r="K40" s="122"/>
      <c r="L40" s="83">
        <f t="shared" si="2"/>
        <v>0</v>
      </c>
      <c r="M40" s="15"/>
      <c r="N40" s="69"/>
      <c r="O40" s="202"/>
      <c r="P40" s="69">
        <f t="shared" si="7"/>
        <v>0</v>
      </c>
      <c r="Q40" s="70"/>
      <c r="R40" s="71"/>
      <c r="S40" s="105">
        <f t="shared" si="3"/>
        <v>0</v>
      </c>
      <c r="U40" s="122"/>
      <c r="V40" s="83">
        <f t="shared" si="4"/>
        <v>78</v>
      </c>
      <c r="W40" s="15"/>
      <c r="X40" s="69"/>
      <c r="Y40" s="202"/>
      <c r="Z40" s="69">
        <f t="shared" si="8"/>
        <v>0</v>
      </c>
      <c r="AA40" s="70"/>
      <c r="AB40" s="71"/>
      <c r="AC40" s="105">
        <f t="shared" si="5"/>
        <v>946.1099999999999</v>
      </c>
    </row>
    <row r="41" spans="1:29" x14ac:dyDescent="0.25">
      <c r="A41" s="122"/>
      <c r="B41" s="83">
        <f t="shared" si="0"/>
        <v>0</v>
      </c>
      <c r="C41" s="15"/>
      <c r="D41" s="69"/>
      <c r="E41" s="202"/>
      <c r="F41" s="69">
        <f t="shared" si="6"/>
        <v>0</v>
      </c>
      <c r="G41" s="70"/>
      <c r="H41" s="71"/>
      <c r="I41" s="105">
        <f t="shared" si="1"/>
        <v>0</v>
      </c>
      <c r="K41" s="122"/>
      <c r="L41" s="83">
        <f t="shared" si="2"/>
        <v>0</v>
      </c>
      <c r="M41" s="15"/>
      <c r="N41" s="69"/>
      <c r="O41" s="202"/>
      <c r="P41" s="69">
        <f t="shared" si="7"/>
        <v>0</v>
      </c>
      <c r="Q41" s="70"/>
      <c r="R41" s="71"/>
      <c r="S41" s="105">
        <f t="shared" si="3"/>
        <v>0</v>
      </c>
      <c r="U41" s="122"/>
      <c r="V41" s="83">
        <f t="shared" si="4"/>
        <v>78</v>
      </c>
      <c r="W41" s="15"/>
      <c r="X41" s="69"/>
      <c r="Y41" s="202"/>
      <c r="Z41" s="69">
        <f t="shared" si="8"/>
        <v>0</v>
      </c>
      <c r="AA41" s="70"/>
      <c r="AB41" s="71"/>
      <c r="AC41" s="105">
        <f t="shared" si="5"/>
        <v>946.1099999999999</v>
      </c>
    </row>
    <row r="42" spans="1:29" x14ac:dyDescent="0.25">
      <c r="A42" s="122"/>
      <c r="B42" s="83">
        <f t="shared" si="0"/>
        <v>0</v>
      </c>
      <c r="C42" s="15"/>
      <c r="D42" s="69"/>
      <c r="E42" s="202"/>
      <c r="F42" s="69">
        <f t="shared" si="6"/>
        <v>0</v>
      </c>
      <c r="G42" s="70"/>
      <c r="H42" s="71"/>
      <c r="I42" s="105">
        <f t="shared" si="1"/>
        <v>0</v>
      </c>
      <c r="K42" s="122"/>
      <c r="L42" s="83">
        <f t="shared" si="2"/>
        <v>0</v>
      </c>
      <c r="M42" s="15"/>
      <c r="N42" s="69"/>
      <c r="O42" s="202"/>
      <c r="P42" s="69">
        <f t="shared" si="7"/>
        <v>0</v>
      </c>
      <c r="Q42" s="70"/>
      <c r="R42" s="71"/>
      <c r="S42" s="105">
        <f t="shared" si="3"/>
        <v>0</v>
      </c>
      <c r="U42" s="122"/>
      <c r="V42" s="83">
        <f t="shared" si="4"/>
        <v>78</v>
      </c>
      <c r="W42" s="15"/>
      <c r="X42" s="69"/>
      <c r="Y42" s="202"/>
      <c r="Z42" s="69">
        <f t="shared" si="8"/>
        <v>0</v>
      </c>
      <c r="AA42" s="70"/>
      <c r="AB42" s="71"/>
      <c r="AC42" s="105">
        <f t="shared" si="5"/>
        <v>946.1099999999999</v>
      </c>
    </row>
    <row r="43" spans="1:29" x14ac:dyDescent="0.25">
      <c r="A43" s="122"/>
      <c r="B43" s="83">
        <f t="shared" si="0"/>
        <v>0</v>
      </c>
      <c r="C43" s="15"/>
      <c r="D43" s="69"/>
      <c r="E43" s="202"/>
      <c r="F43" s="69">
        <f t="shared" si="6"/>
        <v>0</v>
      </c>
      <c r="G43" s="70"/>
      <c r="H43" s="71"/>
      <c r="I43" s="105">
        <f t="shared" si="1"/>
        <v>0</v>
      </c>
      <c r="K43" s="122"/>
      <c r="L43" s="83">
        <f t="shared" si="2"/>
        <v>0</v>
      </c>
      <c r="M43" s="15"/>
      <c r="N43" s="69"/>
      <c r="O43" s="202"/>
      <c r="P43" s="69">
        <f t="shared" si="7"/>
        <v>0</v>
      </c>
      <c r="Q43" s="70"/>
      <c r="R43" s="71"/>
      <c r="S43" s="105">
        <f t="shared" si="3"/>
        <v>0</v>
      </c>
      <c r="U43" s="122"/>
      <c r="V43" s="83">
        <f t="shared" si="4"/>
        <v>78</v>
      </c>
      <c r="W43" s="15"/>
      <c r="X43" s="69"/>
      <c r="Y43" s="202"/>
      <c r="Z43" s="69">
        <f t="shared" si="8"/>
        <v>0</v>
      </c>
      <c r="AA43" s="70"/>
      <c r="AB43" s="71"/>
      <c r="AC43" s="105">
        <f t="shared" si="5"/>
        <v>946.1099999999999</v>
      </c>
    </row>
    <row r="44" spans="1:29" x14ac:dyDescent="0.25">
      <c r="A44" s="122"/>
      <c r="B44" s="83">
        <f t="shared" si="0"/>
        <v>0</v>
      </c>
      <c r="C44" s="15"/>
      <c r="D44" s="69"/>
      <c r="E44" s="202"/>
      <c r="F44" s="69">
        <f t="shared" si="6"/>
        <v>0</v>
      </c>
      <c r="G44" s="70"/>
      <c r="H44" s="71"/>
      <c r="I44" s="105">
        <f t="shared" si="1"/>
        <v>0</v>
      </c>
      <c r="K44" s="122"/>
      <c r="L44" s="83">
        <f t="shared" si="2"/>
        <v>0</v>
      </c>
      <c r="M44" s="15"/>
      <c r="N44" s="69"/>
      <c r="O44" s="202"/>
      <c r="P44" s="69">
        <f t="shared" si="7"/>
        <v>0</v>
      </c>
      <c r="Q44" s="70"/>
      <c r="R44" s="71"/>
      <c r="S44" s="105">
        <f t="shared" si="3"/>
        <v>0</v>
      </c>
      <c r="U44" s="122"/>
      <c r="V44" s="83">
        <f t="shared" si="4"/>
        <v>78</v>
      </c>
      <c r="W44" s="15"/>
      <c r="X44" s="69"/>
      <c r="Y44" s="202"/>
      <c r="Z44" s="69">
        <f t="shared" si="8"/>
        <v>0</v>
      </c>
      <c r="AA44" s="70"/>
      <c r="AB44" s="71"/>
      <c r="AC44" s="105">
        <f t="shared" si="5"/>
        <v>946.1099999999999</v>
      </c>
    </row>
    <row r="45" spans="1:29" ht="14.25" customHeight="1" x14ac:dyDescent="0.25">
      <c r="A45" s="122"/>
      <c r="B45" s="83">
        <f t="shared" si="0"/>
        <v>0</v>
      </c>
      <c r="C45" s="15"/>
      <c r="D45" s="69"/>
      <c r="E45" s="202"/>
      <c r="F45" s="69">
        <f t="shared" si="6"/>
        <v>0</v>
      </c>
      <c r="G45" s="70"/>
      <c r="H45" s="71"/>
      <c r="I45" s="105">
        <f t="shared" si="1"/>
        <v>0</v>
      </c>
      <c r="K45" s="122"/>
      <c r="L45" s="83">
        <f t="shared" si="2"/>
        <v>0</v>
      </c>
      <c r="M45" s="15"/>
      <c r="N45" s="69"/>
      <c r="O45" s="202"/>
      <c r="P45" s="69">
        <f t="shared" si="7"/>
        <v>0</v>
      </c>
      <c r="Q45" s="70"/>
      <c r="R45" s="71"/>
      <c r="S45" s="105">
        <f t="shared" si="3"/>
        <v>0</v>
      </c>
      <c r="U45" s="122"/>
      <c r="V45" s="83">
        <f t="shared" si="4"/>
        <v>78</v>
      </c>
      <c r="W45" s="15"/>
      <c r="X45" s="69"/>
      <c r="Y45" s="202"/>
      <c r="Z45" s="69">
        <f t="shared" si="8"/>
        <v>0</v>
      </c>
      <c r="AA45" s="70"/>
      <c r="AB45" s="71"/>
      <c r="AC45" s="105">
        <f t="shared" si="5"/>
        <v>946.1099999999999</v>
      </c>
    </row>
    <row r="46" spans="1:29" x14ac:dyDescent="0.25">
      <c r="A46" s="122"/>
      <c r="C46" s="15"/>
      <c r="D46" s="59"/>
      <c r="E46" s="209"/>
      <c r="F46" s="69">
        <f>D46</f>
        <v>0</v>
      </c>
      <c r="G46" s="70"/>
      <c r="H46" s="71"/>
      <c r="I46" s="105" t="e">
        <f>#REF!-F46</f>
        <v>#REF!</v>
      </c>
      <c r="K46" s="122"/>
      <c r="M46" s="15"/>
      <c r="N46" s="59"/>
      <c r="O46" s="209"/>
      <c r="P46" s="69">
        <f>N46</f>
        <v>0</v>
      </c>
      <c r="Q46" s="70"/>
      <c r="R46" s="71"/>
      <c r="S46" s="105" t="e">
        <f>#REF!-P46</f>
        <v>#REF!</v>
      </c>
      <c r="U46" s="122"/>
      <c r="W46" s="15"/>
      <c r="X46" s="59"/>
      <c r="Y46" s="209"/>
      <c r="Z46" s="69">
        <f>X46</f>
        <v>0</v>
      </c>
      <c r="AA46" s="70"/>
      <c r="AB46" s="71"/>
      <c r="AC46" s="105" t="e">
        <f>#REF!-Z46</f>
        <v>#REF!</v>
      </c>
    </row>
    <row r="47" spans="1:29" ht="15.75" thickBot="1" x14ac:dyDescent="0.3">
      <c r="A47" s="122"/>
      <c r="B47" s="16"/>
      <c r="C47" s="52"/>
      <c r="D47" s="107"/>
      <c r="E47" s="196"/>
      <c r="F47" s="103"/>
      <c r="G47" s="104"/>
      <c r="H47" s="60"/>
      <c r="K47" s="122"/>
      <c r="L47" s="16"/>
      <c r="M47" s="52"/>
      <c r="N47" s="107"/>
      <c r="O47" s="196"/>
      <c r="P47" s="103"/>
      <c r="Q47" s="104"/>
      <c r="R47" s="60"/>
      <c r="U47" s="122"/>
      <c r="V47" s="16"/>
      <c r="W47" s="52"/>
      <c r="X47" s="107"/>
      <c r="Y47" s="196"/>
      <c r="Z47" s="103"/>
      <c r="AA47" s="104"/>
      <c r="AB47" s="60"/>
    </row>
    <row r="48" spans="1:29" x14ac:dyDescent="0.25">
      <c r="C48" s="53">
        <f>SUM(C9:C47)</f>
        <v>44</v>
      </c>
      <c r="D48" s="6">
        <f>SUM(D9:D47)</f>
        <v>416.42999999999995</v>
      </c>
      <c r="F48" s="6">
        <f>SUM(F9:F47)</f>
        <v>522.79</v>
      </c>
      <c r="M48" s="53">
        <f>SUM(M9:M47)</f>
        <v>52</v>
      </c>
      <c r="N48" s="6">
        <f>SUM(N9:N47)</f>
        <v>507.12</v>
      </c>
      <c r="P48" s="6">
        <f>SUM(P9:P47)</f>
        <v>614.19000000000005</v>
      </c>
      <c r="W48" s="53">
        <f>SUM(W9:W47)</f>
        <v>15</v>
      </c>
      <c r="X48" s="6">
        <f>SUM(X9:X47)</f>
        <v>180.93</v>
      </c>
      <c r="Z48" s="6">
        <f>SUM(Z9:Z47)</f>
        <v>180.93</v>
      </c>
    </row>
    <row r="50" spans="3:26" ht="15.75" thickBot="1" x14ac:dyDescent="0.3"/>
    <row r="51" spans="3:26" ht="15.75" thickBot="1" x14ac:dyDescent="0.3">
      <c r="D51" s="45" t="s">
        <v>4</v>
      </c>
      <c r="E51" s="56">
        <f>F5+F6-C48+F7</f>
        <v>-1</v>
      </c>
      <c r="N51" s="45" t="s">
        <v>4</v>
      </c>
      <c r="O51" s="56">
        <f>P5+P6-M48+P7</f>
        <v>0</v>
      </c>
      <c r="X51" s="45" t="s">
        <v>4</v>
      </c>
      <c r="Y51" s="56">
        <f>Z5+Z6-W48+Z7</f>
        <v>69</v>
      </c>
    </row>
    <row r="52" spans="3:26" ht="15.75" thickBot="1" x14ac:dyDescent="0.3"/>
    <row r="53" spans="3:26" ht="15.75" thickBot="1" x14ac:dyDescent="0.3">
      <c r="C53" s="1388" t="s">
        <v>11</v>
      </c>
      <c r="D53" s="1389"/>
      <c r="E53" s="57">
        <f>E5+E6-F48+E7</f>
        <v>-11.809999999999945</v>
      </c>
      <c r="F53" s="73"/>
      <c r="M53" s="1388" t="s">
        <v>11</v>
      </c>
      <c r="N53" s="1389"/>
      <c r="O53" s="57">
        <f>O5+O6-P48+O7</f>
        <v>-1.1368683772161603E-13</v>
      </c>
      <c r="P53" s="73"/>
      <c r="W53" s="1388" t="s">
        <v>11</v>
      </c>
      <c r="X53" s="1389"/>
      <c r="Y53" s="57">
        <f>Y5+Y6-Z48+Y7</f>
        <v>839.04</v>
      </c>
      <c r="Z53" s="73"/>
    </row>
  </sheetData>
  <sortState ref="C9:H10">
    <sortCondition ref="C9:C10"/>
  </sortState>
  <mergeCells count="9">
    <mergeCell ref="U1:AA1"/>
    <mergeCell ref="V5:V6"/>
    <mergeCell ref="W53:X53"/>
    <mergeCell ref="A1:G1"/>
    <mergeCell ref="B5:B6"/>
    <mergeCell ref="C53:D53"/>
    <mergeCell ref="K1:Q1"/>
    <mergeCell ref="L5:L6"/>
    <mergeCell ref="M53:N5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S52"/>
  <sheetViews>
    <sheetView topLeftCell="H1" workbookViewId="0">
      <selection activeCell="Q12" sqref="Q12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</cols>
  <sheetData>
    <row r="1" spans="1:19" ht="40.5" x14ac:dyDescent="0.55000000000000004">
      <c r="A1" s="1390" t="s">
        <v>339</v>
      </c>
      <c r="B1" s="1390"/>
      <c r="C1" s="1390"/>
      <c r="D1" s="1390"/>
      <c r="E1" s="1390"/>
      <c r="F1" s="1390"/>
      <c r="G1" s="1390"/>
      <c r="H1" s="11">
        <v>1</v>
      </c>
      <c r="K1" s="1390" t="s">
        <v>339</v>
      </c>
      <c r="L1" s="1390"/>
      <c r="M1" s="1390"/>
      <c r="N1" s="1390"/>
      <c r="O1" s="1390"/>
      <c r="P1" s="1390"/>
      <c r="Q1" s="1390"/>
      <c r="R1" s="11">
        <v>1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5.75" thickTop="1" x14ac:dyDescent="0.25">
      <c r="A4" s="12"/>
      <c r="B4" s="12"/>
      <c r="C4" s="391">
        <v>85</v>
      </c>
      <c r="D4" s="711">
        <v>44894</v>
      </c>
      <c r="E4" s="1020">
        <v>248.57</v>
      </c>
      <c r="F4" s="872">
        <v>21</v>
      </c>
      <c r="G4" s="155"/>
      <c r="H4" s="155"/>
      <c r="K4" s="12"/>
      <c r="L4" s="12"/>
      <c r="M4" s="391">
        <v>90</v>
      </c>
      <c r="N4" s="711">
        <v>44930</v>
      </c>
      <c r="O4" s="1020">
        <v>482.79</v>
      </c>
      <c r="P4" s="872">
        <v>41</v>
      </c>
      <c r="Q4" s="155"/>
      <c r="R4" s="155"/>
    </row>
    <row r="5" spans="1:19" ht="15.75" customHeight="1" x14ac:dyDescent="0.25">
      <c r="A5" s="225" t="s">
        <v>62</v>
      </c>
      <c r="B5" s="1394" t="s">
        <v>72</v>
      </c>
      <c r="C5" s="588">
        <v>85</v>
      </c>
      <c r="D5" s="1018">
        <v>44897</v>
      </c>
      <c r="E5" s="843">
        <v>106.18</v>
      </c>
      <c r="F5" s="872">
        <v>9</v>
      </c>
      <c r="G5" s="5"/>
      <c r="K5" s="225" t="s">
        <v>62</v>
      </c>
      <c r="L5" s="1394" t="s">
        <v>72</v>
      </c>
      <c r="M5" s="588"/>
      <c r="N5" s="1018"/>
      <c r="O5" s="843"/>
      <c r="P5" s="872"/>
      <c r="Q5" s="5"/>
    </row>
    <row r="6" spans="1:19" x14ac:dyDescent="0.25">
      <c r="A6" s="225"/>
      <c r="B6" s="1394"/>
      <c r="C6" s="391">
        <v>85</v>
      </c>
      <c r="D6" s="711">
        <v>44911</v>
      </c>
      <c r="E6" s="1019">
        <v>508.54</v>
      </c>
      <c r="F6" s="872">
        <v>43</v>
      </c>
      <c r="G6" s="47">
        <f>F42</f>
        <v>863.29</v>
      </c>
      <c r="H6" s="7">
        <f>E6-G6+E7+E5-G5+E4</f>
        <v>0</v>
      </c>
      <c r="K6" s="225"/>
      <c r="L6" s="1394"/>
      <c r="M6" s="391"/>
      <c r="N6" s="711"/>
      <c r="O6" s="1019"/>
      <c r="P6" s="872"/>
      <c r="Q6" s="47">
        <f>P42</f>
        <v>353.29999999999995</v>
      </c>
      <c r="R6" s="7">
        <f>O6-Q6+O7+O5-Q5+O4</f>
        <v>129.49000000000007</v>
      </c>
    </row>
    <row r="7" spans="1:19" ht="15.75" thickBot="1" x14ac:dyDescent="0.3">
      <c r="B7" s="19"/>
      <c r="C7" s="391"/>
      <c r="D7" s="711"/>
      <c r="E7" s="1020"/>
      <c r="F7" s="872"/>
      <c r="L7" s="19"/>
      <c r="M7" s="391"/>
      <c r="N7" s="711"/>
      <c r="O7" s="1020"/>
      <c r="P7" s="872"/>
    </row>
    <row r="8" spans="1:1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/>
      <c r="R8" s="24"/>
    </row>
    <row r="9" spans="1:19" ht="15.75" thickTop="1" x14ac:dyDescent="0.25">
      <c r="A9" s="80" t="s">
        <v>32</v>
      </c>
      <c r="B9" s="886">
        <f>F6-C9+F5+F7+F4</f>
        <v>63</v>
      </c>
      <c r="C9" s="811">
        <v>10</v>
      </c>
      <c r="D9" s="697">
        <v>117.59</v>
      </c>
      <c r="E9" s="727">
        <v>44894</v>
      </c>
      <c r="F9" s="697">
        <f t="shared" ref="F9:F40" si="0">D9</f>
        <v>117.59</v>
      </c>
      <c r="G9" s="695" t="s">
        <v>574</v>
      </c>
      <c r="H9" s="696">
        <v>90</v>
      </c>
      <c r="I9" s="731">
        <f>E6-F9+E5+E7+E4</f>
        <v>745.7</v>
      </c>
      <c r="K9" s="80" t="s">
        <v>32</v>
      </c>
      <c r="L9" s="886">
        <f>P6-M9+P5+P7+P4</f>
        <v>29</v>
      </c>
      <c r="M9" s="709">
        <v>12</v>
      </c>
      <c r="N9" s="697">
        <v>144.46</v>
      </c>
      <c r="O9" s="727">
        <v>44930</v>
      </c>
      <c r="P9" s="697">
        <f t="shared" ref="P9" si="1">N9</f>
        <v>144.46</v>
      </c>
      <c r="Q9" s="695" t="s">
        <v>876</v>
      </c>
      <c r="R9" s="696">
        <v>90</v>
      </c>
      <c r="S9" s="731">
        <f>O6-P9+O5+O7+O4</f>
        <v>338.33000000000004</v>
      </c>
    </row>
    <row r="10" spans="1:19" x14ac:dyDescent="0.25">
      <c r="A10" s="194"/>
      <c r="B10" s="886">
        <f>B9-C10</f>
        <v>53</v>
      </c>
      <c r="C10" s="709">
        <v>10</v>
      </c>
      <c r="D10" s="697">
        <v>119.28</v>
      </c>
      <c r="E10" s="727">
        <v>44896</v>
      </c>
      <c r="F10" s="697">
        <f t="shared" si="0"/>
        <v>119.28</v>
      </c>
      <c r="G10" s="695" t="s">
        <v>593</v>
      </c>
      <c r="H10" s="696">
        <v>90</v>
      </c>
      <c r="I10" s="731">
        <f>I9-F10</f>
        <v>626.42000000000007</v>
      </c>
      <c r="K10" s="194"/>
      <c r="L10" s="886">
        <f>L9-M10</f>
        <v>17</v>
      </c>
      <c r="M10" s="709">
        <v>12</v>
      </c>
      <c r="N10" s="697">
        <v>139.57</v>
      </c>
      <c r="O10" s="727">
        <v>44932</v>
      </c>
      <c r="P10" s="697">
        <f t="shared" ref="P10:P40" si="2">N10</f>
        <v>139.57</v>
      </c>
      <c r="Q10" s="695" t="s">
        <v>902</v>
      </c>
      <c r="R10" s="696">
        <v>90</v>
      </c>
      <c r="S10" s="731">
        <f>S9-P10</f>
        <v>198.76000000000005</v>
      </c>
    </row>
    <row r="11" spans="1:19" x14ac:dyDescent="0.25">
      <c r="A11" s="182"/>
      <c r="B11" s="886">
        <f t="shared" ref="B11:B40" si="3">B10-C11</f>
        <v>44</v>
      </c>
      <c r="C11" s="709">
        <v>9</v>
      </c>
      <c r="D11" s="697">
        <v>106.18</v>
      </c>
      <c r="E11" s="727">
        <v>44897</v>
      </c>
      <c r="F11" s="697">
        <f t="shared" si="0"/>
        <v>106.18</v>
      </c>
      <c r="G11" s="695" t="s">
        <v>597</v>
      </c>
      <c r="H11" s="696">
        <v>90</v>
      </c>
      <c r="I11" s="731">
        <f t="shared" ref="I11:I40" si="4">I10-F11</f>
        <v>520.24</v>
      </c>
      <c r="K11" s="182"/>
      <c r="L11" s="886">
        <f t="shared" ref="L11:L40" si="5">L10-M11</f>
        <v>11</v>
      </c>
      <c r="M11" s="709">
        <v>6</v>
      </c>
      <c r="N11" s="697">
        <v>69.27</v>
      </c>
      <c r="O11" s="727">
        <v>44933</v>
      </c>
      <c r="P11" s="697">
        <f t="shared" si="2"/>
        <v>69.27</v>
      </c>
      <c r="Q11" s="695" t="s">
        <v>910</v>
      </c>
      <c r="R11" s="696">
        <v>90</v>
      </c>
      <c r="S11" s="731">
        <f t="shared" ref="S11:S40" si="6">S10-P11</f>
        <v>129.49000000000007</v>
      </c>
    </row>
    <row r="12" spans="1:19" x14ac:dyDescent="0.25">
      <c r="A12" s="182"/>
      <c r="B12" s="886">
        <f t="shared" si="3"/>
        <v>43</v>
      </c>
      <c r="C12" s="709">
        <v>1</v>
      </c>
      <c r="D12" s="697">
        <v>11.7</v>
      </c>
      <c r="E12" s="727">
        <v>44905</v>
      </c>
      <c r="F12" s="697">
        <f t="shared" si="0"/>
        <v>11.7</v>
      </c>
      <c r="G12" s="695" t="s">
        <v>676</v>
      </c>
      <c r="H12" s="696">
        <v>90</v>
      </c>
      <c r="I12" s="731">
        <f t="shared" si="4"/>
        <v>508.54</v>
      </c>
      <c r="K12" s="182"/>
      <c r="L12" s="886">
        <f t="shared" si="5"/>
        <v>11</v>
      </c>
      <c r="M12" s="709"/>
      <c r="N12" s="697"/>
      <c r="O12" s="727"/>
      <c r="P12" s="697">
        <f t="shared" si="2"/>
        <v>0</v>
      </c>
      <c r="Q12" s="695"/>
      <c r="R12" s="696"/>
      <c r="S12" s="731">
        <f t="shared" si="6"/>
        <v>129.49000000000007</v>
      </c>
    </row>
    <row r="13" spans="1:19" x14ac:dyDescent="0.25">
      <c r="A13" s="82" t="s">
        <v>33</v>
      </c>
      <c r="B13" s="886">
        <f t="shared" si="3"/>
        <v>33</v>
      </c>
      <c r="C13" s="709">
        <v>10</v>
      </c>
      <c r="D13" s="697">
        <v>119.37</v>
      </c>
      <c r="E13" s="727">
        <v>44911</v>
      </c>
      <c r="F13" s="697">
        <f t="shared" si="0"/>
        <v>119.37</v>
      </c>
      <c r="G13" s="695" t="s">
        <v>735</v>
      </c>
      <c r="H13" s="696">
        <v>90</v>
      </c>
      <c r="I13" s="731">
        <f t="shared" si="4"/>
        <v>389.17</v>
      </c>
      <c r="K13" s="82" t="s">
        <v>33</v>
      </c>
      <c r="L13" s="886">
        <f t="shared" si="5"/>
        <v>11</v>
      </c>
      <c r="M13" s="709"/>
      <c r="N13" s="697"/>
      <c r="O13" s="727"/>
      <c r="P13" s="697">
        <f t="shared" si="2"/>
        <v>0</v>
      </c>
      <c r="Q13" s="695"/>
      <c r="R13" s="696"/>
      <c r="S13" s="731">
        <f t="shared" si="6"/>
        <v>129.49000000000007</v>
      </c>
    </row>
    <row r="14" spans="1:19" x14ac:dyDescent="0.25">
      <c r="A14" s="73"/>
      <c r="B14" s="886">
        <f t="shared" si="3"/>
        <v>13</v>
      </c>
      <c r="C14" s="709">
        <v>20</v>
      </c>
      <c r="D14" s="697">
        <v>235.09</v>
      </c>
      <c r="E14" s="727">
        <v>44915</v>
      </c>
      <c r="F14" s="697">
        <f t="shared" si="0"/>
        <v>235.09</v>
      </c>
      <c r="G14" s="695" t="s">
        <v>763</v>
      </c>
      <c r="H14" s="696">
        <v>90</v>
      </c>
      <c r="I14" s="731">
        <f t="shared" si="4"/>
        <v>154.08000000000001</v>
      </c>
      <c r="K14" s="73"/>
      <c r="L14" s="886">
        <f t="shared" si="5"/>
        <v>11</v>
      </c>
      <c r="M14" s="709"/>
      <c r="N14" s="697"/>
      <c r="O14" s="727"/>
      <c r="P14" s="697">
        <f t="shared" si="2"/>
        <v>0</v>
      </c>
      <c r="Q14" s="695"/>
      <c r="R14" s="696"/>
      <c r="S14" s="731">
        <f t="shared" si="6"/>
        <v>129.49000000000007</v>
      </c>
    </row>
    <row r="15" spans="1:19" x14ac:dyDescent="0.25">
      <c r="A15" s="73"/>
      <c r="B15" s="886">
        <f t="shared" si="3"/>
        <v>1</v>
      </c>
      <c r="C15" s="709">
        <v>12</v>
      </c>
      <c r="D15" s="697">
        <v>142.27000000000001</v>
      </c>
      <c r="E15" s="727">
        <v>44924</v>
      </c>
      <c r="F15" s="697">
        <f t="shared" si="0"/>
        <v>142.27000000000001</v>
      </c>
      <c r="G15" s="695" t="s">
        <v>849</v>
      </c>
      <c r="H15" s="696">
        <v>90</v>
      </c>
      <c r="I15" s="731">
        <f t="shared" si="4"/>
        <v>11.810000000000002</v>
      </c>
      <c r="K15" s="73"/>
      <c r="L15" s="886">
        <f t="shared" si="5"/>
        <v>11</v>
      </c>
      <c r="M15" s="709"/>
      <c r="N15" s="697"/>
      <c r="O15" s="727"/>
      <c r="P15" s="697">
        <f t="shared" si="2"/>
        <v>0</v>
      </c>
      <c r="Q15" s="695"/>
      <c r="R15" s="696"/>
      <c r="S15" s="731">
        <f t="shared" si="6"/>
        <v>129.49000000000007</v>
      </c>
    </row>
    <row r="16" spans="1:19" x14ac:dyDescent="0.25">
      <c r="B16" s="886">
        <f t="shared" si="3"/>
        <v>0</v>
      </c>
      <c r="C16" s="709">
        <v>1</v>
      </c>
      <c r="D16" s="697">
        <v>11.81</v>
      </c>
      <c r="E16" s="727">
        <v>44924</v>
      </c>
      <c r="F16" s="697">
        <f t="shared" si="0"/>
        <v>11.81</v>
      </c>
      <c r="G16" s="695" t="s">
        <v>849</v>
      </c>
      <c r="H16" s="696">
        <v>90</v>
      </c>
      <c r="I16" s="731">
        <f t="shared" si="4"/>
        <v>0</v>
      </c>
      <c r="L16" s="886">
        <f t="shared" si="5"/>
        <v>11</v>
      </c>
      <c r="M16" s="709"/>
      <c r="N16" s="697"/>
      <c r="O16" s="727"/>
      <c r="P16" s="697">
        <f t="shared" si="2"/>
        <v>0</v>
      </c>
      <c r="Q16" s="695"/>
      <c r="R16" s="696"/>
      <c r="S16" s="731">
        <f t="shared" si="6"/>
        <v>129.49000000000007</v>
      </c>
    </row>
    <row r="17" spans="1:19" x14ac:dyDescent="0.25">
      <c r="B17" s="886">
        <f t="shared" si="3"/>
        <v>0</v>
      </c>
      <c r="C17" s="709"/>
      <c r="D17" s="697"/>
      <c r="E17" s="727"/>
      <c r="F17" s="1165">
        <f t="shared" si="0"/>
        <v>0</v>
      </c>
      <c r="G17" s="1166"/>
      <c r="H17" s="1167"/>
      <c r="I17" s="1163">
        <f t="shared" si="4"/>
        <v>0</v>
      </c>
      <c r="L17" s="886">
        <f t="shared" si="5"/>
        <v>11</v>
      </c>
      <c r="M17" s="709"/>
      <c r="N17" s="697"/>
      <c r="O17" s="727"/>
      <c r="P17" s="697">
        <f t="shared" si="2"/>
        <v>0</v>
      </c>
      <c r="Q17" s="695"/>
      <c r="R17" s="696"/>
      <c r="S17" s="731">
        <f t="shared" si="6"/>
        <v>129.49000000000007</v>
      </c>
    </row>
    <row r="18" spans="1:19" x14ac:dyDescent="0.25">
      <c r="A18" s="122"/>
      <c r="B18" s="886">
        <f t="shared" si="3"/>
        <v>0</v>
      </c>
      <c r="C18" s="709"/>
      <c r="D18" s="697"/>
      <c r="E18" s="727"/>
      <c r="F18" s="1165">
        <f t="shared" si="0"/>
        <v>0</v>
      </c>
      <c r="G18" s="1166"/>
      <c r="H18" s="1167"/>
      <c r="I18" s="1163">
        <f t="shared" si="4"/>
        <v>0</v>
      </c>
      <c r="K18" s="122"/>
      <c r="L18" s="886">
        <f t="shared" si="5"/>
        <v>11</v>
      </c>
      <c r="M18" s="709"/>
      <c r="N18" s="697"/>
      <c r="O18" s="727"/>
      <c r="P18" s="697">
        <f t="shared" si="2"/>
        <v>0</v>
      </c>
      <c r="Q18" s="695"/>
      <c r="R18" s="696"/>
      <c r="S18" s="731">
        <f t="shared" si="6"/>
        <v>129.49000000000007</v>
      </c>
    </row>
    <row r="19" spans="1:19" x14ac:dyDescent="0.25">
      <c r="A19" s="122"/>
      <c r="B19" s="83">
        <f t="shared" si="3"/>
        <v>0</v>
      </c>
      <c r="C19" s="15"/>
      <c r="D19" s="69"/>
      <c r="E19" s="202"/>
      <c r="F19" s="1165">
        <f t="shared" si="0"/>
        <v>0</v>
      </c>
      <c r="G19" s="1166"/>
      <c r="H19" s="1167"/>
      <c r="I19" s="1163">
        <f t="shared" si="4"/>
        <v>0</v>
      </c>
      <c r="K19" s="122"/>
      <c r="L19" s="83">
        <f t="shared" si="5"/>
        <v>11</v>
      </c>
      <c r="M19" s="15"/>
      <c r="N19" s="69"/>
      <c r="O19" s="202"/>
      <c r="P19" s="69">
        <f t="shared" si="2"/>
        <v>0</v>
      </c>
      <c r="Q19" s="70"/>
      <c r="R19" s="71"/>
      <c r="S19" s="105">
        <f t="shared" si="6"/>
        <v>129.49000000000007</v>
      </c>
    </row>
    <row r="20" spans="1:19" x14ac:dyDescent="0.25">
      <c r="A20" s="122"/>
      <c r="B20" s="83">
        <f t="shared" si="3"/>
        <v>0</v>
      </c>
      <c r="C20" s="15"/>
      <c r="D20" s="69"/>
      <c r="E20" s="202"/>
      <c r="F20" s="69">
        <f t="shared" si="0"/>
        <v>0</v>
      </c>
      <c r="G20" s="70"/>
      <c r="H20" s="71"/>
      <c r="I20" s="105">
        <f t="shared" si="4"/>
        <v>0</v>
      </c>
      <c r="K20" s="122"/>
      <c r="L20" s="83">
        <f t="shared" si="5"/>
        <v>11</v>
      </c>
      <c r="M20" s="15"/>
      <c r="N20" s="69"/>
      <c r="O20" s="202"/>
      <c r="P20" s="69">
        <f t="shared" si="2"/>
        <v>0</v>
      </c>
      <c r="Q20" s="70"/>
      <c r="R20" s="71"/>
      <c r="S20" s="105">
        <f t="shared" si="6"/>
        <v>129.49000000000007</v>
      </c>
    </row>
    <row r="21" spans="1:19" x14ac:dyDescent="0.25">
      <c r="A21" s="122"/>
      <c r="B21" s="83">
        <f t="shared" si="3"/>
        <v>0</v>
      </c>
      <c r="C21" s="15"/>
      <c r="D21" s="69"/>
      <c r="E21" s="202"/>
      <c r="F21" s="69">
        <f t="shared" si="0"/>
        <v>0</v>
      </c>
      <c r="G21" s="70"/>
      <c r="H21" s="71"/>
      <c r="I21" s="105">
        <f t="shared" si="4"/>
        <v>0</v>
      </c>
      <c r="K21" s="122"/>
      <c r="L21" s="83">
        <f t="shared" si="5"/>
        <v>11</v>
      </c>
      <c r="M21" s="15"/>
      <c r="N21" s="69"/>
      <c r="O21" s="202"/>
      <c r="P21" s="69">
        <f t="shared" si="2"/>
        <v>0</v>
      </c>
      <c r="Q21" s="70"/>
      <c r="R21" s="71"/>
      <c r="S21" s="105">
        <f t="shared" si="6"/>
        <v>129.49000000000007</v>
      </c>
    </row>
    <row r="22" spans="1:19" x14ac:dyDescent="0.25">
      <c r="A22" s="122"/>
      <c r="B22" s="232">
        <f t="shared" si="3"/>
        <v>0</v>
      </c>
      <c r="C22" s="15"/>
      <c r="D22" s="69"/>
      <c r="E22" s="202"/>
      <c r="F22" s="69">
        <f t="shared" si="0"/>
        <v>0</v>
      </c>
      <c r="G22" s="70"/>
      <c r="H22" s="71"/>
      <c r="I22" s="105">
        <f t="shared" si="4"/>
        <v>0</v>
      </c>
      <c r="K22" s="122"/>
      <c r="L22" s="232">
        <f t="shared" si="5"/>
        <v>11</v>
      </c>
      <c r="M22" s="15"/>
      <c r="N22" s="69"/>
      <c r="O22" s="202"/>
      <c r="P22" s="69">
        <f t="shared" si="2"/>
        <v>0</v>
      </c>
      <c r="Q22" s="70"/>
      <c r="R22" s="71"/>
      <c r="S22" s="105">
        <f t="shared" si="6"/>
        <v>129.49000000000007</v>
      </c>
    </row>
    <row r="23" spans="1:19" x14ac:dyDescent="0.25">
      <c r="A23" s="123"/>
      <c r="B23" s="232">
        <f t="shared" si="3"/>
        <v>0</v>
      </c>
      <c r="C23" s="15"/>
      <c r="D23" s="69"/>
      <c r="E23" s="202"/>
      <c r="F23" s="69">
        <f t="shared" si="0"/>
        <v>0</v>
      </c>
      <c r="G23" s="70"/>
      <c r="H23" s="71"/>
      <c r="I23" s="105">
        <f t="shared" si="4"/>
        <v>0</v>
      </c>
      <c r="K23" s="123"/>
      <c r="L23" s="232">
        <f t="shared" si="5"/>
        <v>11</v>
      </c>
      <c r="M23" s="15"/>
      <c r="N23" s="69"/>
      <c r="O23" s="202"/>
      <c r="P23" s="69">
        <f t="shared" si="2"/>
        <v>0</v>
      </c>
      <c r="Q23" s="70"/>
      <c r="R23" s="71"/>
      <c r="S23" s="105">
        <f t="shared" si="6"/>
        <v>129.49000000000007</v>
      </c>
    </row>
    <row r="24" spans="1:19" x14ac:dyDescent="0.25">
      <c r="A24" s="122"/>
      <c r="B24" s="232">
        <f t="shared" si="3"/>
        <v>0</v>
      </c>
      <c r="C24" s="15"/>
      <c r="D24" s="69"/>
      <c r="E24" s="202"/>
      <c r="F24" s="69">
        <f t="shared" si="0"/>
        <v>0</v>
      </c>
      <c r="G24" s="70"/>
      <c r="H24" s="71"/>
      <c r="I24" s="105">
        <f t="shared" si="4"/>
        <v>0</v>
      </c>
      <c r="K24" s="122"/>
      <c r="L24" s="232">
        <f t="shared" si="5"/>
        <v>11</v>
      </c>
      <c r="M24" s="15"/>
      <c r="N24" s="69"/>
      <c r="O24" s="202"/>
      <c r="P24" s="69">
        <f t="shared" si="2"/>
        <v>0</v>
      </c>
      <c r="Q24" s="70"/>
      <c r="R24" s="71"/>
      <c r="S24" s="105">
        <f t="shared" si="6"/>
        <v>129.49000000000007</v>
      </c>
    </row>
    <row r="25" spans="1:19" x14ac:dyDescent="0.25">
      <c r="A25" s="122"/>
      <c r="B25" s="232">
        <f t="shared" si="3"/>
        <v>0</v>
      </c>
      <c r="C25" s="15"/>
      <c r="D25" s="69"/>
      <c r="E25" s="202"/>
      <c r="F25" s="69">
        <f t="shared" si="0"/>
        <v>0</v>
      </c>
      <c r="G25" s="70"/>
      <c r="H25" s="71"/>
      <c r="I25" s="105">
        <f t="shared" si="4"/>
        <v>0</v>
      </c>
      <c r="K25" s="122"/>
      <c r="L25" s="232">
        <f t="shared" si="5"/>
        <v>11</v>
      </c>
      <c r="M25" s="15"/>
      <c r="N25" s="69"/>
      <c r="O25" s="202"/>
      <c r="P25" s="69">
        <f t="shared" si="2"/>
        <v>0</v>
      </c>
      <c r="Q25" s="70"/>
      <c r="R25" s="71"/>
      <c r="S25" s="105">
        <f t="shared" si="6"/>
        <v>129.49000000000007</v>
      </c>
    </row>
    <row r="26" spans="1:19" x14ac:dyDescent="0.25">
      <c r="A26" s="122"/>
      <c r="B26" s="182">
        <f t="shared" si="3"/>
        <v>0</v>
      </c>
      <c r="C26" s="15"/>
      <c r="D26" s="69"/>
      <c r="E26" s="202"/>
      <c r="F26" s="69">
        <f t="shared" si="0"/>
        <v>0</v>
      </c>
      <c r="G26" s="70"/>
      <c r="H26" s="71"/>
      <c r="I26" s="105">
        <f t="shared" si="4"/>
        <v>0</v>
      </c>
      <c r="K26" s="122"/>
      <c r="L26" s="182">
        <f t="shared" si="5"/>
        <v>11</v>
      </c>
      <c r="M26" s="15"/>
      <c r="N26" s="69"/>
      <c r="O26" s="202"/>
      <c r="P26" s="69">
        <f t="shared" si="2"/>
        <v>0</v>
      </c>
      <c r="Q26" s="70"/>
      <c r="R26" s="71"/>
      <c r="S26" s="105">
        <f t="shared" si="6"/>
        <v>129.49000000000007</v>
      </c>
    </row>
    <row r="27" spans="1:19" x14ac:dyDescent="0.25">
      <c r="A27" s="122"/>
      <c r="B27" s="232">
        <f t="shared" si="3"/>
        <v>0</v>
      </c>
      <c r="C27" s="15"/>
      <c r="D27" s="69"/>
      <c r="E27" s="202"/>
      <c r="F27" s="69">
        <f t="shared" si="0"/>
        <v>0</v>
      </c>
      <c r="G27" s="70"/>
      <c r="H27" s="71"/>
      <c r="I27" s="105">
        <f t="shared" si="4"/>
        <v>0</v>
      </c>
      <c r="K27" s="122"/>
      <c r="L27" s="232">
        <f t="shared" si="5"/>
        <v>11</v>
      </c>
      <c r="M27" s="15"/>
      <c r="N27" s="69"/>
      <c r="O27" s="202"/>
      <c r="P27" s="69">
        <f t="shared" si="2"/>
        <v>0</v>
      </c>
      <c r="Q27" s="70"/>
      <c r="R27" s="71"/>
      <c r="S27" s="105">
        <f t="shared" si="6"/>
        <v>129.49000000000007</v>
      </c>
    </row>
    <row r="28" spans="1:19" x14ac:dyDescent="0.25">
      <c r="A28" s="122"/>
      <c r="B28" s="182">
        <f t="shared" si="3"/>
        <v>0</v>
      </c>
      <c r="C28" s="15"/>
      <c r="D28" s="69"/>
      <c r="E28" s="202"/>
      <c r="F28" s="69">
        <f t="shared" si="0"/>
        <v>0</v>
      </c>
      <c r="G28" s="70"/>
      <c r="H28" s="71"/>
      <c r="I28" s="105">
        <f t="shared" si="4"/>
        <v>0</v>
      </c>
      <c r="K28" s="122"/>
      <c r="L28" s="182">
        <f t="shared" si="5"/>
        <v>11</v>
      </c>
      <c r="M28" s="15"/>
      <c r="N28" s="69"/>
      <c r="O28" s="202"/>
      <c r="P28" s="69">
        <f t="shared" si="2"/>
        <v>0</v>
      </c>
      <c r="Q28" s="70"/>
      <c r="R28" s="71"/>
      <c r="S28" s="105">
        <f t="shared" si="6"/>
        <v>129.49000000000007</v>
      </c>
    </row>
    <row r="29" spans="1:19" x14ac:dyDescent="0.25">
      <c r="A29" s="122"/>
      <c r="B29" s="232">
        <f t="shared" si="3"/>
        <v>0</v>
      </c>
      <c r="C29" s="15"/>
      <c r="D29" s="69"/>
      <c r="E29" s="202"/>
      <c r="F29" s="69">
        <f t="shared" si="0"/>
        <v>0</v>
      </c>
      <c r="G29" s="70"/>
      <c r="H29" s="71"/>
      <c r="I29" s="105">
        <f t="shared" si="4"/>
        <v>0</v>
      </c>
      <c r="K29" s="122"/>
      <c r="L29" s="232">
        <f t="shared" si="5"/>
        <v>11</v>
      </c>
      <c r="M29" s="15"/>
      <c r="N29" s="69"/>
      <c r="O29" s="202"/>
      <c r="P29" s="69">
        <f t="shared" si="2"/>
        <v>0</v>
      </c>
      <c r="Q29" s="70"/>
      <c r="R29" s="71"/>
      <c r="S29" s="105">
        <f t="shared" si="6"/>
        <v>129.49000000000007</v>
      </c>
    </row>
    <row r="30" spans="1:19" x14ac:dyDescent="0.25">
      <c r="A30" s="122"/>
      <c r="B30" s="232">
        <f t="shared" si="3"/>
        <v>0</v>
      </c>
      <c r="C30" s="15"/>
      <c r="D30" s="69"/>
      <c r="E30" s="202"/>
      <c r="F30" s="69">
        <f t="shared" si="0"/>
        <v>0</v>
      </c>
      <c r="G30" s="70"/>
      <c r="H30" s="71"/>
      <c r="I30" s="105">
        <f t="shared" si="4"/>
        <v>0</v>
      </c>
      <c r="K30" s="122"/>
      <c r="L30" s="232">
        <f t="shared" si="5"/>
        <v>11</v>
      </c>
      <c r="M30" s="15"/>
      <c r="N30" s="69"/>
      <c r="O30" s="202"/>
      <c r="P30" s="69">
        <f t="shared" si="2"/>
        <v>0</v>
      </c>
      <c r="Q30" s="70"/>
      <c r="R30" s="71"/>
      <c r="S30" s="105">
        <f t="shared" si="6"/>
        <v>129.49000000000007</v>
      </c>
    </row>
    <row r="31" spans="1:19" x14ac:dyDescent="0.25">
      <c r="A31" s="122"/>
      <c r="B31" s="232">
        <f t="shared" si="3"/>
        <v>0</v>
      </c>
      <c r="C31" s="15"/>
      <c r="D31" s="69"/>
      <c r="E31" s="202"/>
      <c r="F31" s="69">
        <f t="shared" si="0"/>
        <v>0</v>
      </c>
      <c r="G31" s="70"/>
      <c r="H31" s="71"/>
      <c r="I31" s="105">
        <f t="shared" si="4"/>
        <v>0</v>
      </c>
      <c r="K31" s="122"/>
      <c r="L31" s="232">
        <f t="shared" si="5"/>
        <v>11</v>
      </c>
      <c r="M31" s="15"/>
      <c r="N31" s="69"/>
      <c r="O31" s="202"/>
      <c r="P31" s="69">
        <f t="shared" si="2"/>
        <v>0</v>
      </c>
      <c r="Q31" s="70"/>
      <c r="R31" s="71"/>
      <c r="S31" s="105">
        <f t="shared" si="6"/>
        <v>129.49000000000007</v>
      </c>
    </row>
    <row r="32" spans="1:19" x14ac:dyDescent="0.25">
      <c r="A32" s="122"/>
      <c r="B32" s="232">
        <f t="shared" si="3"/>
        <v>0</v>
      </c>
      <c r="C32" s="15"/>
      <c r="D32" s="69"/>
      <c r="E32" s="202"/>
      <c r="F32" s="69">
        <f t="shared" si="0"/>
        <v>0</v>
      </c>
      <c r="G32" s="70"/>
      <c r="H32" s="71"/>
      <c r="I32" s="105">
        <f t="shared" si="4"/>
        <v>0</v>
      </c>
      <c r="K32" s="122"/>
      <c r="L32" s="232">
        <f t="shared" si="5"/>
        <v>11</v>
      </c>
      <c r="M32" s="15"/>
      <c r="N32" s="69"/>
      <c r="O32" s="202"/>
      <c r="P32" s="69">
        <f t="shared" si="2"/>
        <v>0</v>
      </c>
      <c r="Q32" s="70"/>
      <c r="R32" s="71"/>
      <c r="S32" s="105">
        <f t="shared" si="6"/>
        <v>129.49000000000007</v>
      </c>
    </row>
    <row r="33" spans="1:19" x14ac:dyDescent="0.25">
      <c r="A33" s="122"/>
      <c r="B33" s="232">
        <f t="shared" si="3"/>
        <v>0</v>
      </c>
      <c r="C33" s="15"/>
      <c r="D33" s="69"/>
      <c r="E33" s="202"/>
      <c r="F33" s="69">
        <f t="shared" si="0"/>
        <v>0</v>
      </c>
      <c r="G33" s="70"/>
      <c r="H33" s="71"/>
      <c r="I33" s="105">
        <f t="shared" si="4"/>
        <v>0</v>
      </c>
      <c r="K33" s="122"/>
      <c r="L33" s="232">
        <f t="shared" si="5"/>
        <v>11</v>
      </c>
      <c r="M33" s="15"/>
      <c r="N33" s="69"/>
      <c r="O33" s="202"/>
      <c r="P33" s="69">
        <f t="shared" si="2"/>
        <v>0</v>
      </c>
      <c r="Q33" s="70"/>
      <c r="R33" s="71"/>
      <c r="S33" s="105">
        <f t="shared" si="6"/>
        <v>129.49000000000007</v>
      </c>
    </row>
    <row r="34" spans="1:19" x14ac:dyDescent="0.25">
      <c r="A34" s="122"/>
      <c r="B34" s="232">
        <f t="shared" si="3"/>
        <v>0</v>
      </c>
      <c r="C34" s="15"/>
      <c r="D34" s="69"/>
      <c r="E34" s="202"/>
      <c r="F34" s="69">
        <f t="shared" si="0"/>
        <v>0</v>
      </c>
      <c r="G34" s="70"/>
      <c r="H34" s="71"/>
      <c r="I34" s="105">
        <f t="shared" si="4"/>
        <v>0</v>
      </c>
      <c r="K34" s="122"/>
      <c r="L34" s="232">
        <f t="shared" si="5"/>
        <v>11</v>
      </c>
      <c r="M34" s="15"/>
      <c r="N34" s="69"/>
      <c r="O34" s="202"/>
      <c r="P34" s="69">
        <f t="shared" si="2"/>
        <v>0</v>
      </c>
      <c r="Q34" s="70"/>
      <c r="R34" s="71"/>
      <c r="S34" s="105">
        <f t="shared" si="6"/>
        <v>129.49000000000007</v>
      </c>
    </row>
    <row r="35" spans="1:19" x14ac:dyDescent="0.25">
      <c r="A35" s="122"/>
      <c r="B35" s="232">
        <f t="shared" si="3"/>
        <v>0</v>
      </c>
      <c r="C35" s="15"/>
      <c r="D35" s="69"/>
      <c r="E35" s="202"/>
      <c r="F35" s="69">
        <f t="shared" si="0"/>
        <v>0</v>
      </c>
      <c r="G35" s="70"/>
      <c r="H35" s="71"/>
      <c r="I35" s="105">
        <f t="shared" si="4"/>
        <v>0</v>
      </c>
      <c r="K35" s="122"/>
      <c r="L35" s="232">
        <f t="shared" si="5"/>
        <v>11</v>
      </c>
      <c r="M35" s="15"/>
      <c r="N35" s="69"/>
      <c r="O35" s="202"/>
      <c r="P35" s="69">
        <f t="shared" si="2"/>
        <v>0</v>
      </c>
      <c r="Q35" s="70"/>
      <c r="R35" s="71"/>
      <c r="S35" s="105">
        <f t="shared" si="6"/>
        <v>129.49000000000007</v>
      </c>
    </row>
    <row r="36" spans="1:19" x14ac:dyDescent="0.25">
      <c r="A36" s="122" t="s">
        <v>22</v>
      </c>
      <c r="B36" s="232">
        <f t="shared" si="3"/>
        <v>0</v>
      </c>
      <c r="C36" s="15"/>
      <c r="D36" s="69"/>
      <c r="E36" s="202"/>
      <c r="F36" s="69">
        <f t="shared" si="0"/>
        <v>0</v>
      </c>
      <c r="G36" s="70"/>
      <c r="H36" s="71"/>
      <c r="I36" s="105">
        <f t="shared" si="4"/>
        <v>0</v>
      </c>
      <c r="K36" s="122" t="s">
        <v>22</v>
      </c>
      <c r="L36" s="232">
        <f t="shared" si="5"/>
        <v>11</v>
      </c>
      <c r="M36" s="15"/>
      <c r="N36" s="69"/>
      <c r="O36" s="202"/>
      <c r="P36" s="69">
        <f t="shared" si="2"/>
        <v>0</v>
      </c>
      <c r="Q36" s="70"/>
      <c r="R36" s="71"/>
      <c r="S36" s="105">
        <f t="shared" si="6"/>
        <v>129.49000000000007</v>
      </c>
    </row>
    <row r="37" spans="1:19" x14ac:dyDescent="0.25">
      <c r="A37" s="123"/>
      <c r="B37" s="232">
        <f t="shared" si="3"/>
        <v>0</v>
      </c>
      <c r="C37" s="15"/>
      <c r="D37" s="69"/>
      <c r="E37" s="202"/>
      <c r="F37" s="69">
        <f t="shared" si="0"/>
        <v>0</v>
      </c>
      <c r="G37" s="70"/>
      <c r="H37" s="71"/>
      <c r="I37" s="105">
        <f t="shared" si="4"/>
        <v>0</v>
      </c>
      <c r="K37" s="123"/>
      <c r="L37" s="232">
        <f t="shared" si="5"/>
        <v>11</v>
      </c>
      <c r="M37" s="15"/>
      <c r="N37" s="69"/>
      <c r="O37" s="202"/>
      <c r="P37" s="69">
        <f t="shared" si="2"/>
        <v>0</v>
      </c>
      <c r="Q37" s="70"/>
      <c r="R37" s="71"/>
      <c r="S37" s="105">
        <f t="shared" si="6"/>
        <v>129.49000000000007</v>
      </c>
    </row>
    <row r="38" spans="1:19" x14ac:dyDescent="0.25">
      <c r="A38" s="122"/>
      <c r="B38" s="232">
        <f t="shared" si="3"/>
        <v>0</v>
      </c>
      <c r="C38" s="15"/>
      <c r="D38" s="69"/>
      <c r="E38" s="202"/>
      <c r="F38" s="69">
        <f t="shared" si="0"/>
        <v>0</v>
      </c>
      <c r="G38" s="70"/>
      <c r="H38" s="71"/>
      <c r="I38" s="105">
        <f t="shared" si="4"/>
        <v>0</v>
      </c>
      <c r="K38" s="122"/>
      <c r="L38" s="232">
        <f t="shared" si="5"/>
        <v>11</v>
      </c>
      <c r="M38" s="15"/>
      <c r="N38" s="69"/>
      <c r="O38" s="202"/>
      <c r="P38" s="69">
        <f t="shared" si="2"/>
        <v>0</v>
      </c>
      <c r="Q38" s="70"/>
      <c r="R38" s="71"/>
      <c r="S38" s="105">
        <f t="shared" si="6"/>
        <v>129.49000000000007</v>
      </c>
    </row>
    <row r="39" spans="1:19" x14ac:dyDescent="0.25">
      <c r="A39" s="122"/>
      <c r="B39" s="83">
        <f t="shared" si="3"/>
        <v>0</v>
      </c>
      <c r="C39" s="15"/>
      <c r="D39" s="69"/>
      <c r="E39" s="202"/>
      <c r="F39" s="69">
        <f t="shared" si="0"/>
        <v>0</v>
      </c>
      <c r="G39" s="70"/>
      <c r="H39" s="71"/>
      <c r="I39" s="105">
        <f t="shared" si="4"/>
        <v>0</v>
      </c>
      <c r="K39" s="122"/>
      <c r="L39" s="83">
        <f t="shared" si="5"/>
        <v>11</v>
      </c>
      <c r="M39" s="15"/>
      <c r="N39" s="69"/>
      <c r="O39" s="202"/>
      <c r="P39" s="69">
        <f t="shared" si="2"/>
        <v>0</v>
      </c>
      <c r="Q39" s="70"/>
      <c r="R39" s="71"/>
      <c r="S39" s="105">
        <f t="shared" si="6"/>
        <v>129.49000000000007</v>
      </c>
    </row>
    <row r="40" spans="1:19" x14ac:dyDescent="0.25">
      <c r="A40" s="122"/>
      <c r="B40" s="83">
        <f t="shared" si="3"/>
        <v>0</v>
      </c>
      <c r="C40" s="15"/>
      <c r="D40" s="69"/>
      <c r="E40" s="202"/>
      <c r="F40" s="69">
        <f t="shared" si="0"/>
        <v>0</v>
      </c>
      <c r="G40" s="70"/>
      <c r="H40" s="71"/>
      <c r="I40" s="105">
        <f t="shared" si="4"/>
        <v>0</v>
      </c>
      <c r="K40" s="122"/>
      <c r="L40" s="83">
        <f t="shared" si="5"/>
        <v>11</v>
      </c>
      <c r="M40" s="15"/>
      <c r="N40" s="69"/>
      <c r="O40" s="202"/>
      <c r="P40" s="69">
        <f t="shared" si="2"/>
        <v>0</v>
      </c>
      <c r="Q40" s="70"/>
      <c r="R40" s="71"/>
      <c r="S40" s="105">
        <f t="shared" si="6"/>
        <v>129.49000000000007</v>
      </c>
    </row>
    <row r="41" spans="1:19" ht="15.75" thickBot="1" x14ac:dyDescent="0.3">
      <c r="A41" s="122"/>
      <c r="B41" s="16"/>
      <c r="C41" s="52"/>
      <c r="D41" s="107"/>
      <c r="E41" s="196"/>
      <c r="F41" s="103"/>
      <c r="G41" s="104"/>
      <c r="H41" s="60"/>
      <c r="K41" s="122"/>
      <c r="L41" s="16"/>
      <c r="M41" s="52"/>
      <c r="N41" s="107"/>
      <c r="O41" s="196"/>
      <c r="P41" s="103"/>
      <c r="Q41" s="104"/>
      <c r="R41" s="60"/>
    </row>
    <row r="42" spans="1:19" x14ac:dyDescent="0.25">
      <c r="C42" s="53">
        <f>SUM(C9:C41)</f>
        <v>73</v>
      </c>
      <c r="D42" s="6">
        <f>SUM(D9:D41)</f>
        <v>863.29</v>
      </c>
      <c r="F42" s="6">
        <f>SUM(F9:F41)</f>
        <v>863.29</v>
      </c>
      <c r="M42" s="53">
        <f>SUM(M9:M41)</f>
        <v>30</v>
      </c>
      <c r="N42" s="6">
        <f>SUM(N9:N41)</f>
        <v>353.29999999999995</v>
      </c>
      <c r="P42" s="6">
        <f>SUM(P9:P41)</f>
        <v>353.29999999999995</v>
      </c>
    </row>
    <row r="44" spans="1:19" ht="15.75" thickBot="1" x14ac:dyDescent="0.3"/>
    <row r="45" spans="1:19" ht="15.75" thickBot="1" x14ac:dyDescent="0.3">
      <c r="D45" s="45" t="s">
        <v>4</v>
      </c>
      <c r="E45" s="56">
        <f>F5+F6-C42+F7</f>
        <v>-21</v>
      </c>
      <c r="N45" s="45" t="s">
        <v>4</v>
      </c>
      <c r="O45" s="56">
        <f>P5+P6-M42+P7</f>
        <v>-30</v>
      </c>
    </row>
    <row r="46" spans="1:19" ht="15.75" thickBot="1" x14ac:dyDescent="0.3"/>
    <row r="47" spans="1:19" ht="15.75" thickBot="1" x14ac:dyDescent="0.3">
      <c r="C47" s="1388" t="s">
        <v>11</v>
      </c>
      <c r="D47" s="1389"/>
      <c r="E47" s="57">
        <f>E5+E6-F42+E7</f>
        <v>-248.56999999999994</v>
      </c>
      <c r="F47" s="73"/>
      <c r="M47" s="1388" t="s">
        <v>11</v>
      </c>
      <c r="N47" s="1389"/>
      <c r="O47" s="57">
        <f>O5+O6-P42+O7</f>
        <v>-353.29999999999995</v>
      </c>
      <c r="P47" s="73"/>
    </row>
    <row r="50" spans="1:17" x14ac:dyDescent="0.25">
      <c r="A50" s="225"/>
      <c r="B50" s="1391"/>
      <c r="C50" s="482"/>
      <c r="D50" s="231"/>
      <c r="E50" s="78"/>
      <c r="F50" s="62"/>
      <c r="G50" s="5"/>
      <c r="K50" s="225"/>
      <c r="L50" s="1391"/>
      <c r="M50" s="482"/>
      <c r="N50" s="231"/>
      <c r="O50" s="78"/>
      <c r="P50" s="62"/>
      <c r="Q50" s="5"/>
    </row>
    <row r="51" spans="1:17" x14ac:dyDescent="0.25">
      <c r="A51" s="225"/>
      <c r="B51" s="1391"/>
      <c r="C51" s="391"/>
      <c r="D51" s="134"/>
      <c r="E51" s="208"/>
      <c r="F51" s="62"/>
      <c r="G51" s="47"/>
      <c r="K51" s="225"/>
      <c r="L51" s="1391"/>
      <c r="M51" s="391"/>
      <c r="N51" s="134"/>
      <c r="O51" s="208"/>
      <c r="P51" s="62"/>
      <c r="Q51" s="47"/>
    </row>
    <row r="52" spans="1:17" x14ac:dyDescent="0.25">
      <c r="B52" s="19"/>
      <c r="C52" s="482"/>
      <c r="D52" s="134"/>
      <c r="E52" s="489"/>
      <c r="F52" s="12"/>
      <c r="L52" s="19"/>
      <c r="M52" s="482"/>
      <c r="N52" s="134"/>
      <c r="O52" s="489"/>
      <c r="P52" s="12"/>
    </row>
  </sheetData>
  <mergeCells count="8">
    <mergeCell ref="A1:G1"/>
    <mergeCell ref="B5:B6"/>
    <mergeCell ref="C47:D47"/>
    <mergeCell ref="B50:B51"/>
    <mergeCell ref="K1:Q1"/>
    <mergeCell ref="L5:L6"/>
    <mergeCell ref="M47:N47"/>
    <mergeCell ref="L50:L5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AC83"/>
  <sheetViews>
    <sheetView topLeftCell="I1" workbookViewId="0">
      <pane xSplit="2" ySplit="8" topLeftCell="K9" activePane="bottomRight" state="frozen"/>
      <selection activeCell="I1" sqref="I1"/>
      <selection pane="topRight" activeCell="K1" sqref="K1"/>
      <selection pane="bottomLeft" activeCell="I9" sqref="I9"/>
      <selection pane="bottomRight" activeCell="O28" sqref="O28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1"/>
  </cols>
  <sheetData>
    <row r="1" spans="1:29" ht="40.5" x14ac:dyDescent="0.55000000000000004">
      <c r="A1" s="1386" t="s">
        <v>226</v>
      </c>
      <c r="B1" s="1386"/>
      <c r="C1" s="1386"/>
      <c r="D1" s="1386"/>
      <c r="E1" s="1386"/>
      <c r="F1" s="1386"/>
      <c r="G1" s="1386"/>
      <c r="H1" s="11">
        <v>1</v>
      </c>
      <c r="K1" s="1390" t="s">
        <v>338</v>
      </c>
      <c r="L1" s="1390"/>
      <c r="M1" s="1390"/>
      <c r="N1" s="1390"/>
      <c r="O1" s="1390"/>
      <c r="P1" s="1390"/>
      <c r="Q1" s="1390"/>
      <c r="R1" s="11">
        <v>2</v>
      </c>
      <c r="U1" s="1390" t="s">
        <v>338</v>
      </c>
      <c r="V1" s="1390"/>
      <c r="W1" s="1390"/>
      <c r="X1" s="1390"/>
      <c r="Y1" s="1390"/>
      <c r="Z1" s="1390"/>
      <c r="AA1" s="1390"/>
      <c r="AB1" s="11">
        <v>2</v>
      </c>
    </row>
    <row r="2" spans="1:29" ht="15.75" thickBot="1" x14ac:dyDescent="0.3">
      <c r="C2" s="12"/>
      <c r="D2" s="12"/>
      <c r="F2" s="12"/>
      <c r="M2" s="12"/>
      <c r="N2" s="12"/>
      <c r="P2" s="12"/>
      <c r="W2" s="12"/>
      <c r="X2" s="12"/>
      <c r="Z2" s="12"/>
    </row>
    <row r="3" spans="1:2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</row>
    <row r="4" spans="1:29" ht="16.5" thickTop="1" x14ac:dyDescent="0.25">
      <c r="A4" s="12"/>
      <c r="B4" s="12"/>
      <c r="C4" s="490"/>
      <c r="D4" s="134"/>
      <c r="E4" s="78">
        <v>92.58</v>
      </c>
      <c r="F4" s="62">
        <v>8</v>
      </c>
      <c r="G4" s="155"/>
      <c r="H4" s="155"/>
      <c r="K4" s="12"/>
      <c r="L4" s="12"/>
      <c r="M4" s="490"/>
      <c r="N4" s="134"/>
      <c r="O4" s="78">
        <v>57.46</v>
      </c>
      <c r="P4" s="62">
        <v>5</v>
      </c>
      <c r="Q4" s="155"/>
      <c r="R4" s="155"/>
      <c r="U4" s="12"/>
      <c r="V4" s="12"/>
      <c r="W4" s="490"/>
      <c r="X4" s="134"/>
      <c r="Y4" s="78"/>
      <c r="Z4" s="62"/>
      <c r="AA4" s="155"/>
      <c r="AB4" s="155"/>
    </row>
    <row r="5" spans="1:29" ht="15" customHeight="1" x14ac:dyDescent="0.25">
      <c r="A5" s="225" t="s">
        <v>62</v>
      </c>
      <c r="B5" s="1392" t="s">
        <v>89</v>
      </c>
      <c r="C5" s="482">
        <v>99</v>
      </c>
      <c r="D5" s="231">
        <v>44873</v>
      </c>
      <c r="E5" s="78">
        <v>1003.37</v>
      </c>
      <c r="F5" s="62">
        <v>83</v>
      </c>
      <c r="G5" s="5"/>
      <c r="K5" s="225" t="s">
        <v>62</v>
      </c>
      <c r="L5" s="1392" t="s">
        <v>89</v>
      </c>
      <c r="M5" s="482">
        <v>99</v>
      </c>
      <c r="N5" s="231">
        <v>44897</v>
      </c>
      <c r="O5" s="78">
        <v>1004.87</v>
      </c>
      <c r="P5" s="62">
        <v>84</v>
      </c>
      <c r="Q5" s="5"/>
      <c r="U5" s="225" t="s">
        <v>62</v>
      </c>
      <c r="V5" s="1392" t="s">
        <v>89</v>
      </c>
      <c r="W5" s="482">
        <v>99</v>
      </c>
      <c r="X5" s="231">
        <v>44930</v>
      </c>
      <c r="Y5" s="78">
        <v>517.37</v>
      </c>
      <c r="Z5" s="62">
        <v>42</v>
      </c>
      <c r="AA5" s="5"/>
    </row>
    <row r="6" spans="1:29" x14ac:dyDescent="0.25">
      <c r="A6" s="225"/>
      <c r="B6" s="1392"/>
      <c r="C6" s="391">
        <v>99</v>
      </c>
      <c r="D6" s="134">
        <v>44888</v>
      </c>
      <c r="E6" s="208">
        <v>507.33</v>
      </c>
      <c r="F6" s="62">
        <v>43</v>
      </c>
      <c r="G6" s="47">
        <f>F78</f>
        <v>1603.28</v>
      </c>
      <c r="H6" s="7">
        <f>E6-G6+E7+E5-G5+E4</f>
        <v>0</v>
      </c>
      <c r="K6" s="225"/>
      <c r="L6" s="1392"/>
      <c r="M6" s="391">
        <v>99</v>
      </c>
      <c r="N6" s="134">
        <v>44911</v>
      </c>
      <c r="O6" s="208">
        <v>1008.29</v>
      </c>
      <c r="P6" s="62">
        <v>82</v>
      </c>
      <c r="Q6" s="47">
        <f>P78</f>
        <v>1649.3100000000002</v>
      </c>
      <c r="R6" s="7">
        <f>O6-Q6+O7+O5-Q5+O4</f>
        <v>421.30999999999977</v>
      </c>
      <c r="U6" s="225"/>
      <c r="V6" s="1392"/>
      <c r="W6" s="391"/>
      <c r="X6" s="134"/>
      <c r="Y6" s="208"/>
      <c r="Z6" s="62"/>
      <c r="AA6" s="47">
        <f>Z78</f>
        <v>186.62</v>
      </c>
      <c r="AB6" s="7">
        <f>Y6-AA6+Y7+Y5-AA5+Y4</f>
        <v>330.75</v>
      </c>
    </row>
    <row r="7" spans="1:29" ht="15.75" thickBot="1" x14ac:dyDescent="0.3">
      <c r="B7" s="19"/>
      <c r="C7" s="482"/>
      <c r="D7" s="134"/>
      <c r="E7" s="489"/>
      <c r="F7" s="73"/>
      <c r="L7" s="19"/>
      <c r="M7" s="482"/>
      <c r="N7" s="134"/>
      <c r="O7" s="489"/>
      <c r="P7" s="73"/>
      <c r="V7" s="19"/>
      <c r="W7" s="482"/>
      <c r="X7" s="134"/>
      <c r="Y7" s="489"/>
      <c r="Z7" s="73"/>
    </row>
    <row r="8" spans="1:2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4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</row>
    <row r="9" spans="1:29" ht="15.75" thickTop="1" x14ac:dyDescent="0.25">
      <c r="A9" s="80" t="s">
        <v>32</v>
      </c>
      <c r="B9" s="182">
        <f>F6-C9+F5+F7+F4</f>
        <v>124</v>
      </c>
      <c r="C9" s="15">
        <v>10</v>
      </c>
      <c r="D9" s="69">
        <v>117.64</v>
      </c>
      <c r="E9" s="202">
        <v>44875</v>
      </c>
      <c r="F9" s="69">
        <f t="shared" ref="F9" si="0">D9</f>
        <v>117.64</v>
      </c>
      <c r="G9" s="70" t="s">
        <v>260</v>
      </c>
      <c r="H9" s="71">
        <v>101</v>
      </c>
      <c r="I9" s="105">
        <f>E6-F9+E5+E7+E4</f>
        <v>1485.6399999999999</v>
      </c>
      <c r="K9" s="80" t="s">
        <v>32</v>
      </c>
      <c r="L9" s="182">
        <f>P6-M9+P5+P7+P4</f>
        <v>161</v>
      </c>
      <c r="M9" s="15">
        <v>10</v>
      </c>
      <c r="N9" s="69">
        <v>118.39</v>
      </c>
      <c r="O9" s="202">
        <v>44903</v>
      </c>
      <c r="P9" s="69">
        <f t="shared" ref="P9:P72" si="1">N9</f>
        <v>118.39</v>
      </c>
      <c r="Q9" s="70" t="s">
        <v>647</v>
      </c>
      <c r="R9" s="71">
        <v>101</v>
      </c>
      <c r="S9" s="105">
        <f>O6-P9+O5+O7+O4</f>
        <v>1952.23</v>
      </c>
      <c r="U9" s="80" t="s">
        <v>32</v>
      </c>
      <c r="V9" s="182">
        <f>Z6-W9+Z5+Z7+Z4</f>
        <v>27</v>
      </c>
      <c r="W9" s="15">
        <v>15</v>
      </c>
      <c r="X9" s="69">
        <v>186.62</v>
      </c>
      <c r="Y9" s="202">
        <v>44931</v>
      </c>
      <c r="Z9" s="69">
        <f t="shared" ref="Z9:Z72" si="2">X9</f>
        <v>186.62</v>
      </c>
      <c r="AA9" s="70" t="s">
        <v>895</v>
      </c>
      <c r="AB9" s="71">
        <v>101</v>
      </c>
      <c r="AC9" s="105">
        <f>Y6-Z9+Y5+Y7+Y4</f>
        <v>330.75</v>
      </c>
    </row>
    <row r="10" spans="1:29" x14ac:dyDescent="0.25">
      <c r="A10" s="194"/>
      <c r="B10" s="878">
        <f>B9-C10</f>
        <v>114</v>
      </c>
      <c r="C10" s="811">
        <v>10</v>
      </c>
      <c r="D10" s="697">
        <v>122.47</v>
      </c>
      <c r="E10" s="727">
        <v>44877</v>
      </c>
      <c r="F10" s="697">
        <f t="shared" ref="F10:F72" si="3">D10</f>
        <v>122.47</v>
      </c>
      <c r="G10" s="695" t="s">
        <v>268</v>
      </c>
      <c r="H10" s="696">
        <v>101</v>
      </c>
      <c r="I10" s="731">
        <f>I9-F10</f>
        <v>1363.1699999999998</v>
      </c>
      <c r="K10" s="194"/>
      <c r="L10" s="878">
        <f>L9-M10</f>
        <v>160</v>
      </c>
      <c r="M10" s="811">
        <v>1</v>
      </c>
      <c r="N10" s="697">
        <v>11.7</v>
      </c>
      <c r="O10" s="727">
        <v>44904</v>
      </c>
      <c r="P10" s="697">
        <f t="shared" si="1"/>
        <v>11.7</v>
      </c>
      <c r="Q10" s="695" t="s">
        <v>657</v>
      </c>
      <c r="R10" s="696">
        <v>101</v>
      </c>
      <c r="S10" s="731">
        <f>S9-P10</f>
        <v>1940.53</v>
      </c>
      <c r="U10" s="194"/>
      <c r="V10" s="878">
        <f>V9-W10</f>
        <v>27</v>
      </c>
      <c r="W10" s="811"/>
      <c r="X10" s="697"/>
      <c r="Y10" s="727"/>
      <c r="Z10" s="697">
        <f t="shared" si="2"/>
        <v>0</v>
      </c>
      <c r="AA10" s="695"/>
      <c r="AB10" s="696"/>
      <c r="AC10" s="731">
        <f>AC9-Z10</f>
        <v>330.75</v>
      </c>
    </row>
    <row r="11" spans="1:29" x14ac:dyDescent="0.25">
      <c r="A11" s="182"/>
      <c r="B11" s="878">
        <f t="shared" ref="B11:B74" si="4">B10-C11</f>
        <v>104</v>
      </c>
      <c r="C11" s="811">
        <v>10</v>
      </c>
      <c r="D11" s="697">
        <v>120.75</v>
      </c>
      <c r="E11" s="727">
        <v>44877</v>
      </c>
      <c r="F11" s="697">
        <f t="shared" si="3"/>
        <v>120.75</v>
      </c>
      <c r="G11" s="695" t="s">
        <v>270</v>
      </c>
      <c r="H11" s="696">
        <v>101</v>
      </c>
      <c r="I11" s="731">
        <f t="shared" ref="I11:I74" si="5">I10-F11</f>
        <v>1242.4199999999998</v>
      </c>
      <c r="K11" s="182"/>
      <c r="L11" s="878">
        <f t="shared" ref="L11:L74" si="6">L10-M11</f>
        <v>140</v>
      </c>
      <c r="M11" s="811">
        <v>20</v>
      </c>
      <c r="N11" s="697">
        <v>243.42</v>
      </c>
      <c r="O11" s="727">
        <v>44905</v>
      </c>
      <c r="P11" s="697">
        <f t="shared" si="1"/>
        <v>243.42</v>
      </c>
      <c r="Q11" s="695" t="s">
        <v>666</v>
      </c>
      <c r="R11" s="696">
        <v>101</v>
      </c>
      <c r="S11" s="731">
        <f t="shared" ref="S11:S74" si="7">S10-P11</f>
        <v>1697.11</v>
      </c>
      <c r="U11" s="182"/>
      <c r="V11" s="878">
        <f t="shared" ref="V11:V74" si="8">V10-W11</f>
        <v>27</v>
      </c>
      <c r="W11" s="811"/>
      <c r="X11" s="697"/>
      <c r="Y11" s="727"/>
      <c r="Z11" s="697">
        <f t="shared" si="2"/>
        <v>0</v>
      </c>
      <c r="AA11" s="695"/>
      <c r="AB11" s="696"/>
      <c r="AC11" s="731">
        <f t="shared" ref="AC11:AC74" si="9">AC10-Z11</f>
        <v>330.75</v>
      </c>
    </row>
    <row r="12" spans="1:29" x14ac:dyDescent="0.25">
      <c r="A12" s="182"/>
      <c r="B12" s="878">
        <f t="shared" si="4"/>
        <v>94</v>
      </c>
      <c r="C12" s="811">
        <v>10</v>
      </c>
      <c r="D12" s="697">
        <v>116.04</v>
      </c>
      <c r="E12" s="727">
        <v>44879</v>
      </c>
      <c r="F12" s="697">
        <f t="shared" si="3"/>
        <v>116.04</v>
      </c>
      <c r="G12" s="695" t="s">
        <v>273</v>
      </c>
      <c r="H12" s="696">
        <v>101</v>
      </c>
      <c r="I12" s="731">
        <f t="shared" si="5"/>
        <v>1126.3799999999999</v>
      </c>
      <c r="K12" s="182"/>
      <c r="L12" s="878">
        <f t="shared" si="6"/>
        <v>135</v>
      </c>
      <c r="M12" s="811">
        <v>5</v>
      </c>
      <c r="N12" s="697">
        <v>59.83</v>
      </c>
      <c r="O12" s="727">
        <v>44905</v>
      </c>
      <c r="P12" s="697">
        <f t="shared" si="1"/>
        <v>59.83</v>
      </c>
      <c r="Q12" s="695" t="s">
        <v>667</v>
      </c>
      <c r="R12" s="696">
        <v>101</v>
      </c>
      <c r="S12" s="731">
        <f t="shared" si="7"/>
        <v>1637.28</v>
      </c>
      <c r="U12" s="182"/>
      <c r="V12" s="878">
        <f t="shared" si="8"/>
        <v>27</v>
      </c>
      <c r="W12" s="811"/>
      <c r="X12" s="697"/>
      <c r="Y12" s="727"/>
      <c r="Z12" s="697">
        <f t="shared" si="2"/>
        <v>0</v>
      </c>
      <c r="AA12" s="695"/>
      <c r="AB12" s="696"/>
      <c r="AC12" s="731">
        <f t="shared" si="9"/>
        <v>330.75</v>
      </c>
    </row>
    <row r="13" spans="1:29" x14ac:dyDescent="0.25">
      <c r="A13" s="82" t="s">
        <v>33</v>
      </c>
      <c r="B13" s="878">
        <f t="shared" si="4"/>
        <v>84</v>
      </c>
      <c r="C13" s="811">
        <v>10</v>
      </c>
      <c r="D13" s="697">
        <v>121.61</v>
      </c>
      <c r="E13" s="727">
        <v>44879</v>
      </c>
      <c r="F13" s="697">
        <f t="shared" si="3"/>
        <v>121.61</v>
      </c>
      <c r="G13" s="695" t="s">
        <v>272</v>
      </c>
      <c r="H13" s="696">
        <v>101</v>
      </c>
      <c r="I13" s="731">
        <f t="shared" si="5"/>
        <v>1004.7699999999999</v>
      </c>
      <c r="K13" s="82" t="s">
        <v>33</v>
      </c>
      <c r="L13" s="878">
        <f t="shared" si="6"/>
        <v>134</v>
      </c>
      <c r="M13" s="811">
        <v>1</v>
      </c>
      <c r="N13" s="697">
        <v>12.17</v>
      </c>
      <c r="O13" s="727">
        <v>44907</v>
      </c>
      <c r="P13" s="697">
        <f t="shared" si="1"/>
        <v>12.17</v>
      </c>
      <c r="Q13" s="695" t="s">
        <v>680</v>
      </c>
      <c r="R13" s="696">
        <v>101</v>
      </c>
      <c r="S13" s="731">
        <f t="shared" si="7"/>
        <v>1625.11</v>
      </c>
      <c r="U13" s="82" t="s">
        <v>33</v>
      </c>
      <c r="V13" s="878">
        <f t="shared" si="8"/>
        <v>27</v>
      </c>
      <c r="W13" s="811"/>
      <c r="X13" s="697"/>
      <c r="Y13" s="727"/>
      <c r="Z13" s="697">
        <f t="shared" si="2"/>
        <v>0</v>
      </c>
      <c r="AA13" s="695"/>
      <c r="AB13" s="696"/>
      <c r="AC13" s="731">
        <f t="shared" si="9"/>
        <v>330.75</v>
      </c>
    </row>
    <row r="14" spans="1:29" x14ac:dyDescent="0.25">
      <c r="A14" s="73"/>
      <c r="B14" s="878">
        <f t="shared" si="4"/>
        <v>82</v>
      </c>
      <c r="C14" s="811">
        <v>2</v>
      </c>
      <c r="D14" s="697">
        <v>23.74</v>
      </c>
      <c r="E14" s="727">
        <v>44879</v>
      </c>
      <c r="F14" s="697">
        <f t="shared" si="3"/>
        <v>23.74</v>
      </c>
      <c r="G14" s="695" t="s">
        <v>272</v>
      </c>
      <c r="H14" s="696">
        <v>101</v>
      </c>
      <c r="I14" s="731">
        <f t="shared" si="5"/>
        <v>981.02999999999986</v>
      </c>
      <c r="K14" s="73"/>
      <c r="L14" s="878">
        <f t="shared" si="6"/>
        <v>129</v>
      </c>
      <c r="M14" s="811">
        <v>5</v>
      </c>
      <c r="N14" s="697">
        <v>61.52</v>
      </c>
      <c r="O14" s="727">
        <v>44907</v>
      </c>
      <c r="P14" s="697">
        <f t="shared" si="1"/>
        <v>61.52</v>
      </c>
      <c r="Q14" s="695" t="s">
        <v>681</v>
      </c>
      <c r="R14" s="696">
        <v>101</v>
      </c>
      <c r="S14" s="731">
        <f t="shared" si="7"/>
        <v>1563.59</v>
      </c>
      <c r="U14" s="73"/>
      <c r="V14" s="878">
        <f t="shared" si="8"/>
        <v>27</v>
      </c>
      <c r="W14" s="811"/>
      <c r="X14" s="697"/>
      <c r="Y14" s="727"/>
      <c r="Z14" s="697">
        <f t="shared" si="2"/>
        <v>0</v>
      </c>
      <c r="AA14" s="695"/>
      <c r="AB14" s="696"/>
      <c r="AC14" s="731">
        <f t="shared" si="9"/>
        <v>330.75</v>
      </c>
    </row>
    <row r="15" spans="1:29" ht="15.75" customHeight="1" x14ac:dyDescent="0.25">
      <c r="A15" s="73"/>
      <c r="B15" s="878">
        <f t="shared" si="4"/>
        <v>81</v>
      </c>
      <c r="C15" s="811">
        <v>1</v>
      </c>
      <c r="D15" s="697">
        <v>12.38</v>
      </c>
      <c r="E15" s="727">
        <v>44882</v>
      </c>
      <c r="F15" s="697">
        <f t="shared" si="3"/>
        <v>12.38</v>
      </c>
      <c r="G15" s="695" t="s">
        <v>280</v>
      </c>
      <c r="H15" s="696">
        <v>101</v>
      </c>
      <c r="I15" s="731">
        <f t="shared" si="5"/>
        <v>968.64999999999986</v>
      </c>
      <c r="K15" s="73"/>
      <c r="L15" s="878">
        <f t="shared" si="6"/>
        <v>124</v>
      </c>
      <c r="M15" s="811">
        <v>5</v>
      </c>
      <c r="N15" s="697">
        <v>59.75</v>
      </c>
      <c r="O15" s="727">
        <v>44910</v>
      </c>
      <c r="P15" s="697">
        <f t="shared" si="1"/>
        <v>59.75</v>
      </c>
      <c r="Q15" s="695" t="s">
        <v>711</v>
      </c>
      <c r="R15" s="696">
        <v>101</v>
      </c>
      <c r="S15" s="731">
        <f t="shared" si="7"/>
        <v>1503.84</v>
      </c>
      <c r="U15" s="73"/>
      <c r="V15" s="878">
        <f t="shared" si="8"/>
        <v>27</v>
      </c>
      <c r="W15" s="811"/>
      <c r="X15" s="697"/>
      <c r="Y15" s="727"/>
      <c r="Z15" s="697">
        <f t="shared" si="2"/>
        <v>0</v>
      </c>
      <c r="AA15" s="695"/>
      <c r="AB15" s="696"/>
      <c r="AC15" s="731">
        <f t="shared" si="9"/>
        <v>330.75</v>
      </c>
    </row>
    <row r="16" spans="1:29" ht="15.75" customHeight="1" x14ac:dyDescent="0.25">
      <c r="B16" s="878">
        <f t="shared" si="4"/>
        <v>76</v>
      </c>
      <c r="C16" s="811">
        <v>5</v>
      </c>
      <c r="D16" s="697">
        <v>60.66</v>
      </c>
      <c r="E16" s="727">
        <v>44883</v>
      </c>
      <c r="F16" s="697">
        <f t="shared" si="3"/>
        <v>60.66</v>
      </c>
      <c r="G16" s="695" t="s">
        <v>285</v>
      </c>
      <c r="H16" s="696">
        <v>101</v>
      </c>
      <c r="I16" s="731">
        <f t="shared" si="5"/>
        <v>907.9899999999999</v>
      </c>
      <c r="L16" s="878">
        <f t="shared" si="6"/>
        <v>109</v>
      </c>
      <c r="M16" s="811">
        <v>15</v>
      </c>
      <c r="N16" s="697">
        <v>176.99</v>
      </c>
      <c r="O16" s="727">
        <v>44910</v>
      </c>
      <c r="P16" s="697">
        <f t="shared" si="1"/>
        <v>176.99</v>
      </c>
      <c r="Q16" s="695" t="s">
        <v>722</v>
      </c>
      <c r="R16" s="696">
        <v>101</v>
      </c>
      <c r="S16" s="731">
        <f t="shared" si="7"/>
        <v>1326.85</v>
      </c>
      <c r="V16" s="878">
        <f t="shared" si="8"/>
        <v>27</v>
      </c>
      <c r="W16" s="811"/>
      <c r="X16" s="697"/>
      <c r="Y16" s="727"/>
      <c r="Z16" s="697">
        <f t="shared" si="2"/>
        <v>0</v>
      </c>
      <c r="AA16" s="695"/>
      <c r="AB16" s="696"/>
      <c r="AC16" s="731">
        <f t="shared" si="9"/>
        <v>330.75</v>
      </c>
    </row>
    <row r="17" spans="1:29" x14ac:dyDescent="0.25">
      <c r="B17" s="878">
        <f t="shared" si="4"/>
        <v>75</v>
      </c>
      <c r="C17" s="811">
        <v>1</v>
      </c>
      <c r="D17" s="697">
        <v>12.17</v>
      </c>
      <c r="E17" s="727">
        <v>44887</v>
      </c>
      <c r="F17" s="697">
        <f t="shared" si="3"/>
        <v>12.17</v>
      </c>
      <c r="G17" s="695" t="s">
        <v>292</v>
      </c>
      <c r="H17" s="696">
        <v>101</v>
      </c>
      <c r="I17" s="731">
        <f t="shared" si="5"/>
        <v>895.81999999999994</v>
      </c>
      <c r="L17" s="878">
        <f t="shared" si="6"/>
        <v>94</v>
      </c>
      <c r="M17" s="811">
        <v>15</v>
      </c>
      <c r="N17" s="697">
        <v>176.73</v>
      </c>
      <c r="O17" s="727">
        <v>44913</v>
      </c>
      <c r="P17" s="697">
        <f t="shared" si="1"/>
        <v>176.73</v>
      </c>
      <c r="Q17" s="695" t="s">
        <v>747</v>
      </c>
      <c r="R17" s="696">
        <v>101</v>
      </c>
      <c r="S17" s="731">
        <f t="shared" si="7"/>
        <v>1150.1199999999999</v>
      </c>
      <c r="V17" s="878">
        <f t="shared" si="8"/>
        <v>27</v>
      </c>
      <c r="W17" s="811"/>
      <c r="X17" s="697"/>
      <c r="Y17" s="727"/>
      <c r="Z17" s="697">
        <f t="shared" si="2"/>
        <v>0</v>
      </c>
      <c r="AA17" s="695"/>
      <c r="AB17" s="696"/>
      <c r="AC17" s="731">
        <f t="shared" si="9"/>
        <v>330.75</v>
      </c>
    </row>
    <row r="18" spans="1:29" x14ac:dyDescent="0.25">
      <c r="A18" s="122"/>
      <c r="B18" s="182">
        <f t="shared" si="4"/>
        <v>70</v>
      </c>
      <c r="C18" s="15">
        <v>5</v>
      </c>
      <c r="D18" s="69">
        <v>61.23</v>
      </c>
      <c r="E18" s="202">
        <v>44887</v>
      </c>
      <c r="F18" s="69">
        <f t="shared" si="3"/>
        <v>61.23</v>
      </c>
      <c r="G18" s="70" t="s">
        <v>293</v>
      </c>
      <c r="H18" s="71">
        <v>101</v>
      </c>
      <c r="I18" s="105">
        <f t="shared" si="5"/>
        <v>834.58999999999992</v>
      </c>
      <c r="K18" s="122"/>
      <c r="L18" s="878">
        <f t="shared" si="6"/>
        <v>89</v>
      </c>
      <c r="M18" s="811">
        <v>5</v>
      </c>
      <c r="N18" s="697">
        <v>59.57</v>
      </c>
      <c r="O18" s="727">
        <v>44915</v>
      </c>
      <c r="P18" s="697">
        <f t="shared" si="1"/>
        <v>59.57</v>
      </c>
      <c r="Q18" s="695" t="s">
        <v>760</v>
      </c>
      <c r="R18" s="696">
        <v>101</v>
      </c>
      <c r="S18" s="731">
        <f t="shared" si="7"/>
        <v>1090.55</v>
      </c>
      <c r="U18" s="122"/>
      <c r="V18" s="878">
        <f t="shared" si="8"/>
        <v>27</v>
      </c>
      <c r="W18" s="811"/>
      <c r="X18" s="697"/>
      <c r="Y18" s="727"/>
      <c r="Z18" s="697">
        <f t="shared" si="2"/>
        <v>0</v>
      </c>
      <c r="AA18" s="695"/>
      <c r="AB18" s="696"/>
      <c r="AC18" s="731">
        <f t="shared" si="9"/>
        <v>330.75</v>
      </c>
    </row>
    <row r="19" spans="1:29" x14ac:dyDescent="0.25">
      <c r="A19" s="122"/>
      <c r="B19" s="182">
        <f t="shared" si="4"/>
        <v>54</v>
      </c>
      <c r="C19" s="15">
        <v>16</v>
      </c>
      <c r="D19" s="69">
        <v>195.06</v>
      </c>
      <c r="E19" s="202">
        <v>44888</v>
      </c>
      <c r="F19" s="69">
        <f t="shared" si="3"/>
        <v>195.06</v>
      </c>
      <c r="G19" s="70" t="s">
        <v>295</v>
      </c>
      <c r="H19" s="71">
        <v>101</v>
      </c>
      <c r="I19" s="105">
        <f t="shared" si="5"/>
        <v>639.53</v>
      </c>
      <c r="K19" s="122"/>
      <c r="L19" s="878">
        <f t="shared" si="6"/>
        <v>74</v>
      </c>
      <c r="M19" s="811">
        <v>15</v>
      </c>
      <c r="N19" s="697">
        <v>182.89</v>
      </c>
      <c r="O19" s="727">
        <v>44916</v>
      </c>
      <c r="P19" s="697">
        <f t="shared" si="1"/>
        <v>182.89</v>
      </c>
      <c r="Q19" s="695" t="s">
        <v>768</v>
      </c>
      <c r="R19" s="696">
        <v>101</v>
      </c>
      <c r="S19" s="731">
        <f t="shared" si="7"/>
        <v>907.66</v>
      </c>
      <c r="U19" s="122"/>
      <c r="V19" s="878">
        <f t="shared" si="8"/>
        <v>27</v>
      </c>
      <c r="W19" s="811"/>
      <c r="X19" s="697"/>
      <c r="Y19" s="727"/>
      <c r="Z19" s="697">
        <f t="shared" si="2"/>
        <v>0</v>
      </c>
      <c r="AA19" s="695"/>
      <c r="AB19" s="696"/>
      <c r="AC19" s="731">
        <f t="shared" si="9"/>
        <v>330.75</v>
      </c>
    </row>
    <row r="20" spans="1:29" x14ac:dyDescent="0.25">
      <c r="A20" s="122"/>
      <c r="B20" s="182">
        <f t="shared" si="4"/>
        <v>49</v>
      </c>
      <c r="C20" s="15">
        <v>5</v>
      </c>
      <c r="D20" s="69">
        <v>60.45</v>
      </c>
      <c r="E20" s="202">
        <v>44890</v>
      </c>
      <c r="F20" s="69">
        <f t="shared" si="3"/>
        <v>60.45</v>
      </c>
      <c r="G20" s="70" t="s">
        <v>307</v>
      </c>
      <c r="H20" s="71">
        <v>101</v>
      </c>
      <c r="I20" s="105">
        <f t="shared" si="5"/>
        <v>579.07999999999993</v>
      </c>
      <c r="K20" s="122"/>
      <c r="L20" s="878">
        <f t="shared" si="6"/>
        <v>72</v>
      </c>
      <c r="M20" s="811">
        <v>2</v>
      </c>
      <c r="N20" s="697">
        <v>25.02</v>
      </c>
      <c r="O20" s="727">
        <v>44918</v>
      </c>
      <c r="P20" s="697">
        <f t="shared" si="1"/>
        <v>25.02</v>
      </c>
      <c r="Q20" s="695" t="s">
        <v>808</v>
      </c>
      <c r="R20" s="696">
        <v>101</v>
      </c>
      <c r="S20" s="731">
        <f t="shared" si="7"/>
        <v>882.64</v>
      </c>
      <c r="U20" s="122"/>
      <c r="V20" s="878">
        <f t="shared" si="8"/>
        <v>27</v>
      </c>
      <c r="W20" s="811"/>
      <c r="X20" s="697"/>
      <c r="Y20" s="727"/>
      <c r="Z20" s="697">
        <f t="shared" si="2"/>
        <v>0</v>
      </c>
      <c r="AA20" s="695"/>
      <c r="AB20" s="696"/>
      <c r="AC20" s="731">
        <f t="shared" si="9"/>
        <v>330.75</v>
      </c>
    </row>
    <row r="21" spans="1:29" x14ac:dyDescent="0.25">
      <c r="A21" s="122"/>
      <c r="B21" s="817">
        <f t="shared" si="4"/>
        <v>41</v>
      </c>
      <c r="C21" s="811">
        <v>8</v>
      </c>
      <c r="D21" s="69">
        <v>95.94</v>
      </c>
      <c r="E21" s="202">
        <v>44891</v>
      </c>
      <c r="F21" s="69">
        <f t="shared" si="3"/>
        <v>95.94</v>
      </c>
      <c r="G21" s="70" t="s">
        <v>313</v>
      </c>
      <c r="H21" s="71">
        <v>101</v>
      </c>
      <c r="I21" s="814">
        <f t="shared" si="5"/>
        <v>483.13999999999993</v>
      </c>
      <c r="K21" s="122"/>
      <c r="L21" s="878">
        <f t="shared" si="6"/>
        <v>62</v>
      </c>
      <c r="M21" s="811">
        <v>10</v>
      </c>
      <c r="N21" s="697">
        <v>121.23</v>
      </c>
      <c r="O21" s="727">
        <v>44921</v>
      </c>
      <c r="P21" s="697">
        <f t="shared" si="1"/>
        <v>121.23</v>
      </c>
      <c r="Q21" s="695" t="s">
        <v>828</v>
      </c>
      <c r="R21" s="696">
        <v>101</v>
      </c>
      <c r="S21" s="731">
        <f t="shared" si="7"/>
        <v>761.41</v>
      </c>
      <c r="U21" s="122"/>
      <c r="V21" s="878">
        <f t="shared" si="8"/>
        <v>27</v>
      </c>
      <c r="W21" s="811"/>
      <c r="X21" s="697"/>
      <c r="Y21" s="727"/>
      <c r="Z21" s="697">
        <f t="shared" si="2"/>
        <v>0</v>
      </c>
      <c r="AA21" s="695"/>
      <c r="AB21" s="696"/>
      <c r="AC21" s="731">
        <f t="shared" si="9"/>
        <v>330.75</v>
      </c>
    </row>
    <row r="22" spans="1:29" x14ac:dyDescent="0.25">
      <c r="A22" s="122"/>
      <c r="B22" s="182">
        <f t="shared" si="4"/>
        <v>36</v>
      </c>
      <c r="C22" s="15">
        <v>5</v>
      </c>
      <c r="D22" s="534">
        <v>59.87</v>
      </c>
      <c r="E22" s="726">
        <v>44893</v>
      </c>
      <c r="F22" s="534">
        <f t="shared" si="3"/>
        <v>59.87</v>
      </c>
      <c r="G22" s="329" t="s">
        <v>569</v>
      </c>
      <c r="H22" s="330">
        <v>101</v>
      </c>
      <c r="I22" s="105">
        <f t="shared" si="5"/>
        <v>423.26999999999992</v>
      </c>
      <c r="K22" s="122"/>
      <c r="L22" s="878">
        <f t="shared" si="6"/>
        <v>57</v>
      </c>
      <c r="M22" s="811">
        <v>5</v>
      </c>
      <c r="N22" s="697">
        <v>59.93</v>
      </c>
      <c r="O22" s="727">
        <v>44922</v>
      </c>
      <c r="P22" s="697">
        <f t="shared" si="1"/>
        <v>59.93</v>
      </c>
      <c r="Q22" s="695" t="s">
        <v>832</v>
      </c>
      <c r="R22" s="696">
        <v>101</v>
      </c>
      <c r="S22" s="731">
        <f t="shared" si="7"/>
        <v>701.48</v>
      </c>
      <c r="U22" s="122"/>
      <c r="V22" s="878">
        <f t="shared" si="8"/>
        <v>27</v>
      </c>
      <c r="W22" s="811"/>
      <c r="X22" s="697"/>
      <c r="Y22" s="727"/>
      <c r="Z22" s="697">
        <f t="shared" si="2"/>
        <v>0</v>
      </c>
      <c r="AA22" s="695"/>
      <c r="AB22" s="696"/>
      <c r="AC22" s="731">
        <f t="shared" si="9"/>
        <v>330.75</v>
      </c>
    </row>
    <row r="23" spans="1:29" x14ac:dyDescent="0.25">
      <c r="A23" s="123"/>
      <c r="B23" s="182">
        <f t="shared" si="4"/>
        <v>26</v>
      </c>
      <c r="C23" s="15">
        <v>10</v>
      </c>
      <c r="D23" s="534">
        <v>116.89</v>
      </c>
      <c r="E23" s="726">
        <v>44895</v>
      </c>
      <c r="F23" s="534">
        <f t="shared" si="3"/>
        <v>116.89</v>
      </c>
      <c r="G23" s="329" t="s">
        <v>577</v>
      </c>
      <c r="H23" s="330">
        <v>101</v>
      </c>
      <c r="I23" s="105">
        <f t="shared" si="5"/>
        <v>306.37999999999994</v>
      </c>
      <c r="K23" s="123"/>
      <c r="L23" s="878">
        <f t="shared" si="6"/>
        <v>47</v>
      </c>
      <c r="M23" s="811">
        <v>10</v>
      </c>
      <c r="N23" s="697">
        <v>120.6</v>
      </c>
      <c r="O23" s="727">
        <v>44924</v>
      </c>
      <c r="P23" s="697">
        <f t="shared" si="1"/>
        <v>120.6</v>
      </c>
      <c r="Q23" s="695" t="s">
        <v>813</v>
      </c>
      <c r="R23" s="696">
        <v>101</v>
      </c>
      <c r="S23" s="731">
        <f t="shared" si="7"/>
        <v>580.88</v>
      </c>
      <c r="U23" s="123"/>
      <c r="V23" s="878">
        <f t="shared" si="8"/>
        <v>27</v>
      </c>
      <c r="W23" s="811"/>
      <c r="X23" s="697"/>
      <c r="Y23" s="727"/>
      <c r="Z23" s="697">
        <f t="shared" si="2"/>
        <v>0</v>
      </c>
      <c r="AA23" s="695"/>
      <c r="AB23" s="696"/>
      <c r="AC23" s="731">
        <f t="shared" si="9"/>
        <v>330.75</v>
      </c>
    </row>
    <row r="24" spans="1:29" x14ac:dyDescent="0.25">
      <c r="A24" s="122"/>
      <c r="B24" s="182">
        <f t="shared" si="4"/>
        <v>25</v>
      </c>
      <c r="C24" s="15">
        <v>1</v>
      </c>
      <c r="D24" s="534">
        <v>12.2</v>
      </c>
      <c r="E24" s="726">
        <v>44895</v>
      </c>
      <c r="F24" s="534">
        <f t="shared" si="3"/>
        <v>12.2</v>
      </c>
      <c r="G24" s="329" t="s">
        <v>578</v>
      </c>
      <c r="H24" s="330">
        <v>101</v>
      </c>
      <c r="I24" s="105">
        <f t="shared" si="5"/>
        <v>294.17999999999995</v>
      </c>
      <c r="K24" s="122"/>
      <c r="L24" s="878">
        <f t="shared" si="6"/>
        <v>35</v>
      </c>
      <c r="M24" s="811">
        <v>12</v>
      </c>
      <c r="N24" s="697">
        <v>147.19</v>
      </c>
      <c r="O24" s="727">
        <v>44924</v>
      </c>
      <c r="P24" s="697">
        <f t="shared" si="1"/>
        <v>147.19</v>
      </c>
      <c r="Q24" s="695" t="s">
        <v>849</v>
      </c>
      <c r="R24" s="696">
        <v>101</v>
      </c>
      <c r="S24" s="731">
        <f t="shared" si="7"/>
        <v>433.69</v>
      </c>
      <c r="U24" s="122"/>
      <c r="V24" s="878">
        <f t="shared" si="8"/>
        <v>27</v>
      </c>
      <c r="W24" s="811"/>
      <c r="X24" s="697"/>
      <c r="Y24" s="727"/>
      <c r="Z24" s="697">
        <f t="shared" si="2"/>
        <v>0</v>
      </c>
      <c r="AA24" s="695"/>
      <c r="AB24" s="696"/>
      <c r="AC24" s="731">
        <f t="shared" si="9"/>
        <v>330.75</v>
      </c>
    </row>
    <row r="25" spans="1:29" x14ac:dyDescent="0.25">
      <c r="A25" s="122"/>
      <c r="B25" s="182">
        <f t="shared" si="4"/>
        <v>20</v>
      </c>
      <c r="C25" s="15">
        <v>5</v>
      </c>
      <c r="D25" s="534">
        <v>59.79</v>
      </c>
      <c r="E25" s="726">
        <v>44896</v>
      </c>
      <c r="F25" s="534">
        <f t="shared" si="3"/>
        <v>59.79</v>
      </c>
      <c r="G25" s="329" t="s">
        <v>589</v>
      </c>
      <c r="H25" s="330">
        <v>101</v>
      </c>
      <c r="I25" s="105">
        <f t="shared" si="5"/>
        <v>234.38999999999996</v>
      </c>
      <c r="K25" s="122"/>
      <c r="L25" s="878">
        <f t="shared" si="6"/>
        <v>34</v>
      </c>
      <c r="M25" s="811">
        <v>1</v>
      </c>
      <c r="N25" s="697">
        <v>12.38</v>
      </c>
      <c r="O25" s="727">
        <v>44925</v>
      </c>
      <c r="P25" s="697">
        <f t="shared" si="1"/>
        <v>12.38</v>
      </c>
      <c r="Q25" s="695" t="s">
        <v>855</v>
      </c>
      <c r="R25" s="696">
        <v>101</v>
      </c>
      <c r="S25" s="731">
        <f t="shared" si="7"/>
        <v>421.31</v>
      </c>
      <c r="U25" s="122"/>
      <c r="V25" s="878">
        <f t="shared" si="8"/>
        <v>27</v>
      </c>
      <c r="W25" s="811"/>
      <c r="X25" s="697"/>
      <c r="Y25" s="727"/>
      <c r="Z25" s="697">
        <f t="shared" si="2"/>
        <v>0</v>
      </c>
      <c r="AA25" s="695"/>
      <c r="AB25" s="696"/>
      <c r="AC25" s="731">
        <f t="shared" si="9"/>
        <v>330.75</v>
      </c>
    </row>
    <row r="26" spans="1:29" x14ac:dyDescent="0.25">
      <c r="A26" s="122"/>
      <c r="B26" s="182">
        <f t="shared" si="4"/>
        <v>15</v>
      </c>
      <c r="C26" s="15">
        <v>5</v>
      </c>
      <c r="D26" s="534">
        <v>58.85</v>
      </c>
      <c r="E26" s="726">
        <v>44898</v>
      </c>
      <c r="F26" s="534">
        <f t="shared" si="3"/>
        <v>58.85</v>
      </c>
      <c r="G26" s="329" t="s">
        <v>605</v>
      </c>
      <c r="H26" s="330">
        <v>101</v>
      </c>
      <c r="I26" s="105">
        <f t="shared" si="5"/>
        <v>175.53999999999996</v>
      </c>
      <c r="K26" s="122"/>
      <c r="L26" s="182">
        <f t="shared" si="6"/>
        <v>34</v>
      </c>
      <c r="M26" s="15"/>
      <c r="N26" s="69"/>
      <c r="O26" s="202"/>
      <c r="P26" s="69">
        <f t="shared" si="1"/>
        <v>0</v>
      </c>
      <c r="Q26" s="70"/>
      <c r="R26" s="71"/>
      <c r="S26" s="105">
        <f t="shared" si="7"/>
        <v>421.31</v>
      </c>
      <c r="U26" s="122"/>
      <c r="V26" s="182">
        <f t="shared" si="8"/>
        <v>27</v>
      </c>
      <c r="W26" s="15"/>
      <c r="X26" s="69"/>
      <c r="Y26" s="202"/>
      <c r="Z26" s="69">
        <f t="shared" si="2"/>
        <v>0</v>
      </c>
      <c r="AA26" s="70"/>
      <c r="AB26" s="71"/>
      <c r="AC26" s="105">
        <f t="shared" si="9"/>
        <v>330.75</v>
      </c>
    </row>
    <row r="27" spans="1:29" x14ac:dyDescent="0.25">
      <c r="A27" s="122"/>
      <c r="B27" s="182">
        <f t="shared" si="4"/>
        <v>5</v>
      </c>
      <c r="C27" s="15">
        <v>10</v>
      </c>
      <c r="D27" s="534">
        <v>118.08</v>
      </c>
      <c r="E27" s="726">
        <v>44901</v>
      </c>
      <c r="F27" s="534">
        <f t="shared" si="3"/>
        <v>118.08</v>
      </c>
      <c r="G27" s="329" t="s">
        <v>625</v>
      </c>
      <c r="H27" s="330">
        <v>101</v>
      </c>
      <c r="I27" s="105">
        <f t="shared" si="5"/>
        <v>57.459999999999965</v>
      </c>
      <c r="K27" s="122"/>
      <c r="L27" s="182">
        <f t="shared" si="6"/>
        <v>34</v>
      </c>
      <c r="M27" s="15"/>
      <c r="N27" s="69"/>
      <c r="O27" s="202"/>
      <c r="P27" s="69">
        <f t="shared" si="1"/>
        <v>0</v>
      </c>
      <c r="Q27" s="70"/>
      <c r="R27" s="71"/>
      <c r="S27" s="105">
        <f t="shared" si="7"/>
        <v>421.31</v>
      </c>
      <c r="U27" s="122"/>
      <c r="V27" s="182">
        <f t="shared" si="8"/>
        <v>27</v>
      </c>
      <c r="W27" s="15"/>
      <c r="X27" s="69"/>
      <c r="Y27" s="202"/>
      <c r="Z27" s="69">
        <f t="shared" si="2"/>
        <v>0</v>
      </c>
      <c r="AA27" s="70"/>
      <c r="AB27" s="71"/>
      <c r="AC27" s="105">
        <f t="shared" si="9"/>
        <v>330.75</v>
      </c>
    </row>
    <row r="28" spans="1:29" x14ac:dyDescent="0.25">
      <c r="A28" s="122"/>
      <c r="B28" s="182">
        <f t="shared" si="4"/>
        <v>5</v>
      </c>
      <c r="C28" s="15"/>
      <c r="D28" s="534"/>
      <c r="E28" s="726"/>
      <c r="F28" s="534">
        <f t="shared" si="3"/>
        <v>0</v>
      </c>
      <c r="G28" s="329"/>
      <c r="H28" s="330"/>
      <c r="I28" s="105">
        <f t="shared" si="5"/>
        <v>57.459999999999965</v>
      </c>
      <c r="K28" s="122"/>
      <c r="L28" s="182">
        <f t="shared" si="6"/>
        <v>34</v>
      </c>
      <c r="M28" s="15"/>
      <c r="N28" s="69"/>
      <c r="O28" s="202"/>
      <c r="P28" s="69">
        <f t="shared" si="1"/>
        <v>0</v>
      </c>
      <c r="Q28" s="70"/>
      <c r="R28" s="71"/>
      <c r="S28" s="105">
        <f t="shared" si="7"/>
        <v>421.31</v>
      </c>
      <c r="U28" s="122"/>
      <c r="V28" s="182">
        <f t="shared" si="8"/>
        <v>27</v>
      </c>
      <c r="W28" s="15"/>
      <c r="X28" s="69"/>
      <c r="Y28" s="202"/>
      <c r="Z28" s="69">
        <f t="shared" si="2"/>
        <v>0</v>
      </c>
      <c r="AA28" s="70"/>
      <c r="AB28" s="71"/>
      <c r="AC28" s="105">
        <f t="shared" si="9"/>
        <v>330.75</v>
      </c>
    </row>
    <row r="29" spans="1:29" x14ac:dyDescent="0.25">
      <c r="A29" s="122"/>
      <c r="B29" s="182">
        <f t="shared" si="4"/>
        <v>5</v>
      </c>
      <c r="C29" s="15"/>
      <c r="D29" s="534"/>
      <c r="E29" s="726"/>
      <c r="F29" s="534">
        <f t="shared" si="3"/>
        <v>0</v>
      </c>
      <c r="G29" s="329"/>
      <c r="H29" s="330"/>
      <c r="I29" s="105">
        <f t="shared" si="5"/>
        <v>57.459999999999965</v>
      </c>
      <c r="K29" s="122"/>
      <c r="L29" s="182">
        <f t="shared" si="6"/>
        <v>34</v>
      </c>
      <c r="M29" s="15"/>
      <c r="N29" s="69"/>
      <c r="O29" s="202"/>
      <c r="P29" s="69">
        <f t="shared" si="1"/>
        <v>0</v>
      </c>
      <c r="Q29" s="70"/>
      <c r="R29" s="71"/>
      <c r="S29" s="105">
        <f t="shared" si="7"/>
        <v>421.31</v>
      </c>
      <c r="U29" s="122"/>
      <c r="V29" s="182">
        <f t="shared" si="8"/>
        <v>27</v>
      </c>
      <c r="W29" s="15"/>
      <c r="X29" s="69"/>
      <c r="Y29" s="202"/>
      <c r="Z29" s="69">
        <f t="shared" si="2"/>
        <v>0</v>
      </c>
      <c r="AA29" s="70"/>
      <c r="AB29" s="71"/>
      <c r="AC29" s="105">
        <f t="shared" si="9"/>
        <v>330.75</v>
      </c>
    </row>
    <row r="30" spans="1:29" x14ac:dyDescent="0.25">
      <c r="A30" s="122"/>
      <c r="B30" s="182">
        <f t="shared" si="4"/>
        <v>0</v>
      </c>
      <c r="C30" s="15">
        <v>5</v>
      </c>
      <c r="D30" s="534"/>
      <c r="E30" s="726"/>
      <c r="F30" s="1160">
        <v>57.46</v>
      </c>
      <c r="G30" s="1161"/>
      <c r="H30" s="1162"/>
      <c r="I30" s="1163">
        <f t="shared" si="5"/>
        <v>0</v>
      </c>
      <c r="K30" s="122"/>
      <c r="L30" s="182">
        <f t="shared" si="6"/>
        <v>34</v>
      </c>
      <c r="M30" s="15"/>
      <c r="N30" s="69"/>
      <c r="O30" s="202"/>
      <c r="P30" s="69">
        <f t="shared" si="1"/>
        <v>0</v>
      </c>
      <c r="Q30" s="70"/>
      <c r="R30" s="71"/>
      <c r="S30" s="105">
        <f t="shared" si="7"/>
        <v>421.31</v>
      </c>
      <c r="U30" s="122"/>
      <c r="V30" s="182">
        <f t="shared" si="8"/>
        <v>27</v>
      </c>
      <c r="W30" s="15"/>
      <c r="X30" s="69"/>
      <c r="Y30" s="202"/>
      <c r="Z30" s="69">
        <f t="shared" si="2"/>
        <v>0</v>
      </c>
      <c r="AA30" s="70"/>
      <c r="AB30" s="71"/>
      <c r="AC30" s="105">
        <f t="shared" si="9"/>
        <v>330.75</v>
      </c>
    </row>
    <row r="31" spans="1:29" x14ac:dyDescent="0.25">
      <c r="A31" s="122"/>
      <c r="B31" s="182">
        <f t="shared" si="4"/>
        <v>0</v>
      </c>
      <c r="C31" s="15"/>
      <c r="D31" s="534"/>
      <c r="E31" s="726"/>
      <c r="F31" s="1160">
        <f t="shared" si="3"/>
        <v>0</v>
      </c>
      <c r="G31" s="1161"/>
      <c r="H31" s="1162"/>
      <c r="I31" s="1163">
        <f t="shared" si="5"/>
        <v>0</v>
      </c>
      <c r="K31" s="122"/>
      <c r="L31" s="182">
        <f t="shared" si="6"/>
        <v>34</v>
      </c>
      <c r="M31" s="15"/>
      <c r="N31" s="69"/>
      <c r="O31" s="202"/>
      <c r="P31" s="69">
        <f t="shared" si="1"/>
        <v>0</v>
      </c>
      <c r="Q31" s="70"/>
      <c r="R31" s="71"/>
      <c r="S31" s="105">
        <f t="shared" si="7"/>
        <v>421.31</v>
      </c>
      <c r="U31" s="122"/>
      <c r="V31" s="182">
        <f t="shared" si="8"/>
        <v>27</v>
      </c>
      <c r="W31" s="15"/>
      <c r="X31" s="69"/>
      <c r="Y31" s="202"/>
      <c r="Z31" s="69">
        <f t="shared" si="2"/>
        <v>0</v>
      </c>
      <c r="AA31" s="70"/>
      <c r="AB31" s="71"/>
      <c r="AC31" s="105">
        <f t="shared" si="9"/>
        <v>330.75</v>
      </c>
    </row>
    <row r="32" spans="1:29" x14ac:dyDescent="0.25">
      <c r="A32" s="122"/>
      <c r="B32" s="182">
        <f t="shared" si="4"/>
        <v>0</v>
      </c>
      <c r="C32" s="15"/>
      <c r="D32" s="534"/>
      <c r="E32" s="726"/>
      <c r="F32" s="1160">
        <f t="shared" si="3"/>
        <v>0</v>
      </c>
      <c r="G32" s="1161"/>
      <c r="H32" s="1162"/>
      <c r="I32" s="1163">
        <f t="shared" si="5"/>
        <v>0</v>
      </c>
      <c r="K32" s="122"/>
      <c r="L32" s="182">
        <f t="shared" si="6"/>
        <v>34</v>
      </c>
      <c r="M32" s="15"/>
      <c r="N32" s="69"/>
      <c r="O32" s="202"/>
      <c r="P32" s="69">
        <f t="shared" si="1"/>
        <v>0</v>
      </c>
      <c r="Q32" s="70"/>
      <c r="R32" s="71"/>
      <c r="S32" s="105">
        <f t="shared" si="7"/>
        <v>421.31</v>
      </c>
      <c r="U32" s="122"/>
      <c r="V32" s="182">
        <f t="shared" si="8"/>
        <v>27</v>
      </c>
      <c r="W32" s="15"/>
      <c r="X32" s="69"/>
      <c r="Y32" s="202"/>
      <c r="Z32" s="69">
        <f t="shared" si="2"/>
        <v>0</v>
      </c>
      <c r="AA32" s="70"/>
      <c r="AB32" s="71"/>
      <c r="AC32" s="105">
        <f t="shared" si="9"/>
        <v>330.75</v>
      </c>
    </row>
    <row r="33" spans="1:29" x14ac:dyDescent="0.25">
      <c r="A33" s="122"/>
      <c r="B33" s="182">
        <f t="shared" si="4"/>
        <v>0</v>
      </c>
      <c r="C33" s="15"/>
      <c r="D33" s="534"/>
      <c r="E33" s="726"/>
      <c r="F33" s="1160">
        <f t="shared" si="3"/>
        <v>0</v>
      </c>
      <c r="G33" s="1161"/>
      <c r="H33" s="1162"/>
      <c r="I33" s="1163">
        <f t="shared" si="5"/>
        <v>0</v>
      </c>
      <c r="K33" s="122"/>
      <c r="L33" s="182">
        <f t="shared" si="6"/>
        <v>34</v>
      </c>
      <c r="M33" s="15"/>
      <c r="N33" s="69"/>
      <c r="O33" s="202"/>
      <c r="P33" s="69">
        <f t="shared" si="1"/>
        <v>0</v>
      </c>
      <c r="Q33" s="70"/>
      <c r="R33" s="71"/>
      <c r="S33" s="105">
        <f t="shared" si="7"/>
        <v>421.31</v>
      </c>
      <c r="U33" s="122"/>
      <c r="V33" s="182">
        <f t="shared" si="8"/>
        <v>27</v>
      </c>
      <c r="W33" s="15"/>
      <c r="X33" s="69"/>
      <c r="Y33" s="202"/>
      <c r="Z33" s="69">
        <f t="shared" si="2"/>
        <v>0</v>
      </c>
      <c r="AA33" s="70"/>
      <c r="AB33" s="71"/>
      <c r="AC33" s="105">
        <f t="shared" si="9"/>
        <v>330.75</v>
      </c>
    </row>
    <row r="34" spans="1:29" x14ac:dyDescent="0.25">
      <c r="A34" s="122"/>
      <c r="B34" s="182">
        <f t="shared" si="4"/>
        <v>0</v>
      </c>
      <c r="C34" s="15"/>
      <c r="D34" s="534"/>
      <c r="E34" s="726"/>
      <c r="F34" s="534">
        <f t="shared" si="3"/>
        <v>0</v>
      </c>
      <c r="G34" s="329"/>
      <c r="H34" s="330"/>
      <c r="I34" s="105">
        <f t="shared" si="5"/>
        <v>0</v>
      </c>
      <c r="K34" s="122"/>
      <c r="L34" s="182">
        <f t="shared" si="6"/>
        <v>34</v>
      </c>
      <c r="M34" s="15"/>
      <c r="N34" s="69"/>
      <c r="O34" s="202"/>
      <c r="P34" s="69">
        <f t="shared" si="1"/>
        <v>0</v>
      </c>
      <c r="Q34" s="70"/>
      <c r="R34" s="71"/>
      <c r="S34" s="105">
        <f t="shared" si="7"/>
        <v>421.31</v>
      </c>
      <c r="U34" s="122"/>
      <c r="V34" s="182">
        <f t="shared" si="8"/>
        <v>27</v>
      </c>
      <c r="W34" s="15"/>
      <c r="X34" s="69"/>
      <c r="Y34" s="202"/>
      <c r="Z34" s="69">
        <f t="shared" si="2"/>
        <v>0</v>
      </c>
      <c r="AA34" s="70"/>
      <c r="AB34" s="71"/>
      <c r="AC34" s="105">
        <f t="shared" si="9"/>
        <v>330.75</v>
      </c>
    </row>
    <row r="35" spans="1:29" x14ac:dyDescent="0.25">
      <c r="A35" s="122"/>
      <c r="B35" s="182">
        <f t="shared" si="4"/>
        <v>0</v>
      </c>
      <c r="C35" s="15"/>
      <c r="D35" s="534"/>
      <c r="E35" s="726"/>
      <c r="F35" s="534">
        <f t="shared" si="3"/>
        <v>0</v>
      </c>
      <c r="G35" s="329"/>
      <c r="H35" s="330"/>
      <c r="I35" s="105">
        <f t="shared" si="5"/>
        <v>0</v>
      </c>
      <c r="K35" s="122"/>
      <c r="L35" s="182">
        <f t="shared" si="6"/>
        <v>34</v>
      </c>
      <c r="M35" s="15"/>
      <c r="N35" s="69"/>
      <c r="O35" s="202"/>
      <c r="P35" s="69">
        <f t="shared" si="1"/>
        <v>0</v>
      </c>
      <c r="Q35" s="70"/>
      <c r="R35" s="71"/>
      <c r="S35" s="105">
        <f t="shared" si="7"/>
        <v>421.31</v>
      </c>
      <c r="U35" s="122"/>
      <c r="V35" s="182">
        <f t="shared" si="8"/>
        <v>27</v>
      </c>
      <c r="W35" s="15"/>
      <c r="X35" s="69"/>
      <c r="Y35" s="202"/>
      <c r="Z35" s="69">
        <f t="shared" si="2"/>
        <v>0</v>
      </c>
      <c r="AA35" s="70"/>
      <c r="AB35" s="71"/>
      <c r="AC35" s="105">
        <f t="shared" si="9"/>
        <v>330.75</v>
      </c>
    </row>
    <row r="36" spans="1:29" x14ac:dyDescent="0.25">
      <c r="A36" s="122" t="s">
        <v>22</v>
      </c>
      <c r="B36" s="182">
        <f t="shared" si="4"/>
        <v>0</v>
      </c>
      <c r="C36" s="15"/>
      <c r="D36" s="534"/>
      <c r="E36" s="726"/>
      <c r="F36" s="534">
        <f t="shared" si="3"/>
        <v>0</v>
      </c>
      <c r="G36" s="329"/>
      <c r="H36" s="330"/>
      <c r="I36" s="105">
        <f t="shared" si="5"/>
        <v>0</v>
      </c>
      <c r="K36" s="122" t="s">
        <v>22</v>
      </c>
      <c r="L36" s="182">
        <f t="shared" si="6"/>
        <v>34</v>
      </c>
      <c r="M36" s="15"/>
      <c r="N36" s="69"/>
      <c r="O36" s="202"/>
      <c r="P36" s="69">
        <f t="shared" si="1"/>
        <v>0</v>
      </c>
      <c r="Q36" s="70"/>
      <c r="R36" s="71"/>
      <c r="S36" s="105">
        <f t="shared" si="7"/>
        <v>421.31</v>
      </c>
      <c r="U36" s="122" t="s">
        <v>22</v>
      </c>
      <c r="V36" s="182">
        <f t="shared" si="8"/>
        <v>27</v>
      </c>
      <c r="W36" s="15"/>
      <c r="X36" s="69"/>
      <c r="Y36" s="202"/>
      <c r="Z36" s="69">
        <f t="shared" si="2"/>
        <v>0</v>
      </c>
      <c r="AA36" s="70"/>
      <c r="AB36" s="71"/>
      <c r="AC36" s="105">
        <f t="shared" si="9"/>
        <v>330.75</v>
      </c>
    </row>
    <row r="37" spans="1:29" x14ac:dyDescent="0.25">
      <c r="A37" s="123"/>
      <c r="B37" s="182">
        <f t="shared" si="4"/>
        <v>0</v>
      </c>
      <c r="C37" s="15"/>
      <c r="D37" s="69"/>
      <c r="E37" s="202"/>
      <c r="F37" s="69">
        <f t="shared" si="3"/>
        <v>0</v>
      </c>
      <c r="G37" s="70"/>
      <c r="H37" s="71"/>
      <c r="I37" s="105">
        <f t="shared" si="5"/>
        <v>0</v>
      </c>
      <c r="K37" s="123"/>
      <c r="L37" s="182">
        <f t="shared" si="6"/>
        <v>34</v>
      </c>
      <c r="M37" s="15"/>
      <c r="N37" s="69"/>
      <c r="O37" s="202"/>
      <c r="P37" s="69">
        <f t="shared" si="1"/>
        <v>0</v>
      </c>
      <c r="Q37" s="70"/>
      <c r="R37" s="71"/>
      <c r="S37" s="105">
        <f t="shared" si="7"/>
        <v>421.31</v>
      </c>
      <c r="U37" s="123"/>
      <c r="V37" s="182">
        <f t="shared" si="8"/>
        <v>27</v>
      </c>
      <c r="W37" s="15"/>
      <c r="X37" s="69"/>
      <c r="Y37" s="202"/>
      <c r="Z37" s="69">
        <f t="shared" si="2"/>
        <v>0</v>
      </c>
      <c r="AA37" s="70"/>
      <c r="AB37" s="71"/>
      <c r="AC37" s="105">
        <f t="shared" si="9"/>
        <v>330.75</v>
      </c>
    </row>
    <row r="38" spans="1:29" x14ac:dyDescent="0.25">
      <c r="A38" s="122"/>
      <c r="B38" s="182">
        <f t="shared" si="4"/>
        <v>0</v>
      </c>
      <c r="C38" s="15"/>
      <c r="D38" s="69"/>
      <c r="E38" s="202"/>
      <c r="F38" s="69">
        <f t="shared" si="3"/>
        <v>0</v>
      </c>
      <c r="G38" s="70"/>
      <c r="H38" s="71"/>
      <c r="I38" s="105">
        <f t="shared" si="5"/>
        <v>0</v>
      </c>
      <c r="K38" s="122"/>
      <c r="L38" s="182">
        <f t="shared" si="6"/>
        <v>34</v>
      </c>
      <c r="M38" s="15"/>
      <c r="N38" s="69"/>
      <c r="O38" s="202"/>
      <c r="P38" s="69">
        <f t="shared" si="1"/>
        <v>0</v>
      </c>
      <c r="Q38" s="70"/>
      <c r="R38" s="71"/>
      <c r="S38" s="105">
        <f t="shared" si="7"/>
        <v>421.31</v>
      </c>
      <c r="U38" s="122"/>
      <c r="V38" s="182">
        <f t="shared" si="8"/>
        <v>27</v>
      </c>
      <c r="W38" s="15"/>
      <c r="X38" s="69"/>
      <c r="Y38" s="202"/>
      <c r="Z38" s="69">
        <f t="shared" si="2"/>
        <v>0</v>
      </c>
      <c r="AA38" s="70"/>
      <c r="AB38" s="71"/>
      <c r="AC38" s="105">
        <f t="shared" si="9"/>
        <v>330.75</v>
      </c>
    </row>
    <row r="39" spans="1:29" x14ac:dyDescent="0.25">
      <c r="A39" s="122"/>
      <c r="B39" s="182">
        <f t="shared" si="4"/>
        <v>0</v>
      </c>
      <c r="C39" s="15"/>
      <c r="D39" s="69"/>
      <c r="E39" s="202"/>
      <c r="F39" s="69">
        <f t="shared" si="3"/>
        <v>0</v>
      </c>
      <c r="G39" s="70"/>
      <c r="H39" s="71"/>
      <c r="I39" s="105">
        <f t="shared" si="5"/>
        <v>0</v>
      </c>
      <c r="K39" s="122"/>
      <c r="L39" s="182">
        <f t="shared" si="6"/>
        <v>34</v>
      </c>
      <c r="M39" s="15"/>
      <c r="N39" s="69"/>
      <c r="O39" s="202"/>
      <c r="P39" s="69">
        <f t="shared" si="1"/>
        <v>0</v>
      </c>
      <c r="Q39" s="70"/>
      <c r="R39" s="71"/>
      <c r="S39" s="105">
        <f t="shared" si="7"/>
        <v>421.31</v>
      </c>
      <c r="U39" s="122"/>
      <c r="V39" s="182">
        <f t="shared" si="8"/>
        <v>27</v>
      </c>
      <c r="W39" s="15"/>
      <c r="X39" s="69"/>
      <c r="Y39" s="202"/>
      <c r="Z39" s="69">
        <f t="shared" si="2"/>
        <v>0</v>
      </c>
      <c r="AA39" s="70"/>
      <c r="AB39" s="71"/>
      <c r="AC39" s="105">
        <f t="shared" si="9"/>
        <v>330.75</v>
      </c>
    </row>
    <row r="40" spans="1:29" x14ac:dyDescent="0.25">
      <c r="A40" s="122"/>
      <c r="B40" s="182">
        <f t="shared" si="4"/>
        <v>0</v>
      </c>
      <c r="C40" s="15"/>
      <c r="D40" s="69"/>
      <c r="E40" s="202"/>
      <c r="F40" s="69">
        <f t="shared" si="3"/>
        <v>0</v>
      </c>
      <c r="G40" s="70"/>
      <c r="H40" s="71"/>
      <c r="I40" s="105">
        <f t="shared" si="5"/>
        <v>0</v>
      </c>
      <c r="K40" s="122"/>
      <c r="L40" s="182">
        <f t="shared" si="6"/>
        <v>34</v>
      </c>
      <c r="M40" s="15"/>
      <c r="N40" s="69"/>
      <c r="O40" s="202"/>
      <c r="P40" s="69">
        <f t="shared" si="1"/>
        <v>0</v>
      </c>
      <c r="Q40" s="70"/>
      <c r="R40" s="71"/>
      <c r="S40" s="105">
        <f t="shared" si="7"/>
        <v>421.31</v>
      </c>
      <c r="U40" s="122"/>
      <c r="V40" s="182">
        <f t="shared" si="8"/>
        <v>27</v>
      </c>
      <c r="W40" s="15"/>
      <c r="X40" s="69"/>
      <c r="Y40" s="202"/>
      <c r="Z40" s="69">
        <f t="shared" si="2"/>
        <v>0</v>
      </c>
      <c r="AA40" s="70"/>
      <c r="AB40" s="71"/>
      <c r="AC40" s="105">
        <f t="shared" si="9"/>
        <v>330.75</v>
      </c>
    </row>
    <row r="41" spans="1:29" x14ac:dyDescent="0.25">
      <c r="A41" s="122"/>
      <c r="B41" s="182">
        <f t="shared" si="4"/>
        <v>0</v>
      </c>
      <c r="C41" s="15"/>
      <c r="D41" s="69"/>
      <c r="E41" s="202"/>
      <c r="F41" s="69">
        <f t="shared" si="3"/>
        <v>0</v>
      </c>
      <c r="G41" s="70"/>
      <c r="H41" s="71"/>
      <c r="I41" s="105">
        <f t="shared" si="5"/>
        <v>0</v>
      </c>
      <c r="K41" s="122"/>
      <c r="L41" s="182">
        <f t="shared" si="6"/>
        <v>34</v>
      </c>
      <c r="M41" s="15"/>
      <c r="N41" s="69"/>
      <c r="O41" s="202"/>
      <c r="P41" s="69">
        <f t="shared" si="1"/>
        <v>0</v>
      </c>
      <c r="Q41" s="70"/>
      <c r="R41" s="71"/>
      <c r="S41" s="105">
        <f t="shared" si="7"/>
        <v>421.31</v>
      </c>
      <c r="U41" s="122"/>
      <c r="V41" s="182">
        <f t="shared" si="8"/>
        <v>27</v>
      </c>
      <c r="W41" s="15"/>
      <c r="X41" s="69"/>
      <c r="Y41" s="202"/>
      <c r="Z41" s="69">
        <f t="shared" si="2"/>
        <v>0</v>
      </c>
      <c r="AA41" s="70"/>
      <c r="AB41" s="71"/>
      <c r="AC41" s="105">
        <f t="shared" si="9"/>
        <v>330.75</v>
      </c>
    </row>
    <row r="42" spans="1:29" x14ac:dyDescent="0.25">
      <c r="A42" s="122"/>
      <c r="B42" s="182">
        <f t="shared" si="4"/>
        <v>0</v>
      </c>
      <c r="C42" s="15"/>
      <c r="D42" s="69"/>
      <c r="E42" s="202"/>
      <c r="F42" s="69">
        <f t="shared" si="3"/>
        <v>0</v>
      </c>
      <c r="G42" s="70"/>
      <c r="H42" s="71"/>
      <c r="I42" s="105">
        <f t="shared" si="5"/>
        <v>0</v>
      </c>
      <c r="K42" s="122"/>
      <c r="L42" s="182">
        <f t="shared" si="6"/>
        <v>34</v>
      </c>
      <c r="M42" s="15"/>
      <c r="N42" s="69"/>
      <c r="O42" s="202"/>
      <c r="P42" s="69">
        <f t="shared" si="1"/>
        <v>0</v>
      </c>
      <c r="Q42" s="70"/>
      <c r="R42" s="71"/>
      <c r="S42" s="105">
        <f t="shared" si="7"/>
        <v>421.31</v>
      </c>
      <c r="U42" s="122"/>
      <c r="V42" s="182">
        <f t="shared" si="8"/>
        <v>27</v>
      </c>
      <c r="W42" s="15"/>
      <c r="X42" s="69"/>
      <c r="Y42" s="202"/>
      <c r="Z42" s="69">
        <f t="shared" si="2"/>
        <v>0</v>
      </c>
      <c r="AA42" s="70"/>
      <c r="AB42" s="71"/>
      <c r="AC42" s="105">
        <f t="shared" si="9"/>
        <v>330.75</v>
      </c>
    </row>
    <row r="43" spans="1:29" x14ac:dyDescent="0.25">
      <c r="A43" s="122"/>
      <c r="B43" s="182">
        <f t="shared" si="4"/>
        <v>0</v>
      </c>
      <c r="C43" s="15"/>
      <c r="D43" s="69"/>
      <c r="E43" s="202"/>
      <c r="F43" s="69">
        <f t="shared" si="3"/>
        <v>0</v>
      </c>
      <c r="G43" s="70"/>
      <c r="H43" s="71"/>
      <c r="I43" s="105">
        <f t="shared" si="5"/>
        <v>0</v>
      </c>
      <c r="K43" s="122"/>
      <c r="L43" s="182">
        <f t="shared" si="6"/>
        <v>34</v>
      </c>
      <c r="M43" s="15"/>
      <c r="N43" s="69"/>
      <c r="O43" s="202"/>
      <c r="P43" s="69">
        <f t="shared" si="1"/>
        <v>0</v>
      </c>
      <c r="Q43" s="70"/>
      <c r="R43" s="71"/>
      <c r="S43" s="105">
        <f t="shared" si="7"/>
        <v>421.31</v>
      </c>
      <c r="U43" s="122"/>
      <c r="V43" s="182">
        <f t="shared" si="8"/>
        <v>27</v>
      </c>
      <c r="W43" s="15"/>
      <c r="X43" s="69"/>
      <c r="Y43" s="202"/>
      <c r="Z43" s="69">
        <f t="shared" si="2"/>
        <v>0</v>
      </c>
      <c r="AA43" s="70"/>
      <c r="AB43" s="71"/>
      <c r="AC43" s="105">
        <f t="shared" si="9"/>
        <v>330.75</v>
      </c>
    </row>
    <row r="44" spans="1:29" x14ac:dyDescent="0.25">
      <c r="A44" s="122"/>
      <c r="B44" s="182">
        <f t="shared" si="4"/>
        <v>0</v>
      </c>
      <c r="C44" s="15"/>
      <c r="D44" s="69"/>
      <c r="E44" s="202"/>
      <c r="F44" s="69">
        <f t="shared" si="3"/>
        <v>0</v>
      </c>
      <c r="G44" s="70"/>
      <c r="H44" s="71"/>
      <c r="I44" s="105">
        <f t="shared" si="5"/>
        <v>0</v>
      </c>
      <c r="K44" s="122"/>
      <c r="L44" s="182">
        <f t="shared" si="6"/>
        <v>34</v>
      </c>
      <c r="M44" s="15"/>
      <c r="N44" s="69"/>
      <c r="O44" s="202"/>
      <c r="P44" s="69">
        <f t="shared" si="1"/>
        <v>0</v>
      </c>
      <c r="Q44" s="70"/>
      <c r="R44" s="71"/>
      <c r="S44" s="105">
        <f t="shared" si="7"/>
        <v>421.31</v>
      </c>
      <c r="U44" s="122"/>
      <c r="V44" s="182">
        <f t="shared" si="8"/>
        <v>27</v>
      </c>
      <c r="W44" s="15"/>
      <c r="X44" s="69"/>
      <c r="Y44" s="202"/>
      <c r="Z44" s="69">
        <f t="shared" si="2"/>
        <v>0</v>
      </c>
      <c r="AA44" s="70"/>
      <c r="AB44" s="71"/>
      <c r="AC44" s="105">
        <f t="shared" si="9"/>
        <v>330.75</v>
      </c>
    </row>
    <row r="45" spans="1:29" x14ac:dyDescent="0.25">
      <c r="A45" s="122"/>
      <c r="B45" s="182">
        <f t="shared" si="4"/>
        <v>0</v>
      </c>
      <c r="C45" s="15"/>
      <c r="D45" s="69"/>
      <c r="E45" s="202"/>
      <c r="F45" s="69">
        <f t="shared" si="3"/>
        <v>0</v>
      </c>
      <c r="G45" s="70"/>
      <c r="H45" s="71"/>
      <c r="I45" s="105">
        <f t="shared" si="5"/>
        <v>0</v>
      </c>
      <c r="K45" s="122"/>
      <c r="L45" s="182">
        <f t="shared" si="6"/>
        <v>34</v>
      </c>
      <c r="M45" s="15"/>
      <c r="N45" s="69"/>
      <c r="O45" s="202"/>
      <c r="P45" s="69">
        <f t="shared" si="1"/>
        <v>0</v>
      </c>
      <c r="Q45" s="70"/>
      <c r="R45" s="71"/>
      <c r="S45" s="105">
        <f t="shared" si="7"/>
        <v>421.31</v>
      </c>
      <c r="U45" s="122"/>
      <c r="V45" s="182">
        <f t="shared" si="8"/>
        <v>27</v>
      </c>
      <c r="W45" s="15"/>
      <c r="X45" s="69"/>
      <c r="Y45" s="202"/>
      <c r="Z45" s="69">
        <f t="shared" si="2"/>
        <v>0</v>
      </c>
      <c r="AA45" s="70"/>
      <c r="AB45" s="71"/>
      <c r="AC45" s="105">
        <f t="shared" si="9"/>
        <v>330.75</v>
      </c>
    </row>
    <row r="46" spans="1:29" x14ac:dyDescent="0.25">
      <c r="A46" s="122"/>
      <c r="B46" s="182">
        <f t="shared" si="4"/>
        <v>0</v>
      </c>
      <c r="C46" s="15"/>
      <c r="D46" s="69"/>
      <c r="E46" s="202"/>
      <c r="F46" s="69">
        <f t="shared" si="3"/>
        <v>0</v>
      </c>
      <c r="G46" s="70"/>
      <c r="H46" s="71"/>
      <c r="I46" s="105">
        <f t="shared" si="5"/>
        <v>0</v>
      </c>
      <c r="K46" s="122"/>
      <c r="L46" s="182">
        <f t="shared" si="6"/>
        <v>34</v>
      </c>
      <c r="M46" s="15"/>
      <c r="N46" s="69"/>
      <c r="O46" s="202"/>
      <c r="P46" s="69">
        <f t="shared" si="1"/>
        <v>0</v>
      </c>
      <c r="Q46" s="70"/>
      <c r="R46" s="71"/>
      <c r="S46" s="105">
        <f t="shared" si="7"/>
        <v>421.31</v>
      </c>
      <c r="U46" s="122"/>
      <c r="V46" s="182">
        <f t="shared" si="8"/>
        <v>27</v>
      </c>
      <c r="W46" s="15"/>
      <c r="X46" s="69"/>
      <c r="Y46" s="202"/>
      <c r="Z46" s="69">
        <f t="shared" si="2"/>
        <v>0</v>
      </c>
      <c r="AA46" s="70"/>
      <c r="AB46" s="71"/>
      <c r="AC46" s="105">
        <f t="shared" si="9"/>
        <v>330.75</v>
      </c>
    </row>
    <row r="47" spans="1:29" x14ac:dyDescent="0.25">
      <c r="A47" s="122"/>
      <c r="B47" s="182">
        <f t="shared" si="4"/>
        <v>0</v>
      </c>
      <c r="C47" s="15"/>
      <c r="D47" s="69"/>
      <c r="E47" s="202"/>
      <c r="F47" s="69">
        <f t="shared" si="3"/>
        <v>0</v>
      </c>
      <c r="G47" s="70"/>
      <c r="H47" s="71"/>
      <c r="I47" s="105">
        <f t="shared" si="5"/>
        <v>0</v>
      </c>
      <c r="K47" s="122"/>
      <c r="L47" s="182">
        <f t="shared" si="6"/>
        <v>34</v>
      </c>
      <c r="M47" s="15"/>
      <c r="N47" s="69"/>
      <c r="O47" s="202"/>
      <c r="P47" s="69">
        <f t="shared" si="1"/>
        <v>0</v>
      </c>
      <c r="Q47" s="70"/>
      <c r="R47" s="71"/>
      <c r="S47" s="105">
        <f t="shared" si="7"/>
        <v>421.31</v>
      </c>
      <c r="U47" s="122"/>
      <c r="V47" s="182">
        <f t="shared" si="8"/>
        <v>27</v>
      </c>
      <c r="W47" s="15"/>
      <c r="X47" s="69"/>
      <c r="Y47" s="202"/>
      <c r="Z47" s="69">
        <f t="shared" si="2"/>
        <v>0</v>
      </c>
      <c r="AA47" s="70"/>
      <c r="AB47" s="71"/>
      <c r="AC47" s="105">
        <f t="shared" si="9"/>
        <v>330.75</v>
      </c>
    </row>
    <row r="48" spans="1:29" x14ac:dyDescent="0.25">
      <c r="A48" s="122"/>
      <c r="B48" s="182">
        <f t="shared" si="4"/>
        <v>0</v>
      </c>
      <c r="C48" s="15"/>
      <c r="D48" s="69"/>
      <c r="E48" s="202"/>
      <c r="F48" s="69">
        <f t="shared" si="3"/>
        <v>0</v>
      </c>
      <c r="G48" s="70"/>
      <c r="H48" s="71"/>
      <c r="I48" s="105">
        <f t="shared" si="5"/>
        <v>0</v>
      </c>
      <c r="K48" s="122"/>
      <c r="L48" s="182">
        <f t="shared" si="6"/>
        <v>34</v>
      </c>
      <c r="M48" s="15"/>
      <c r="N48" s="69"/>
      <c r="O48" s="202"/>
      <c r="P48" s="69">
        <f t="shared" si="1"/>
        <v>0</v>
      </c>
      <c r="Q48" s="70"/>
      <c r="R48" s="71"/>
      <c r="S48" s="105">
        <f t="shared" si="7"/>
        <v>421.31</v>
      </c>
      <c r="U48" s="122"/>
      <c r="V48" s="182">
        <f t="shared" si="8"/>
        <v>27</v>
      </c>
      <c r="W48" s="15"/>
      <c r="X48" s="69"/>
      <c r="Y48" s="202"/>
      <c r="Z48" s="69">
        <f t="shared" si="2"/>
        <v>0</v>
      </c>
      <c r="AA48" s="70"/>
      <c r="AB48" s="71"/>
      <c r="AC48" s="105">
        <f t="shared" si="9"/>
        <v>330.75</v>
      </c>
    </row>
    <row r="49" spans="1:29" x14ac:dyDescent="0.25">
      <c r="A49" s="122"/>
      <c r="B49" s="182">
        <f t="shared" si="4"/>
        <v>0</v>
      </c>
      <c r="C49" s="15"/>
      <c r="D49" s="69"/>
      <c r="E49" s="202"/>
      <c r="F49" s="69">
        <f t="shared" si="3"/>
        <v>0</v>
      </c>
      <c r="G49" s="70"/>
      <c r="H49" s="71"/>
      <c r="I49" s="105">
        <f t="shared" si="5"/>
        <v>0</v>
      </c>
      <c r="K49" s="122"/>
      <c r="L49" s="182">
        <f t="shared" si="6"/>
        <v>34</v>
      </c>
      <c r="M49" s="15"/>
      <c r="N49" s="69"/>
      <c r="O49" s="202"/>
      <c r="P49" s="69">
        <f t="shared" si="1"/>
        <v>0</v>
      </c>
      <c r="Q49" s="70"/>
      <c r="R49" s="71"/>
      <c r="S49" s="105">
        <f t="shared" si="7"/>
        <v>421.31</v>
      </c>
      <c r="U49" s="122"/>
      <c r="V49" s="182">
        <f t="shared" si="8"/>
        <v>27</v>
      </c>
      <c r="W49" s="15"/>
      <c r="X49" s="69"/>
      <c r="Y49" s="202"/>
      <c r="Z49" s="69">
        <f t="shared" si="2"/>
        <v>0</v>
      </c>
      <c r="AA49" s="70"/>
      <c r="AB49" s="71"/>
      <c r="AC49" s="105">
        <f t="shared" si="9"/>
        <v>330.75</v>
      </c>
    </row>
    <row r="50" spans="1:29" x14ac:dyDescent="0.25">
      <c r="A50" s="122"/>
      <c r="B50" s="182">
        <f t="shared" si="4"/>
        <v>0</v>
      </c>
      <c r="C50" s="15"/>
      <c r="D50" s="69"/>
      <c r="E50" s="202"/>
      <c r="F50" s="69">
        <f t="shared" si="3"/>
        <v>0</v>
      </c>
      <c r="G50" s="70"/>
      <c r="H50" s="71"/>
      <c r="I50" s="105">
        <f t="shared" si="5"/>
        <v>0</v>
      </c>
      <c r="K50" s="122"/>
      <c r="L50" s="182">
        <f t="shared" si="6"/>
        <v>34</v>
      </c>
      <c r="M50" s="15"/>
      <c r="N50" s="69"/>
      <c r="O50" s="202"/>
      <c r="P50" s="69">
        <f t="shared" si="1"/>
        <v>0</v>
      </c>
      <c r="Q50" s="70"/>
      <c r="R50" s="71"/>
      <c r="S50" s="105">
        <f t="shared" si="7"/>
        <v>421.31</v>
      </c>
      <c r="U50" s="122"/>
      <c r="V50" s="182">
        <f t="shared" si="8"/>
        <v>27</v>
      </c>
      <c r="W50" s="15"/>
      <c r="X50" s="69"/>
      <c r="Y50" s="202"/>
      <c r="Z50" s="69">
        <f t="shared" si="2"/>
        <v>0</v>
      </c>
      <c r="AA50" s="70"/>
      <c r="AB50" s="71"/>
      <c r="AC50" s="105">
        <f t="shared" si="9"/>
        <v>330.75</v>
      </c>
    </row>
    <row r="51" spans="1:29" x14ac:dyDescent="0.25">
      <c r="A51" s="122"/>
      <c r="B51" s="182">
        <f t="shared" si="4"/>
        <v>0</v>
      </c>
      <c r="C51" s="15"/>
      <c r="D51" s="69"/>
      <c r="E51" s="202"/>
      <c r="F51" s="69">
        <f t="shared" si="3"/>
        <v>0</v>
      </c>
      <c r="G51" s="70"/>
      <c r="H51" s="71"/>
      <c r="I51" s="105">
        <f t="shared" si="5"/>
        <v>0</v>
      </c>
      <c r="K51" s="122"/>
      <c r="L51" s="182">
        <f t="shared" si="6"/>
        <v>34</v>
      </c>
      <c r="M51" s="15"/>
      <c r="N51" s="69"/>
      <c r="O51" s="202"/>
      <c r="P51" s="69">
        <f t="shared" si="1"/>
        <v>0</v>
      </c>
      <c r="Q51" s="70"/>
      <c r="R51" s="71"/>
      <c r="S51" s="105">
        <f t="shared" si="7"/>
        <v>421.31</v>
      </c>
      <c r="U51" s="122"/>
      <c r="V51" s="182">
        <f t="shared" si="8"/>
        <v>27</v>
      </c>
      <c r="W51" s="15"/>
      <c r="X51" s="69"/>
      <c r="Y51" s="202"/>
      <c r="Z51" s="69">
        <f t="shared" si="2"/>
        <v>0</v>
      </c>
      <c r="AA51" s="70"/>
      <c r="AB51" s="71"/>
      <c r="AC51" s="105">
        <f t="shared" si="9"/>
        <v>330.75</v>
      </c>
    </row>
    <row r="52" spans="1:29" x14ac:dyDescent="0.25">
      <c r="A52" s="122"/>
      <c r="B52" s="182">
        <f t="shared" si="4"/>
        <v>0</v>
      </c>
      <c r="C52" s="15"/>
      <c r="D52" s="69"/>
      <c r="E52" s="202"/>
      <c r="F52" s="69">
        <f t="shared" si="3"/>
        <v>0</v>
      </c>
      <c r="G52" s="70"/>
      <c r="H52" s="71"/>
      <c r="I52" s="105">
        <f t="shared" si="5"/>
        <v>0</v>
      </c>
      <c r="K52" s="122"/>
      <c r="L52" s="182">
        <f t="shared" si="6"/>
        <v>34</v>
      </c>
      <c r="M52" s="15"/>
      <c r="N52" s="69"/>
      <c r="O52" s="202"/>
      <c r="P52" s="69">
        <f t="shared" si="1"/>
        <v>0</v>
      </c>
      <c r="Q52" s="70"/>
      <c r="R52" s="71"/>
      <c r="S52" s="105">
        <f t="shared" si="7"/>
        <v>421.31</v>
      </c>
      <c r="U52" s="122"/>
      <c r="V52" s="182">
        <f t="shared" si="8"/>
        <v>27</v>
      </c>
      <c r="W52" s="15"/>
      <c r="X52" s="69"/>
      <c r="Y52" s="202"/>
      <c r="Z52" s="69">
        <f t="shared" si="2"/>
        <v>0</v>
      </c>
      <c r="AA52" s="70"/>
      <c r="AB52" s="71"/>
      <c r="AC52" s="105">
        <f t="shared" si="9"/>
        <v>330.75</v>
      </c>
    </row>
    <row r="53" spans="1:29" x14ac:dyDescent="0.25">
      <c r="A53" s="122"/>
      <c r="B53" s="182">
        <f t="shared" si="4"/>
        <v>0</v>
      </c>
      <c r="C53" s="15"/>
      <c r="D53" s="69"/>
      <c r="E53" s="202"/>
      <c r="F53" s="69">
        <f t="shared" si="3"/>
        <v>0</v>
      </c>
      <c r="G53" s="70"/>
      <c r="H53" s="71"/>
      <c r="I53" s="105">
        <f t="shared" si="5"/>
        <v>0</v>
      </c>
      <c r="K53" s="122"/>
      <c r="L53" s="182">
        <f t="shared" si="6"/>
        <v>34</v>
      </c>
      <c r="M53" s="15"/>
      <c r="N53" s="69"/>
      <c r="O53" s="202"/>
      <c r="P53" s="69">
        <f t="shared" si="1"/>
        <v>0</v>
      </c>
      <c r="Q53" s="70"/>
      <c r="R53" s="71"/>
      <c r="S53" s="105">
        <f t="shared" si="7"/>
        <v>421.31</v>
      </c>
      <c r="U53" s="122"/>
      <c r="V53" s="182">
        <f t="shared" si="8"/>
        <v>27</v>
      </c>
      <c r="W53" s="15"/>
      <c r="X53" s="69"/>
      <c r="Y53" s="202"/>
      <c r="Z53" s="69">
        <f t="shared" si="2"/>
        <v>0</v>
      </c>
      <c r="AA53" s="70"/>
      <c r="AB53" s="71"/>
      <c r="AC53" s="105">
        <f t="shared" si="9"/>
        <v>330.75</v>
      </c>
    </row>
    <row r="54" spans="1:29" x14ac:dyDescent="0.25">
      <c r="A54" s="122"/>
      <c r="B54" s="182">
        <f t="shared" si="4"/>
        <v>0</v>
      </c>
      <c r="C54" s="15"/>
      <c r="D54" s="69"/>
      <c r="E54" s="202"/>
      <c r="F54" s="69">
        <f t="shared" si="3"/>
        <v>0</v>
      </c>
      <c r="G54" s="70"/>
      <c r="H54" s="71"/>
      <c r="I54" s="105">
        <f t="shared" si="5"/>
        <v>0</v>
      </c>
      <c r="K54" s="122"/>
      <c r="L54" s="182">
        <f t="shared" si="6"/>
        <v>34</v>
      </c>
      <c r="M54" s="15"/>
      <c r="N54" s="69"/>
      <c r="O54" s="202"/>
      <c r="P54" s="69">
        <f t="shared" si="1"/>
        <v>0</v>
      </c>
      <c r="Q54" s="70"/>
      <c r="R54" s="71"/>
      <c r="S54" s="105">
        <f t="shared" si="7"/>
        <v>421.31</v>
      </c>
      <c r="U54" s="122"/>
      <c r="V54" s="182">
        <f t="shared" si="8"/>
        <v>27</v>
      </c>
      <c r="W54" s="15"/>
      <c r="X54" s="69"/>
      <c r="Y54" s="202"/>
      <c r="Z54" s="69">
        <f t="shared" si="2"/>
        <v>0</v>
      </c>
      <c r="AA54" s="70"/>
      <c r="AB54" s="71"/>
      <c r="AC54" s="105">
        <f t="shared" si="9"/>
        <v>330.75</v>
      </c>
    </row>
    <row r="55" spans="1:29" x14ac:dyDescent="0.25">
      <c r="A55" s="122"/>
      <c r="B55" s="182">
        <f t="shared" si="4"/>
        <v>0</v>
      </c>
      <c r="C55" s="15"/>
      <c r="D55" s="69"/>
      <c r="E55" s="202"/>
      <c r="F55" s="69">
        <f t="shared" si="3"/>
        <v>0</v>
      </c>
      <c r="G55" s="70"/>
      <c r="H55" s="71"/>
      <c r="I55" s="105">
        <f t="shared" si="5"/>
        <v>0</v>
      </c>
      <c r="K55" s="122"/>
      <c r="L55" s="182">
        <f t="shared" si="6"/>
        <v>34</v>
      </c>
      <c r="M55" s="15"/>
      <c r="N55" s="69"/>
      <c r="O55" s="202"/>
      <c r="P55" s="69">
        <f t="shared" si="1"/>
        <v>0</v>
      </c>
      <c r="Q55" s="70"/>
      <c r="R55" s="71"/>
      <c r="S55" s="105">
        <f t="shared" si="7"/>
        <v>421.31</v>
      </c>
      <c r="U55" s="122"/>
      <c r="V55" s="182">
        <f t="shared" si="8"/>
        <v>27</v>
      </c>
      <c r="W55" s="15"/>
      <c r="X55" s="69"/>
      <c r="Y55" s="202"/>
      <c r="Z55" s="69">
        <f t="shared" si="2"/>
        <v>0</v>
      </c>
      <c r="AA55" s="70"/>
      <c r="AB55" s="71"/>
      <c r="AC55" s="105">
        <f t="shared" si="9"/>
        <v>330.75</v>
      </c>
    </row>
    <row r="56" spans="1:29" x14ac:dyDescent="0.25">
      <c r="A56" s="122"/>
      <c r="B56" s="182">
        <f t="shared" si="4"/>
        <v>0</v>
      </c>
      <c r="C56" s="15"/>
      <c r="D56" s="69"/>
      <c r="E56" s="202"/>
      <c r="F56" s="69">
        <f t="shared" si="3"/>
        <v>0</v>
      </c>
      <c r="G56" s="70"/>
      <c r="H56" s="71"/>
      <c r="I56" s="105">
        <f t="shared" si="5"/>
        <v>0</v>
      </c>
      <c r="K56" s="122"/>
      <c r="L56" s="182">
        <f t="shared" si="6"/>
        <v>34</v>
      </c>
      <c r="M56" s="15"/>
      <c r="N56" s="69"/>
      <c r="O56" s="202"/>
      <c r="P56" s="69">
        <f t="shared" si="1"/>
        <v>0</v>
      </c>
      <c r="Q56" s="70"/>
      <c r="R56" s="71"/>
      <c r="S56" s="105">
        <f t="shared" si="7"/>
        <v>421.31</v>
      </c>
      <c r="U56" s="122"/>
      <c r="V56" s="182">
        <f t="shared" si="8"/>
        <v>27</v>
      </c>
      <c r="W56" s="15"/>
      <c r="X56" s="69"/>
      <c r="Y56" s="202"/>
      <c r="Z56" s="69">
        <f t="shared" si="2"/>
        <v>0</v>
      </c>
      <c r="AA56" s="70"/>
      <c r="AB56" s="71"/>
      <c r="AC56" s="105">
        <f t="shared" si="9"/>
        <v>330.75</v>
      </c>
    </row>
    <row r="57" spans="1:29" x14ac:dyDescent="0.25">
      <c r="A57" s="122"/>
      <c r="B57" s="182">
        <f t="shared" si="4"/>
        <v>0</v>
      </c>
      <c r="C57" s="15"/>
      <c r="D57" s="69"/>
      <c r="E57" s="202"/>
      <c r="F57" s="69">
        <f t="shared" si="3"/>
        <v>0</v>
      </c>
      <c r="G57" s="70"/>
      <c r="H57" s="71"/>
      <c r="I57" s="105">
        <f t="shared" si="5"/>
        <v>0</v>
      </c>
      <c r="K57" s="122"/>
      <c r="L57" s="182">
        <f t="shared" si="6"/>
        <v>34</v>
      </c>
      <c r="M57" s="15"/>
      <c r="N57" s="69"/>
      <c r="O57" s="202"/>
      <c r="P57" s="69">
        <f t="shared" si="1"/>
        <v>0</v>
      </c>
      <c r="Q57" s="70"/>
      <c r="R57" s="71"/>
      <c r="S57" s="105">
        <f t="shared" si="7"/>
        <v>421.31</v>
      </c>
      <c r="U57" s="122"/>
      <c r="V57" s="182">
        <f t="shared" si="8"/>
        <v>27</v>
      </c>
      <c r="W57" s="15"/>
      <c r="X57" s="69"/>
      <c r="Y57" s="202"/>
      <c r="Z57" s="69">
        <f t="shared" si="2"/>
        <v>0</v>
      </c>
      <c r="AA57" s="70"/>
      <c r="AB57" s="71"/>
      <c r="AC57" s="105">
        <f t="shared" si="9"/>
        <v>330.75</v>
      </c>
    </row>
    <row r="58" spans="1:29" x14ac:dyDescent="0.25">
      <c r="A58" s="122"/>
      <c r="B58" s="182">
        <f t="shared" si="4"/>
        <v>0</v>
      </c>
      <c r="C58" s="15"/>
      <c r="D58" s="69"/>
      <c r="E58" s="202"/>
      <c r="F58" s="69">
        <f t="shared" si="3"/>
        <v>0</v>
      </c>
      <c r="G58" s="70"/>
      <c r="H58" s="71"/>
      <c r="I58" s="105">
        <f t="shared" si="5"/>
        <v>0</v>
      </c>
      <c r="K58" s="122"/>
      <c r="L58" s="182">
        <f t="shared" si="6"/>
        <v>34</v>
      </c>
      <c r="M58" s="15"/>
      <c r="N58" s="69"/>
      <c r="O58" s="202"/>
      <c r="P58" s="69">
        <f t="shared" si="1"/>
        <v>0</v>
      </c>
      <c r="Q58" s="70"/>
      <c r="R58" s="71"/>
      <c r="S58" s="105">
        <f t="shared" si="7"/>
        <v>421.31</v>
      </c>
      <c r="U58" s="122"/>
      <c r="V58" s="182">
        <f t="shared" si="8"/>
        <v>27</v>
      </c>
      <c r="W58" s="15"/>
      <c r="X58" s="69"/>
      <c r="Y58" s="202"/>
      <c r="Z58" s="69">
        <f t="shared" si="2"/>
        <v>0</v>
      </c>
      <c r="AA58" s="70"/>
      <c r="AB58" s="71"/>
      <c r="AC58" s="105">
        <f t="shared" si="9"/>
        <v>330.75</v>
      </c>
    </row>
    <row r="59" spans="1:29" x14ac:dyDescent="0.25">
      <c r="A59" s="122"/>
      <c r="B59" s="182">
        <f t="shared" si="4"/>
        <v>0</v>
      </c>
      <c r="C59" s="15"/>
      <c r="D59" s="69"/>
      <c r="E59" s="202"/>
      <c r="F59" s="69">
        <f t="shared" si="3"/>
        <v>0</v>
      </c>
      <c r="G59" s="70"/>
      <c r="H59" s="71"/>
      <c r="I59" s="105">
        <f t="shared" si="5"/>
        <v>0</v>
      </c>
      <c r="K59" s="122"/>
      <c r="L59" s="182">
        <f t="shared" si="6"/>
        <v>34</v>
      </c>
      <c r="M59" s="15"/>
      <c r="N59" s="69"/>
      <c r="O59" s="202"/>
      <c r="P59" s="69">
        <f t="shared" si="1"/>
        <v>0</v>
      </c>
      <c r="Q59" s="70"/>
      <c r="R59" s="71"/>
      <c r="S59" s="105">
        <f t="shared" si="7"/>
        <v>421.31</v>
      </c>
      <c r="U59" s="122"/>
      <c r="V59" s="182">
        <f t="shared" si="8"/>
        <v>27</v>
      </c>
      <c r="W59" s="15"/>
      <c r="X59" s="69"/>
      <c r="Y59" s="202"/>
      <c r="Z59" s="69">
        <f t="shared" si="2"/>
        <v>0</v>
      </c>
      <c r="AA59" s="70"/>
      <c r="AB59" s="71"/>
      <c r="AC59" s="105">
        <f t="shared" si="9"/>
        <v>330.75</v>
      </c>
    </row>
    <row r="60" spans="1:29" x14ac:dyDescent="0.25">
      <c r="A60" s="122"/>
      <c r="B60" s="182">
        <f t="shared" si="4"/>
        <v>0</v>
      </c>
      <c r="C60" s="15"/>
      <c r="D60" s="69"/>
      <c r="E60" s="202"/>
      <c r="F60" s="69">
        <f t="shared" si="3"/>
        <v>0</v>
      </c>
      <c r="G60" s="70"/>
      <c r="H60" s="71"/>
      <c r="I60" s="105">
        <f t="shared" si="5"/>
        <v>0</v>
      </c>
      <c r="K60" s="122"/>
      <c r="L60" s="182">
        <f t="shared" si="6"/>
        <v>34</v>
      </c>
      <c r="M60" s="15"/>
      <c r="N60" s="69"/>
      <c r="O60" s="202"/>
      <c r="P60" s="69">
        <f t="shared" si="1"/>
        <v>0</v>
      </c>
      <c r="Q60" s="70"/>
      <c r="R60" s="71"/>
      <c r="S60" s="105">
        <f t="shared" si="7"/>
        <v>421.31</v>
      </c>
      <c r="U60" s="122"/>
      <c r="V60" s="182">
        <f t="shared" si="8"/>
        <v>27</v>
      </c>
      <c r="W60" s="15"/>
      <c r="X60" s="69"/>
      <c r="Y60" s="202"/>
      <c r="Z60" s="69">
        <f t="shared" si="2"/>
        <v>0</v>
      </c>
      <c r="AA60" s="70"/>
      <c r="AB60" s="71"/>
      <c r="AC60" s="105">
        <f t="shared" si="9"/>
        <v>330.75</v>
      </c>
    </row>
    <row r="61" spans="1:29" x14ac:dyDescent="0.25">
      <c r="A61" s="122"/>
      <c r="B61" s="182">
        <f t="shared" si="4"/>
        <v>0</v>
      </c>
      <c r="C61" s="15"/>
      <c r="D61" s="69"/>
      <c r="E61" s="202"/>
      <c r="F61" s="69">
        <f t="shared" si="3"/>
        <v>0</v>
      </c>
      <c r="G61" s="70"/>
      <c r="H61" s="71"/>
      <c r="I61" s="105">
        <f t="shared" si="5"/>
        <v>0</v>
      </c>
      <c r="K61" s="122"/>
      <c r="L61" s="182">
        <f t="shared" si="6"/>
        <v>34</v>
      </c>
      <c r="M61" s="15"/>
      <c r="N61" s="69"/>
      <c r="O61" s="202"/>
      <c r="P61" s="69">
        <f t="shared" si="1"/>
        <v>0</v>
      </c>
      <c r="Q61" s="70"/>
      <c r="R61" s="71"/>
      <c r="S61" s="105">
        <f t="shared" si="7"/>
        <v>421.31</v>
      </c>
      <c r="U61" s="122"/>
      <c r="V61" s="182">
        <f t="shared" si="8"/>
        <v>27</v>
      </c>
      <c r="W61" s="15"/>
      <c r="X61" s="69"/>
      <c r="Y61" s="202"/>
      <c r="Z61" s="69">
        <f t="shared" si="2"/>
        <v>0</v>
      </c>
      <c r="AA61" s="70"/>
      <c r="AB61" s="71"/>
      <c r="AC61" s="105">
        <f t="shared" si="9"/>
        <v>330.75</v>
      </c>
    </row>
    <row r="62" spans="1:29" x14ac:dyDescent="0.25">
      <c r="A62" s="122"/>
      <c r="B62" s="182">
        <f t="shared" si="4"/>
        <v>0</v>
      </c>
      <c r="C62" s="15"/>
      <c r="D62" s="69"/>
      <c r="E62" s="202"/>
      <c r="F62" s="69">
        <f t="shared" si="3"/>
        <v>0</v>
      </c>
      <c r="G62" s="70"/>
      <c r="H62" s="71"/>
      <c r="I62" s="105">
        <f t="shared" si="5"/>
        <v>0</v>
      </c>
      <c r="K62" s="122"/>
      <c r="L62" s="182">
        <f t="shared" si="6"/>
        <v>34</v>
      </c>
      <c r="M62" s="15"/>
      <c r="N62" s="69"/>
      <c r="O62" s="202"/>
      <c r="P62" s="69">
        <f t="shared" si="1"/>
        <v>0</v>
      </c>
      <c r="Q62" s="70"/>
      <c r="R62" s="71"/>
      <c r="S62" s="105">
        <f t="shared" si="7"/>
        <v>421.31</v>
      </c>
      <c r="U62" s="122"/>
      <c r="V62" s="182">
        <f t="shared" si="8"/>
        <v>27</v>
      </c>
      <c r="W62" s="15"/>
      <c r="X62" s="69"/>
      <c r="Y62" s="202"/>
      <c r="Z62" s="69">
        <f t="shared" si="2"/>
        <v>0</v>
      </c>
      <c r="AA62" s="70"/>
      <c r="AB62" s="71"/>
      <c r="AC62" s="105">
        <f t="shared" si="9"/>
        <v>330.75</v>
      </c>
    </row>
    <row r="63" spans="1:29" x14ac:dyDescent="0.25">
      <c r="A63" s="122"/>
      <c r="B63" s="182">
        <f t="shared" si="4"/>
        <v>0</v>
      </c>
      <c r="C63" s="15"/>
      <c r="D63" s="69"/>
      <c r="E63" s="202"/>
      <c r="F63" s="69">
        <f t="shared" si="3"/>
        <v>0</v>
      </c>
      <c r="G63" s="70"/>
      <c r="H63" s="71"/>
      <c r="I63" s="105">
        <f t="shared" si="5"/>
        <v>0</v>
      </c>
      <c r="K63" s="122"/>
      <c r="L63" s="182">
        <f t="shared" si="6"/>
        <v>34</v>
      </c>
      <c r="M63" s="15"/>
      <c r="N63" s="69"/>
      <c r="O63" s="202"/>
      <c r="P63" s="69">
        <f t="shared" si="1"/>
        <v>0</v>
      </c>
      <c r="Q63" s="70"/>
      <c r="R63" s="71"/>
      <c r="S63" s="105">
        <f t="shared" si="7"/>
        <v>421.31</v>
      </c>
      <c r="U63" s="122"/>
      <c r="V63" s="182">
        <f t="shared" si="8"/>
        <v>27</v>
      </c>
      <c r="W63" s="15"/>
      <c r="X63" s="69"/>
      <c r="Y63" s="202"/>
      <c r="Z63" s="69">
        <f t="shared" si="2"/>
        <v>0</v>
      </c>
      <c r="AA63" s="70"/>
      <c r="AB63" s="71"/>
      <c r="AC63" s="105">
        <f t="shared" si="9"/>
        <v>330.75</v>
      </c>
    </row>
    <row r="64" spans="1:29" x14ac:dyDescent="0.25">
      <c r="A64" s="122"/>
      <c r="B64" s="182">
        <f t="shared" si="4"/>
        <v>0</v>
      </c>
      <c r="C64" s="15"/>
      <c r="D64" s="69"/>
      <c r="E64" s="202"/>
      <c r="F64" s="69">
        <f t="shared" si="3"/>
        <v>0</v>
      </c>
      <c r="G64" s="70"/>
      <c r="H64" s="71"/>
      <c r="I64" s="105">
        <f t="shared" si="5"/>
        <v>0</v>
      </c>
      <c r="K64" s="122"/>
      <c r="L64" s="182">
        <f t="shared" si="6"/>
        <v>34</v>
      </c>
      <c r="M64" s="15"/>
      <c r="N64" s="69"/>
      <c r="O64" s="202"/>
      <c r="P64" s="69">
        <f t="shared" si="1"/>
        <v>0</v>
      </c>
      <c r="Q64" s="70"/>
      <c r="R64" s="71"/>
      <c r="S64" s="105">
        <f t="shared" si="7"/>
        <v>421.31</v>
      </c>
      <c r="U64" s="122"/>
      <c r="V64" s="182">
        <f t="shared" si="8"/>
        <v>27</v>
      </c>
      <c r="W64" s="15"/>
      <c r="X64" s="69"/>
      <c r="Y64" s="202"/>
      <c r="Z64" s="69">
        <f t="shared" si="2"/>
        <v>0</v>
      </c>
      <c r="AA64" s="70"/>
      <c r="AB64" s="71"/>
      <c r="AC64" s="105">
        <f t="shared" si="9"/>
        <v>330.75</v>
      </c>
    </row>
    <row r="65" spans="1:29" x14ac:dyDescent="0.25">
      <c r="A65" s="122"/>
      <c r="B65" s="182">
        <f t="shared" si="4"/>
        <v>0</v>
      </c>
      <c r="C65" s="15"/>
      <c r="D65" s="69"/>
      <c r="E65" s="202"/>
      <c r="F65" s="69">
        <f t="shared" si="3"/>
        <v>0</v>
      </c>
      <c r="G65" s="70"/>
      <c r="H65" s="71"/>
      <c r="I65" s="105">
        <f t="shared" si="5"/>
        <v>0</v>
      </c>
      <c r="K65" s="122"/>
      <c r="L65" s="182">
        <f t="shared" si="6"/>
        <v>34</v>
      </c>
      <c r="M65" s="15"/>
      <c r="N65" s="69"/>
      <c r="O65" s="202"/>
      <c r="P65" s="69">
        <f t="shared" si="1"/>
        <v>0</v>
      </c>
      <c r="Q65" s="70"/>
      <c r="R65" s="71"/>
      <c r="S65" s="105">
        <f t="shared" si="7"/>
        <v>421.31</v>
      </c>
      <c r="U65" s="122"/>
      <c r="V65" s="182">
        <f t="shared" si="8"/>
        <v>27</v>
      </c>
      <c r="W65" s="15"/>
      <c r="X65" s="69"/>
      <c r="Y65" s="202"/>
      <c r="Z65" s="69">
        <f t="shared" si="2"/>
        <v>0</v>
      </c>
      <c r="AA65" s="70"/>
      <c r="AB65" s="71"/>
      <c r="AC65" s="105">
        <f t="shared" si="9"/>
        <v>330.75</v>
      </c>
    </row>
    <row r="66" spans="1:29" x14ac:dyDescent="0.25">
      <c r="A66" s="122"/>
      <c r="B66" s="182">
        <f t="shared" si="4"/>
        <v>0</v>
      </c>
      <c r="C66" s="15"/>
      <c r="D66" s="69"/>
      <c r="E66" s="202"/>
      <c r="F66" s="69">
        <f t="shared" si="3"/>
        <v>0</v>
      </c>
      <c r="G66" s="70"/>
      <c r="H66" s="71"/>
      <c r="I66" s="105">
        <f t="shared" si="5"/>
        <v>0</v>
      </c>
      <c r="K66" s="122"/>
      <c r="L66" s="182">
        <f t="shared" si="6"/>
        <v>34</v>
      </c>
      <c r="M66" s="15"/>
      <c r="N66" s="69"/>
      <c r="O66" s="202"/>
      <c r="P66" s="69">
        <f t="shared" si="1"/>
        <v>0</v>
      </c>
      <c r="Q66" s="70"/>
      <c r="R66" s="71"/>
      <c r="S66" s="105">
        <f t="shared" si="7"/>
        <v>421.31</v>
      </c>
      <c r="U66" s="122"/>
      <c r="V66" s="182">
        <f t="shared" si="8"/>
        <v>27</v>
      </c>
      <c r="W66" s="15"/>
      <c r="X66" s="69"/>
      <c r="Y66" s="202"/>
      <c r="Z66" s="69">
        <f t="shared" si="2"/>
        <v>0</v>
      </c>
      <c r="AA66" s="70"/>
      <c r="AB66" s="71"/>
      <c r="AC66" s="105">
        <f t="shared" si="9"/>
        <v>330.75</v>
      </c>
    </row>
    <row r="67" spans="1:29" x14ac:dyDescent="0.25">
      <c r="A67" s="122"/>
      <c r="B67" s="182">
        <f t="shared" si="4"/>
        <v>0</v>
      </c>
      <c r="C67" s="15"/>
      <c r="D67" s="69"/>
      <c r="E67" s="202"/>
      <c r="F67" s="69">
        <f t="shared" si="3"/>
        <v>0</v>
      </c>
      <c r="G67" s="70"/>
      <c r="H67" s="71"/>
      <c r="I67" s="105">
        <f t="shared" si="5"/>
        <v>0</v>
      </c>
      <c r="K67" s="122"/>
      <c r="L67" s="182">
        <f t="shared" si="6"/>
        <v>34</v>
      </c>
      <c r="M67" s="15"/>
      <c r="N67" s="69"/>
      <c r="O67" s="202"/>
      <c r="P67" s="69">
        <f t="shared" si="1"/>
        <v>0</v>
      </c>
      <c r="Q67" s="70"/>
      <c r="R67" s="71"/>
      <c r="S67" s="105">
        <f t="shared" si="7"/>
        <v>421.31</v>
      </c>
      <c r="U67" s="122"/>
      <c r="V67" s="182">
        <f t="shared" si="8"/>
        <v>27</v>
      </c>
      <c r="W67" s="15"/>
      <c r="X67" s="69"/>
      <c r="Y67" s="202"/>
      <c r="Z67" s="69">
        <f t="shared" si="2"/>
        <v>0</v>
      </c>
      <c r="AA67" s="70"/>
      <c r="AB67" s="71"/>
      <c r="AC67" s="105">
        <f t="shared" si="9"/>
        <v>330.75</v>
      </c>
    </row>
    <row r="68" spans="1:29" x14ac:dyDescent="0.25">
      <c r="A68" s="122"/>
      <c r="B68" s="182">
        <f t="shared" si="4"/>
        <v>0</v>
      </c>
      <c r="C68" s="15"/>
      <c r="D68" s="59"/>
      <c r="E68" s="209"/>
      <c r="F68" s="69">
        <f t="shared" si="3"/>
        <v>0</v>
      </c>
      <c r="G68" s="70"/>
      <c r="H68" s="71"/>
      <c r="I68" s="105">
        <f t="shared" si="5"/>
        <v>0</v>
      </c>
      <c r="K68" s="122"/>
      <c r="L68" s="182">
        <f t="shared" si="6"/>
        <v>34</v>
      </c>
      <c r="M68" s="15"/>
      <c r="N68" s="59"/>
      <c r="O68" s="209"/>
      <c r="P68" s="69">
        <f t="shared" si="1"/>
        <v>0</v>
      </c>
      <c r="Q68" s="70"/>
      <c r="R68" s="71"/>
      <c r="S68" s="105">
        <f t="shared" si="7"/>
        <v>421.31</v>
      </c>
      <c r="U68" s="122"/>
      <c r="V68" s="182">
        <f t="shared" si="8"/>
        <v>27</v>
      </c>
      <c r="W68" s="15"/>
      <c r="X68" s="59"/>
      <c r="Y68" s="209"/>
      <c r="Z68" s="69">
        <f t="shared" si="2"/>
        <v>0</v>
      </c>
      <c r="AA68" s="70"/>
      <c r="AB68" s="71"/>
      <c r="AC68" s="105">
        <f t="shared" si="9"/>
        <v>330.75</v>
      </c>
    </row>
    <row r="69" spans="1:29" x14ac:dyDescent="0.25">
      <c r="A69" s="122"/>
      <c r="B69" s="182">
        <f t="shared" si="4"/>
        <v>0</v>
      </c>
      <c r="C69" s="15"/>
      <c r="D69" s="59"/>
      <c r="E69" s="209"/>
      <c r="F69" s="69">
        <f t="shared" si="3"/>
        <v>0</v>
      </c>
      <c r="G69" s="70"/>
      <c r="H69" s="71"/>
      <c r="I69" s="105">
        <f t="shared" si="5"/>
        <v>0</v>
      </c>
      <c r="K69" s="122"/>
      <c r="L69" s="182">
        <f t="shared" si="6"/>
        <v>34</v>
      </c>
      <c r="M69" s="15"/>
      <c r="N69" s="59"/>
      <c r="O69" s="209"/>
      <c r="P69" s="69">
        <f t="shared" si="1"/>
        <v>0</v>
      </c>
      <c r="Q69" s="70"/>
      <c r="R69" s="71"/>
      <c r="S69" s="105">
        <f t="shared" si="7"/>
        <v>421.31</v>
      </c>
      <c r="U69" s="122"/>
      <c r="V69" s="182">
        <f t="shared" si="8"/>
        <v>27</v>
      </c>
      <c r="W69" s="15"/>
      <c r="X69" s="59"/>
      <c r="Y69" s="209"/>
      <c r="Z69" s="69">
        <f t="shared" si="2"/>
        <v>0</v>
      </c>
      <c r="AA69" s="70"/>
      <c r="AB69" s="71"/>
      <c r="AC69" s="105">
        <f t="shared" si="9"/>
        <v>330.75</v>
      </c>
    </row>
    <row r="70" spans="1:29" x14ac:dyDescent="0.25">
      <c r="A70" s="122"/>
      <c r="B70" s="182">
        <f t="shared" si="4"/>
        <v>0</v>
      </c>
      <c r="C70" s="15"/>
      <c r="D70" s="59"/>
      <c r="E70" s="209"/>
      <c r="F70" s="69">
        <f t="shared" si="3"/>
        <v>0</v>
      </c>
      <c r="G70" s="70"/>
      <c r="H70" s="71"/>
      <c r="I70" s="105">
        <f t="shared" si="5"/>
        <v>0</v>
      </c>
      <c r="K70" s="122"/>
      <c r="L70" s="182">
        <f t="shared" si="6"/>
        <v>34</v>
      </c>
      <c r="M70" s="15"/>
      <c r="N70" s="59"/>
      <c r="O70" s="209"/>
      <c r="P70" s="69">
        <f t="shared" si="1"/>
        <v>0</v>
      </c>
      <c r="Q70" s="70"/>
      <c r="R70" s="71"/>
      <c r="S70" s="105">
        <f t="shared" si="7"/>
        <v>421.31</v>
      </c>
      <c r="U70" s="122"/>
      <c r="V70" s="182">
        <f t="shared" si="8"/>
        <v>27</v>
      </c>
      <c r="W70" s="15"/>
      <c r="X70" s="59"/>
      <c r="Y70" s="209"/>
      <c r="Z70" s="69">
        <f t="shared" si="2"/>
        <v>0</v>
      </c>
      <c r="AA70" s="70"/>
      <c r="AB70" s="71"/>
      <c r="AC70" s="105">
        <f t="shared" si="9"/>
        <v>330.75</v>
      </c>
    </row>
    <row r="71" spans="1:29" x14ac:dyDescent="0.25">
      <c r="A71" s="122"/>
      <c r="B71" s="182">
        <f t="shared" si="4"/>
        <v>0</v>
      </c>
      <c r="C71" s="15"/>
      <c r="D71" s="59"/>
      <c r="E71" s="209"/>
      <c r="F71" s="69">
        <f t="shared" si="3"/>
        <v>0</v>
      </c>
      <c r="G71" s="70"/>
      <c r="H71" s="71"/>
      <c r="I71" s="105">
        <f t="shared" si="5"/>
        <v>0</v>
      </c>
      <c r="K71" s="122"/>
      <c r="L71" s="182">
        <f t="shared" si="6"/>
        <v>34</v>
      </c>
      <c r="M71" s="15"/>
      <c r="N71" s="59"/>
      <c r="O71" s="209"/>
      <c r="P71" s="69">
        <f t="shared" si="1"/>
        <v>0</v>
      </c>
      <c r="Q71" s="70"/>
      <c r="R71" s="71"/>
      <c r="S71" s="105">
        <f t="shared" si="7"/>
        <v>421.31</v>
      </c>
      <c r="U71" s="122"/>
      <c r="V71" s="182">
        <f t="shared" si="8"/>
        <v>27</v>
      </c>
      <c r="W71" s="15"/>
      <c r="X71" s="59"/>
      <c r="Y71" s="209"/>
      <c r="Z71" s="69">
        <f t="shared" si="2"/>
        <v>0</v>
      </c>
      <c r="AA71" s="70"/>
      <c r="AB71" s="71"/>
      <c r="AC71" s="105">
        <f t="shared" si="9"/>
        <v>330.75</v>
      </c>
    </row>
    <row r="72" spans="1:29" x14ac:dyDescent="0.25">
      <c r="A72" s="122"/>
      <c r="B72" s="182">
        <f t="shared" si="4"/>
        <v>0</v>
      </c>
      <c r="C72" s="15"/>
      <c r="D72" s="59"/>
      <c r="E72" s="209"/>
      <c r="F72" s="69">
        <f t="shared" si="3"/>
        <v>0</v>
      </c>
      <c r="G72" s="70"/>
      <c r="H72" s="71"/>
      <c r="I72" s="105">
        <f t="shared" si="5"/>
        <v>0</v>
      </c>
      <c r="K72" s="122"/>
      <c r="L72" s="182">
        <f t="shared" si="6"/>
        <v>34</v>
      </c>
      <c r="M72" s="15"/>
      <c r="N72" s="59"/>
      <c r="O72" s="209"/>
      <c r="P72" s="69">
        <f t="shared" si="1"/>
        <v>0</v>
      </c>
      <c r="Q72" s="70"/>
      <c r="R72" s="71"/>
      <c r="S72" s="105">
        <f t="shared" si="7"/>
        <v>421.31</v>
      </c>
      <c r="U72" s="122"/>
      <c r="V72" s="182">
        <f t="shared" si="8"/>
        <v>27</v>
      </c>
      <c r="W72" s="15"/>
      <c r="X72" s="59"/>
      <c r="Y72" s="209"/>
      <c r="Z72" s="69">
        <f t="shared" si="2"/>
        <v>0</v>
      </c>
      <c r="AA72" s="70"/>
      <c r="AB72" s="71"/>
      <c r="AC72" s="105">
        <f t="shared" si="9"/>
        <v>330.75</v>
      </c>
    </row>
    <row r="73" spans="1:29" x14ac:dyDescent="0.25">
      <c r="A73" s="122"/>
      <c r="B73" s="182">
        <f t="shared" si="4"/>
        <v>0</v>
      </c>
      <c r="C73" s="15"/>
      <c r="D73" s="59"/>
      <c r="E73" s="209"/>
      <c r="F73" s="69">
        <f t="shared" ref="F73" si="10">D73</f>
        <v>0</v>
      </c>
      <c r="G73" s="70"/>
      <c r="H73" s="71"/>
      <c r="I73" s="105">
        <f t="shared" si="5"/>
        <v>0</v>
      </c>
      <c r="K73" s="122"/>
      <c r="L73" s="182">
        <f t="shared" si="6"/>
        <v>34</v>
      </c>
      <c r="M73" s="15"/>
      <c r="N73" s="59"/>
      <c r="O73" s="209"/>
      <c r="P73" s="69">
        <f t="shared" ref="P73" si="11">N73</f>
        <v>0</v>
      </c>
      <c r="Q73" s="70"/>
      <c r="R73" s="71"/>
      <c r="S73" s="105">
        <f t="shared" si="7"/>
        <v>421.31</v>
      </c>
      <c r="U73" s="122"/>
      <c r="V73" s="182">
        <f t="shared" si="8"/>
        <v>27</v>
      </c>
      <c r="W73" s="15"/>
      <c r="X73" s="59"/>
      <c r="Y73" s="209"/>
      <c r="Z73" s="69">
        <f t="shared" ref="Z73" si="12">X73</f>
        <v>0</v>
      </c>
      <c r="AA73" s="70"/>
      <c r="AB73" s="71"/>
      <c r="AC73" s="105">
        <f t="shared" si="9"/>
        <v>330.75</v>
      </c>
    </row>
    <row r="74" spans="1:29" x14ac:dyDescent="0.25">
      <c r="A74" s="122"/>
      <c r="B74" s="182">
        <f t="shared" si="4"/>
        <v>0</v>
      </c>
      <c r="C74" s="15"/>
      <c r="D74" s="59"/>
      <c r="E74" s="209"/>
      <c r="F74" s="69">
        <f>D74</f>
        <v>0</v>
      </c>
      <c r="G74" s="70"/>
      <c r="H74" s="71"/>
      <c r="I74" s="105">
        <f t="shared" si="5"/>
        <v>0</v>
      </c>
      <c r="K74" s="122"/>
      <c r="L74" s="182">
        <f t="shared" si="6"/>
        <v>34</v>
      </c>
      <c r="M74" s="15"/>
      <c r="N74" s="59"/>
      <c r="O74" s="209"/>
      <c r="P74" s="69">
        <f>N74</f>
        <v>0</v>
      </c>
      <c r="Q74" s="70"/>
      <c r="R74" s="71"/>
      <c r="S74" s="105">
        <f t="shared" si="7"/>
        <v>421.31</v>
      </c>
      <c r="U74" s="122"/>
      <c r="V74" s="182">
        <f t="shared" si="8"/>
        <v>27</v>
      </c>
      <c r="W74" s="15"/>
      <c r="X74" s="59"/>
      <c r="Y74" s="209"/>
      <c r="Z74" s="69">
        <f>X74</f>
        <v>0</v>
      </c>
      <c r="AA74" s="70"/>
      <c r="AB74" s="71"/>
      <c r="AC74" s="105">
        <f t="shared" si="9"/>
        <v>330.75</v>
      </c>
    </row>
    <row r="75" spans="1:29" x14ac:dyDescent="0.25">
      <c r="A75" s="122"/>
      <c r="B75" s="182">
        <f t="shared" ref="B75" si="13">B74-C75</f>
        <v>0</v>
      </c>
      <c r="C75" s="15"/>
      <c r="D75" s="59"/>
      <c r="E75" s="209"/>
      <c r="F75" s="69">
        <f>D75</f>
        <v>0</v>
      </c>
      <c r="G75" s="70"/>
      <c r="H75" s="71"/>
      <c r="I75" s="105">
        <f t="shared" ref="I75:I76" si="14">I74-F75</f>
        <v>0</v>
      </c>
      <c r="K75" s="122"/>
      <c r="L75" s="182">
        <f t="shared" ref="L75" si="15">L74-M75</f>
        <v>34</v>
      </c>
      <c r="M75" s="15"/>
      <c r="N75" s="59"/>
      <c r="O75" s="209"/>
      <c r="P75" s="69">
        <f>N75</f>
        <v>0</v>
      </c>
      <c r="Q75" s="70"/>
      <c r="R75" s="71"/>
      <c r="S75" s="105">
        <f t="shared" ref="S75:S76" si="16">S74-P75</f>
        <v>421.31</v>
      </c>
      <c r="U75" s="122"/>
      <c r="V75" s="182">
        <f t="shared" ref="V75" si="17">V74-W75</f>
        <v>27</v>
      </c>
      <c r="W75" s="15"/>
      <c r="X75" s="59"/>
      <c r="Y75" s="209"/>
      <c r="Z75" s="69">
        <f>X75</f>
        <v>0</v>
      </c>
      <c r="AA75" s="70"/>
      <c r="AB75" s="71"/>
      <c r="AC75" s="105">
        <f t="shared" ref="AC75:AC76" si="18">AC74-Z75</f>
        <v>330.75</v>
      </c>
    </row>
    <row r="76" spans="1:29" x14ac:dyDescent="0.25">
      <c r="A76" s="122"/>
      <c r="C76" s="15"/>
      <c r="D76" s="59"/>
      <c r="E76" s="209"/>
      <c r="F76" s="69">
        <f>D76</f>
        <v>0</v>
      </c>
      <c r="G76" s="70"/>
      <c r="H76" s="71"/>
      <c r="I76" s="105">
        <f t="shared" si="14"/>
        <v>0</v>
      </c>
      <c r="K76" s="122"/>
      <c r="M76" s="15"/>
      <c r="N76" s="59"/>
      <c r="O76" s="209"/>
      <c r="P76" s="69">
        <f>N76</f>
        <v>0</v>
      </c>
      <c r="Q76" s="70"/>
      <c r="R76" s="71"/>
      <c r="S76" s="105">
        <f t="shared" si="16"/>
        <v>421.31</v>
      </c>
      <c r="U76" s="122"/>
      <c r="W76" s="15"/>
      <c r="X76" s="59"/>
      <c r="Y76" s="209"/>
      <c r="Z76" s="69">
        <f>X76</f>
        <v>0</v>
      </c>
      <c r="AA76" s="70"/>
      <c r="AB76" s="71"/>
      <c r="AC76" s="105">
        <f t="shared" si="18"/>
        <v>330.75</v>
      </c>
    </row>
    <row r="77" spans="1:29" ht="15.75" thickBot="1" x14ac:dyDescent="0.3">
      <c r="A77" s="122"/>
      <c r="B77" s="16"/>
      <c r="C77" s="52"/>
      <c r="D77" s="107"/>
      <c r="E77" s="196"/>
      <c r="F77" s="103"/>
      <c r="G77" s="104"/>
      <c r="H77" s="60"/>
      <c r="K77" s="122"/>
      <c r="L77" s="16"/>
      <c r="M77" s="52"/>
      <c r="N77" s="107"/>
      <c r="O77" s="196"/>
      <c r="P77" s="103"/>
      <c r="Q77" s="104"/>
      <c r="R77" s="60"/>
      <c r="U77" s="122"/>
      <c r="V77" s="16"/>
      <c r="W77" s="52"/>
      <c r="X77" s="107"/>
      <c r="Y77" s="196"/>
      <c r="Z77" s="103"/>
      <c r="AA77" s="104"/>
      <c r="AB77" s="60"/>
    </row>
    <row r="78" spans="1:29" x14ac:dyDescent="0.25">
      <c r="C78" s="53">
        <f>SUM(C9:C77)</f>
        <v>134</v>
      </c>
      <c r="D78" s="6">
        <f>SUM(D9:D77)</f>
        <v>1545.82</v>
      </c>
      <c r="F78" s="6">
        <f>SUM(F9:F77)</f>
        <v>1603.28</v>
      </c>
      <c r="M78" s="53">
        <f>SUM(M9:M77)</f>
        <v>137</v>
      </c>
      <c r="N78" s="6">
        <f>SUM(N9:N77)</f>
        <v>1649.3100000000002</v>
      </c>
      <c r="P78" s="6">
        <f>SUM(P9:P77)</f>
        <v>1649.3100000000002</v>
      </c>
      <c r="W78" s="53">
        <f>SUM(W9:W77)</f>
        <v>15</v>
      </c>
      <c r="X78" s="6">
        <f>SUM(X9:X77)</f>
        <v>186.62</v>
      </c>
      <c r="Z78" s="6">
        <f>SUM(Z9:Z77)</f>
        <v>186.62</v>
      </c>
    </row>
    <row r="80" spans="1:29" ht="15.75" thickBot="1" x14ac:dyDescent="0.3"/>
    <row r="81" spans="3:26" ht="15.75" thickBot="1" x14ac:dyDescent="0.3">
      <c r="D81" s="45" t="s">
        <v>4</v>
      </c>
      <c r="E81" s="56">
        <f>F5+F6-C78+F7</f>
        <v>-8</v>
      </c>
      <c r="N81" s="45" t="s">
        <v>4</v>
      </c>
      <c r="O81" s="56">
        <f>P5+P6-M78+P7</f>
        <v>29</v>
      </c>
      <c r="X81" s="45" t="s">
        <v>4</v>
      </c>
      <c r="Y81" s="56">
        <f>Z5+Z6-W78+Z7</f>
        <v>27</v>
      </c>
    </row>
    <row r="82" spans="3:26" ht="15.75" thickBot="1" x14ac:dyDescent="0.3"/>
    <row r="83" spans="3:26" ht="15.75" thickBot="1" x14ac:dyDescent="0.3">
      <c r="C83" s="1388" t="s">
        <v>11</v>
      </c>
      <c r="D83" s="1389"/>
      <c r="E83" s="57">
        <f>E5+E6-F78+E7</f>
        <v>-92.579999999999927</v>
      </c>
      <c r="F83" s="73"/>
      <c r="M83" s="1388" t="s">
        <v>11</v>
      </c>
      <c r="N83" s="1389"/>
      <c r="O83" s="57">
        <f>O5+O6-P78+O7</f>
        <v>363.84999999999968</v>
      </c>
      <c r="P83" s="73"/>
      <c r="W83" s="1388" t="s">
        <v>11</v>
      </c>
      <c r="X83" s="1389"/>
      <c r="Y83" s="57">
        <f>Y5+Y6-Z78+Y7</f>
        <v>330.75</v>
      </c>
      <c r="Z83" s="73"/>
    </row>
  </sheetData>
  <mergeCells count="9">
    <mergeCell ref="U1:AA1"/>
    <mergeCell ref="V5:V6"/>
    <mergeCell ref="W83:X83"/>
    <mergeCell ref="A1:G1"/>
    <mergeCell ref="B5:B6"/>
    <mergeCell ref="C83:D83"/>
    <mergeCell ref="K1:Q1"/>
    <mergeCell ref="L5:L6"/>
    <mergeCell ref="M83:N8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AF84"/>
  <sheetViews>
    <sheetView topLeftCell="L1" zoomScaleNormal="100" workbookViewId="0">
      <pane ySplit="9" topLeftCell="A10" activePane="bottomLeft" state="frozen"/>
      <selection pane="bottomLeft" activeCell="M24" sqref="M24"/>
    </sheetView>
  </sheetViews>
  <sheetFormatPr baseColWidth="10" defaultRowHeight="15" x14ac:dyDescent="0.25"/>
  <cols>
    <col min="1" max="1" width="26.7109375" customWidth="1"/>
    <col min="2" max="2" width="16.140625" style="75" customWidth="1"/>
    <col min="3" max="3" width="14.7109375" customWidth="1"/>
    <col min="5" max="5" width="13" bestFit="1" customWidth="1"/>
    <col min="9" max="9" width="11.42578125" style="61"/>
    <col min="12" max="12" width="26.7109375" customWidth="1"/>
    <col min="13" max="13" width="16.140625" style="75" customWidth="1"/>
    <col min="14" max="14" width="14.7109375" customWidth="1"/>
    <col min="16" max="16" width="13" bestFit="1" customWidth="1"/>
    <col min="20" max="20" width="11.42578125" style="61"/>
    <col min="23" max="23" width="26.7109375" customWidth="1"/>
    <col min="24" max="24" width="16.140625" style="75" customWidth="1"/>
    <col min="25" max="25" width="14.7109375" customWidth="1"/>
    <col min="27" max="27" width="13" bestFit="1" customWidth="1"/>
    <col min="31" max="31" width="11.42578125" style="61"/>
  </cols>
  <sheetData>
    <row r="1" spans="1:32" ht="40.5" x14ac:dyDescent="0.55000000000000004">
      <c r="A1" s="1386" t="s">
        <v>321</v>
      </c>
      <c r="B1" s="1386"/>
      <c r="C1" s="1386"/>
      <c r="D1" s="1386"/>
      <c r="E1" s="1386"/>
      <c r="F1" s="1386"/>
      <c r="G1" s="1386"/>
      <c r="H1" s="11">
        <v>1</v>
      </c>
      <c r="L1" s="1390" t="s">
        <v>339</v>
      </c>
      <c r="M1" s="1390"/>
      <c r="N1" s="1390"/>
      <c r="O1" s="1390"/>
      <c r="P1" s="1390"/>
      <c r="Q1" s="1390"/>
      <c r="R1" s="1390"/>
      <c r="S1" s="11">
        <v>2</v>
      </c>
      <c r="W1" s="1390" t="s">
        <v>339</v>
      </c>
      <c r="X1" s="1390"/>
      <c r="Y1" s="1390"/>
      <c r="Z1" s="1390"/>
      <c r="AA1" s="1390"/>
      <c r="AB1" s="1390"/>
      <c r="AC1" s="1390"/>
      <c r="AD1" s="11">
        <v>3</v>
      </c>
    </row>
    <row r="2" spans="1:32" ht="15.75" thickBot="1" x14ac:dyDescent="0.3">
      <c r="C2" s="12"/>
      <c r="D2" s="12"/>
      <c r="F2" s="12"/>
      <c r="N2" s="12"/>
      <c r="O2" s="12"/>
      <c r="Q2" s="12"/>
      <c r="Y2" s="12"/>
      <c r="Z2" s="12"/>
      <c r="AB2" s="12"/>
    </row>
    <row r="3" spans="1:32" ht="16.5" thickTop="1" thickBot="1" x14ac:dyDescent="0.3">
      <c r="A3" s="63" t="s">
        <v>0</v>
      </c>
      <c r="B3" s="816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L3" s="63" t="s">
        <v>0</v>
      </c>
      <c r="M3" s="816" t="s">
        <v>1</v>
      </c>
      <c r="N3" s="9"/>
      <c r="O3" s="9" t="s">
        <v>2</v>
      </c>
      <c r="P3" s="9" t="s">
        <v>3</v>
      </c>
      <c r="Q3" s="9" t="s">
        <v>4</v>
      </c>
      <c r="R3" s="26" t="s">
        <v>34</v>
      </c>
      <c r="S3" s="35" t="s">
        <v>11</v>
      </c>
      <c r="W3" s="63" t="s">
        <v>0</v>
      </c>
      <c r="X3" s="816" t="s">
        <v>1</v>
      </c>
      <c r="Y3" s="9"/>
      <c r="Z3" s="9" t="s">
        <v>2</v>
      </c>
      <c r="AA3" s="9" t="s">
        <v>3</v>
      </c>
      <c r="AB3" s="9" t="s">
        <v>4</v>
      </c>
      <c r="AC3" s="26" t="s">
        <v>34</v>
      </c>
      <c r="AD3" s="35" t="s">
        <v>11</v>
      </c>
    </row>
    <row r="4" spans="1:32" ht="15.75" customHeight="1" thickTop="1" x14ac:dyDescent="0.25">
      <c r="A4" s="447"/>
      <c r="B4" s="1395" t="s">
        <v>73</v>
      </c>
      <c r="C4" s="243"/>
      <c r="D4" s="134"/>
      <c r="E4" s="476">
        <v>6.93</v>
      </c>
      <c r="F4" s="73"/>
      <c r="G4" s="155"/>
      <c r="H4" s="155"/>
      <c r="L4" s="447"/>
      <c r="M4" s="1395" t="s">
        <v>73</v>
      </c>
      <c r="N4" s="243"/>
      <c r="O4" s="134"/>
      <c r="P4" s="476">
        <v>82.3</v>
      </c>
      <c r="Q4" s="73"/>
      <c r="R4" s="155"/>
      <c r="S4" s="155"/>
      <c r="W4" s="447"/>
      <c r="X4" s="1395" t="s">
        <v>73</v>
      </c>
      <c r="Y4" s="243"/>
      <c r="Z4" s="134"/>
      <c r="AA4" s="476"/>
      <c r="AB4" s="73"/>
      <c r="AC4" s="155"/>
      <c r="AD4" s="155"/>
    </row>
    <row r="5" spans="1:32" ht="21" customHeight="1" x14ac:dyDescent="0.25">
      <c r="A5" s="1397" t="s">
        <v>224</v>
      </c>
      <c r="B5" s="1396"/>
      <c r="C5" s="243">
        <v>131.80000000000001</v>
      </c>
      <c r="D5" s="134">
        <v>44886</v>
      </c>
      <c r="E5" s="476">
        <v>17078.599999999999</v>
      </c>
      <c r="F5" s="73">
        <v>551</v>
      </c>
      <c r="G5" s="5"/>
      <c r="L5" s="1381" t="s">
        <v>97</v>
      </c>
      <c r="M5" s="1396"/>
      <c r="N5" s="243">
        <v>124</v>
      </c>
      <c r="O5" s="134">
        <v>44909</v>
      </c>
      <c r="P5" s="476">
        <v>5029.8</v>
      </c>
      <c r="Q5" s="73">
        <v>166</v>
      </c>
      <c r="R5" s="5"/>
      <c r="W5" s="1381" t="s">
        <v>97</v>
      </c>
      <c r="X5" s="1396"/>
      <c r="Y5" s="243">
        <v>118</v>
      </c>
      <c r="Z5" s="134">
        <v>44933</v>
      </c>
      <c r="AA5" s="476">
        <v>2025.9</v>
      </c>
      <c r="AB5" s="73">
        <v>68</v>
      </c>
      <c r="AC5" s="5"/>
    </row>
    <row r="6" spans="1:32" ht="21" customHeight="1" x14ac:dyDescent="0.25">
      <c r="A6" s="1397"/>
      <c r="B6" s="1396"/>
      <c r="C6" s="401"/>
      <c r="D6" s="134"/>
      <c r="E6" s="477"/>
      <c r="F6" s="73"/>
      <c r="G6" s="47">
        <f>F79</f>
        <v>17085.53</v>
      </c>
      <c r="H6" s="7">
        <f>E6-G6+E7+E5-G5+E4</f>
        <v>-2.9132252166164108E-13</v>
      </c>
      <c r="L6" s="1381"/>
      <c r="M6" s="1396"/>
      <c r="N6" s="401">
        <v>126</v>
      </c>
      <c r="O6" s="134">
        <v>44919</v>
      </c>
      <c r="P6" s="477">
        <v>3952.07</v>
      </c>
      <c r="Q6" s="73">
        <v>130</v>
      </c>
      <c r="R6" s="47">
        <f>Q79</f>
        <v>8183.3600000000006</v>
      </c>
      <c r="S6" s="7">
        <f>P6-R6+P7+P5-R5+P4</f>
        <v>880.80999999999926</v>
      </c>
      <c r="W6" s="1381"/>
      <c r="X6" s="1396"/>
      <c r="Y6" s="401"/>
      <c r="Z6" s="134"/>
      <c r="AA6" s="477"/>
      <c r="AB6" s="73"/>
      <c r="AC6" s="47">
        <f>AB79</f>
        <v>0</v>
      </c>
      <c r="AD6" s="7">
        <f>AA6-AC6+AA7+AA5-AC5+AA4</f>
        <v>2025.9</v>
      </c>
    </row>
    <row r="7" spans="1:32" ht="15.75" x14ac:dyDescent="0.25">
      <c r="A7" s="923"/>
      <c r="B7" s="1396"/>
      <c r="C7" s="233"/>
      <c r="D7" s="231"/>
      <c r="E7" s="476"/>
      <c r="F7" s="73"/>
      <c r="L7" s="923"/>
      <c r="M7" s="1396"/>
      <c r="N7" s="233"/>
      <c r="O7" s="231"/>
      <c r="P7" s="476"/>
      <c r="Q7" s="73"/>
      <c r="W7" s="923"/>
      <c r="X7" s="1396"/>
      <c r="Y7" s="233"/>
      <c r="Z7" s="231"/>
      <c r="AA7" s="476"/>
      <c r="AB7" s="73"/>
    </row>
    <row r="8" spans="1:32" ht="15.75" thickBot="1" x14ac:dyDescent="0.3">
      <c r="A8" s="447"/>
      <c r="B8" s="148"/>
      <c r="C8" s="233"/>
      <c r="D8" s="231"/>
      <c r="E8" s="476"/>
      <c r="F8" s="73"/>
      <c r="L8" s="447"/>
      <c r="M8" s="148"/>
      <c r="N8" s="233"/>
      <c r="O8" s="231"/>
      <c r="P8" s="476"/>
      <c r="Q8" s="73"/>
      <c r="W8" s="447"/>
      <c r="X8" s="148"/>
      <c r="Y8" s="233"/>
      <c r="Z8" s="231"/>
      <c r="AA8" s="476"/>
      <c r="AB8" s="73"/>
    </row>
    <row r="9" spans="1:32" ht="16.5" thickTop="1" thickBot="1" x14ac:dyDescent="0.3">
      <c r="A9" s="120"/>
      <c r="B9" s="286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818" t="s">
        <v>3</v>
      </c>
      <c r="L9" s="120"/>
      <c r="M9" s="286" t="s">
        <v>7</v>
      </c>
      <c r="N9" s="27" t="s">
        <v>8</v>
      </c>
      <c r="O9" s="32" t="s">
        <v>3</v>
      </c>
      <c r="P9" s="33" t="s">
        <v>2</v>
      </c>
      <c r="Q9" s="9" t="s">
        <v>9</v>
      </c>
      <c r="R9" s="10" t="s">
        <v>15</v>
      </c>
      <c r="S9" s="24"/>
      <c r="T9" s="818" t="s">
        <v>3</v>
      </c>
      <c r="W9" s="120"/>
      <c r="X9" s="286" t="s">
        <v>7</v>
      </c>
      <c r="Y9" s="27" t="s">
        <v>8</v>
      </c>
      <c r="Z9" s="32" t="s">
        <v>3</v>
      </c>
      <c r="AA9" s="33" t="s">
        <v>2</v>
      </c>
      <c r="AB9" s="9" t="s">
        <v>9</v>
      </c>
      <c r="AC9" s="10" t="s">
        <v>15</v>
      </c>
      <c r="AD9" s="24"/>
      <c r="AE9" s="818" t="s">
        <v>3</v>
      </c>
    </row>
    <row r="10" spans="1:32" ht="15.75" thickTop="1" x14ac:dyDescent="0.25">
      <c r="A10" s="80" t="s">
        <v>32</v>
      </c>
      <c r="B10" s="878">
        <f>F6-C10+F5+F4+F7+F8</f>
        <v>546</v>
      </c>
      <c r="C10" s="15">
        <v>5</v>
      </c>
      <c r="D10" s="69">
        <v>154.82</v>
      </c>
      <c r="E10" s="202">
        <v>44887</v>
      </c>
      <c r="F10" s="69">
        <f t="shared" ref="F10:F12" si="0">D10</f>
        <v>154.82</v>
      </c>
      <c r="G10" s="70" t="s">
        <v>293</v>
      </c>
      <c r="H10" s="71">
        <v>137</v>
      </c>
      <c r="I10" s="731">
        <f>E6-F10+E5+E4+E7+E8</f>
        <v>16930.71</v>
      </c>
      <c r="J10" s="860">
        <f>F10*H10</f>
        <v>21210.34</v>
      </c>
      <c r="L10" s="80" t="s">
        <v>32</v>
      </c>
      <c r="M10" s="878">
        <f>Q6-N10+Q5+Q4+Q7+Q8</f>
        <v>281</v>
      </c>
      <c r="N10" s="15">
        <v>15</v>
      </c>
      <c r="O10" s="69">
        <v>514.71</v>
      </c>
      <c r="P10" s="202">
        <v>44917</v>
      </c>
      <c r="Q10" s="69">
        <f t="shared" ref="Q10:Q57" si="1">O10</f>
        <v>514.71</v>
      </c>
      <c r="R10" s="70" t="s">
        <v>796</v>
      </c>
      <c r="S10" s="71">
        <v>137</v>
      </c>
      <c r="T10" s="731">
        <f>P6-Q10+P5+P4+P7+P8</f>
        <v>8549.4599999999991</v>
      </c>
      <c r="U10" s="860">
        <f>Q10*S10</f>
        <v>70515.27</v>
      </c>
      <c r="W10" s="80" t="s">
        <v>32</v>
      </c>
      <c r="X10" s="878">
        <f>AB6-Y10+AB5+AB4+AB7+AB8</f>
        <v>68</v>
      </c>
      <c r="Y10" s="15"/>
      <c r="Z10" s="69"/>
      <c r="AA10" s="202"/>
      <c r="AB10" s="69">
        <f t="shared" ref="AB10:AB57" si="2">Z10</f>
        <v>0</v>
      </c>
      <c r="AC10" s="70"/>
      <c r="AD10" s="71"/>
      <c r="AE10" s="731">
        <f>AA6-AB10+AA5+AA4+AA7+AA8</f>
        <v>2025.9</v>
      </c>
      <c r="AF10" s="860">
        <f>AB10*AD10</f>
        <v>0</v>
      </c>
    </row>
    <row r="11" spans="1:32" x14ac:dyDescent="0.25">
      <c r="A11" s="194"/>
      <c r="B11" s="878">
        <f>B10-C11</f>
        <v>538</v>
      </c>
      <c r="C11" s="15">
        <v>8</v>
      </c>
      <c r="D11" s="69">
        <v>251.44</v>
      </c>
      <c r="E11" s="202">
        <v>44888</v>
      </c>
      <c r="F11" s="69">
        <f t="shared" si="0"/>
        <v>251.44</v>
      </c>
      <c r="G11" s="70" t="s">
        <v>296</v>
      </c>
      <c r="H11" s="71">
        <v>137</v>
      </c>
      <c r="I11" s="731">
        <f>I10-F11</f>
        <v>16679.27</v>
      </c>
      <c r="J11" s="860">
        <f t="shared" ref="J11:J74" si="3">F11*H11</f>
        <v>34447.279999999999</v>
      </c>
      <c r="L11" s="194"/>
      <c r="M11" s="878">
        <f>M10-N11</f>
        <v>246</v>
      </c>
      <c r="N11" s="811">
        <v>35</v>
      </c>
      <c r="O11" s="697">
        <v>1047.55</v>
      </c>
      <c r="P11" s="727">
        <v>44918</v>
      </c>
      <c r="Q11" s="697">
        <f t="shared" si="1"/>
        <v>1047.55</v>
      </c>
      <c r="R11" s="695" t="s">
        <v>820</v>
      </c>
      <c r="S11" s="696">
        <v>137</v>
      </c>
      <c r="T11" s="731">
        <f>T10-Q11</f>
        <v>7501.9099999999989</v>
      </c>
      <c r="U11" s="860">
        <f t="shared" ref="U11:U74" si="4">Q11*S11</f>
        <v>143514.35</v>
      </c>
      <c r="W11" s="194"/>
      <c r="X11" s="878">
        <f>X10-Y11</f>
        <v>68</v>
      </c>
      <c r="Y11" s="811"/>
      <c r="Z11" s="697"/>
      <c r="AA11" s="727"/>
      <c r="AB11" s="697">
        <f t="shared" si="2"/>
        <v>0</v>
      </c>
      <c r="AC11" s="695"/>
      <c r="AD11" s="696"/>
      <c r="AE11" s="731">
        <f>AE10-AB11</f>
        <v>2025.9</v>
      </c>
      <c r="AF11" s="860">
        <f t="shared" ref="AF11:AF74" si="5">AB11*AD11</f>
        <v>0</v>
      </c>
    </row>
    <row r="12" spans="1:32" x14ac:dyDescent="0.25">
      <c r="A12" s="182"/>
      <c r="B12" s="878">
        <f t="shared" ref="B12:B75" si="6">B11-C12</f>
        <v>537</v>
      </c>
      <c r="C12" s="15">
        <v>1</v>
      </c>
      <c r="D12" s="69">
        <v>26.31</v>
      </c>
      <c r="E12" s="202">
        <v>44888</v>
      </c>
      <c r="F12" s="69">
        <f t="shared" si="0"/>
        <v>26.31</v>
      </c>
      <c r="G12" s="70" t="s">
        <v>298</v>
      </c>
      <c r="H12" s="71">
        <v>137</v>
      </c>
      <c r="I12" s="731">
        <f t="shared" ref="I12:I75" si="7">I11-F12</f>
        <v>16652.96</v>
      </c>
      <c r="J12" s="860">
        <f t="shared" si="3"/>
        <v>3604.47</v>
      </c>
      <c r="L12" s="182"/>
      <c r="M12" s="878">
        <f t="shared" ref="M12:M75" si="8">M11-N12</f>
        <v>243</v>
      </c>
      <c r="N12" s="811">
        <v>3</v>
      </c>
      <c r="O12" s="697">
        <v>88.77</v>
      </c>
      <c r="P12" s="727">
        <v>44919</v>
      </c>
      <c r="Q12" s="697">
        <f t="shared" si="1"/>
        <v>88.77</v>
      </c>
      <c r="R12" s="695" t="s">
        <v>821</v>
      </c>
      <c r="S12" s="696">
        <v>137</v>
      </c>
      <c r="T12" s="731">
        <f t="shared" ref="T12:T75" si="9">T11-Q12</f>
        <v>7413.1399999999985</v>
      </c>
      <c r="U12" s="860">
        <f t="shared" si="4"/>
        <v>12161.49</v>
      </c>
      <c r="W12" s="182"/>
      <c r="X12" s="878">
        <f t="shared" ref="X12:X75" si="10">X11-Y12</f>
        <v>68</v>
      </c>
      <c r="Y12" s="811"/>
      <c r="Z12" s="697"/>
      <c r="AA12" s="727"/>
      <c r="AB12" s="697">
        <f t="shared" si="2"/>
        <v>0</v>
      </c>
      <c r="AC12" s="695"/>
      <c r="AD12" s="696"/>
      <c r="AE12" s="731">
        <f t="shared" ref="AE12:AE75" si="11">AE11-AB12</f>
        <v>2025.9</v>
      </c>
      <c r="AF12" s="860">
        <f t="shared" si="5"/>
        <v>0</v>
      </c>
    </row>
    <row r="13" spans="1:32" x14ac:dyDescent="0.25">
      <c r="A13" s="182"/>
      <c r="B13" s="878">
        <f t="shared" si="6"/>
        <v>536</v>
      </c>
      <c r="C13" s="811">
        <v>1</v>
      </c>
      <c r="D13" s="697">
        <v>33.11</v>
      </c>
      <c r="E13" s="727">
        <v>44889</v>
      </c>
      <c r="F13" s="697">
        <f t="shared" ref="F13:F56" si="12">D13</f>
        <v>33.11</v>
      </c>
      <c r="G13" s="695" t="s">
        <v>300</v>
      </c>
      <c r="H13" s="696">
        <v>137</v>
      </c>
      <c r="I13" s="731">
        <f t="shared" si="7"/>
        <v>16619.849999999999</v>
      </c>
      <c r="J13" s="860">
        <f t="shared" si="3"/>
        <v>4536.07</v>
      </c>
      <c r="L13" s="182"/>
      <c r="M13" s="878">
        <f t="shared" si="8"/>
        <v>208</v>
      </c>
      <c r="N13" s="811">
        <v>35</v>
      </c>
      <c r="O13" s="697">
        <v>1000.13</v>
      </c>
      <c r="P13" s="727">
        <v>44921</v>
      </c>
      <c r="Q13" s="697">
        <f t="shared" si="1"/>
        <v>1000.13</v>
      </c>
      <c r="R13" s="695" t="s">
        <v>828</v>
      </c>
      <c r="S13" s="696">
        <v>137</v>
      </c>
      <c r="T13" s="731">
        <f t="shared" si="9"/>
        <v>6413.0099999999984</v>
      </c>
      <c r="U13" s="860">
        <f t="shared" si="4"/>
        <v>137017.81</v>
      </c>
      <c r="W13" s="182"/>
      <c r="X13" s="878">
        <f t="shared" si="10"/>
        <v>68</v>
      </c>
      <c r="Y13" s="811"/>
      <c r="Z13" s="697"/>
      <c r="AA13" s="727"/>
      <c r="AB13" s="697">
        <f t="shared" si="2"/>
        <v>0</v>
      </c>
      <c r="AC13" s="695"/>
      <c r="AD13" s="696"/>
      <c r="AE13" s="731">
        <f t="shared" si="11"/>
        <v>2025.9</v>
      </c>
      <c r="AF13" s="860">
        <f t="shared" si="5"/>
        <v>0</v>
      </c>
    </row>
    <row r="14" spans="1:32" x14ac:dyDescent="0.25">
      <c r="A14" s="82" t="s">
        <v>33</v>
      </c>
      <c r="B14" s="878">
        <f t="shared" si="6"/>
        <v>529</v>
      </c>
      <c r="C14" s="811">
        <v>7</v>
      </c>
      <c r="D14" s="697">
        <v>203.38</v>
      </c>
      <c r="E14" s="727">
        <v>44889</v>
      </c>
      <c r="F14" s="697">
        <f t="shared" si="12"/>
        <v>203.38</v>
      </c>
      <c r="G14" s="695" t="s">
        <v>301</v>
      </c>
      <c r="H14" s="696">
        <v>137</v>
      </c>
      <c r="I14" s="731">
        <f t="shared" si="7"/>
        <v>16416.469999999998</v>
      </c>
      <c r="J14" s="860">
        <f t="shared" si="3"/>
        <v>27863.059999999998</v>
      </c>
      <c r="L14" s="82" t="s">
        <v>33</v>
      </c>
      <c r="M14" s="878">
        <f t="shared" si="8"/>
        <v>173</v>
      </c>
      <c r="N14" s="811">
        <v>35</v>
      </c>
      <c r="O14" s="697">
        <v>1094.27</v>
      </c>
      <c r="P14" s="727">
        <v>44923</v>
      </c>
      <c r="Q14" s="697">
        <f t="shared" si="1"/>
        <v>1094.27</v>
      </c>
      <c r="R14" s="695" t="s">
        <v>805</v>
      </c>
      <c r="S14" s="696">
        <v>137</v>
      </c>
      <c r="T14" s="731">
        <f t="shared" si="9"/>
        <v>5318.739999999998</v>
      </c>
      <c r="U14" s="860">
        <f t="shared" si="4"/>
        <v>149914.99</v>
      </c>
      <c r="W14" s="82" t="s">
        <v>33</v>
      </c>
      <c r="X14" s="878">
        <f t="shared" si="10"/>
        <v>68</v>
      </c>
      <c r="Y14" s="811"/>
      <c r="Z14" s="697"/>
      <c r="AA14" s="727"/>
      <c r="AB14" s="697">
        <f t="shared" si="2"/>
        <v>0</v>
      </c>
      <c r="AC14" s="695"/>
      <c r="AD14" s="696"/>
      <c r="AE14" s="731">
        <f t="shared" si="11"/>
        <v>2025.9</v>
      </c>
      <c r="AF14" s="860">
        <f t="shared" si="5"/>
        <v>0</v>
      </c>
    </row>
    <row r="15" spans="1:32" x14ac:dyDescent="0.25">
      <c r="A15" s="73"/>
      <c r="B15" s="878">
        <f t="shared" si="6"/>
        <v>510</v>
      </c>
      <c r="C15" s="811">
        <v>19</v>
      </c>
      <c r="D15" s="697">
        <v>555.08000000000004</v>
      </c>
      <c r="E15" s="727">
        <v>44889</v>
      </c>
      <c r="F15" s="697">
        <f t="shared" si="12"/>
        <v>555.08000000000004</v>
      </c>
      <c r="G15" s="695" t="s">
        <v>302</v>
      </c>
      <c r="H15" s="696">
        <v>137</v>
      </c>
      <c r="I15" s="731">
        <f t="shared" si="7"/>
        <v>15861.389999999998</v>
      </c>
      <c r="J15" s="860">
        <f t="shared" si="3"/>
        <v>76045.960000000006</v>
      </c>
      <c r="L15" s="73"/>
      <c r="M15" s="878">
        <f t="shared" si="8"/>
        <v>171</v>
      </c>
      <c r="N15" s="811">
        <v>2</v>
      </c>
      <c r="O15" s="697">
        <v>67.59</v>
      </c>
      <c r="P15" s="727">
        <v>44924</v>
      </c>
      <c r="Q15" s="697">
        <f t="shared" si="1"/>
        <v>67.59</v>
      </c>
      <c r="R15" s="695" t="s">
        <v>846</v>
      </c>
      <c r="S15" s="696">
        <v>137</v>
      </c>
      <c r="T15" s="731">
        <f t="shared" si="9"/>
        <v>5251.1499999999978</v>
      </c>
      <c r="U15" s="860">
        <f t="shared" si="4"/>
        <v>9259.83</v>
      </c>
      <c r="W15" s="73"/>
      <c r="X15" s="878">
        <f t="shared" si="10"/>
        <v>68</v>
      </c>
      <c r="Y15" s="811"/>
      <c r="Z15" s="697"/>
      <c r="AA15" s="727"/>
      <c r="AB15" s="697">
        <f t="shared" si="2"/>
        <v>0</v>
      </c>
      <c r="AC15" s="695"/>
      <c r="AD15" s="696"/>
      <c r="AE15" s="731">
        <f t="shared" si="11"/>
        <v>2025.9</v>
      </c>
      <c r="AF15" s="860">
        <f t="shared" si="5"/>
        <v>0</v>
      </c>
    </row>
    <row r="16" spans="1:32" x14ac:dyDescent="0.25">
      <c r="A16" s="73"/>
      <c r="B16" s="182">
        <f t="shared" si="6"/>
        <v>495</v>
      </c>
      <c r="C16" s="15">
        <v>15</v>
      </c>
      <c r="D16" s="69">
        <v>472.79</v>
      </c>
      <c r="E16" s="202">
        <v>44891</v>
      </c>
      <c r="F16" s="69">
        <f t="shared" si="12"/>
        <v>472.79</v>
      </c>
      <c r="G16" s="70" t="s">
        <v>308</v>
      </c>
      <c r="H16" s="950">
        <v>131</v>
      </c>
      <c r="I16" s="105">
        <f t="shared" si="7"/>
        <v>15388.599999999997</v>
      </c>
      <c r="J16" s="17">
        <f t="shared" si="3"/>
        <v>61935.490000000005</v>
      </c>
      <c r="L16" s="73"/>
      <c r="M16" s="878">
        <f t="shared" si="8"/>
        <v>141</v>
      </c>
      <c r="N16" s="811">
        <v>30</v>
      </c>
      <c r="O16" s="697">
        <v>903.35</v>
      </c>
      <c r="P16" s="727">
        <v>44925</v>
      </c>
      <c r="Q16" s="697">
        <f t="shared" si="1"/>
        <v>903.35</v>
      </c>
      <c r="R16" s="695" t="s">
        <v>852</v>
      </c>
      <c r="S16" s="696">
        <v>137</v>
      </c>
      <c r="T16" s="731">
        <f t="shared" si="9"/>
        <v>4347.7999999999975</v>
      </c>
      <c r="U16" s="860">
        <f t="shared" si="4"/>
        <v>123758.95</v>
      </c>
      <c r="W16" s="73"/>
      <c r="X16" s="878">
        <f t="shared" si="10"/>
        <v>68</v>
      </c>
      <c r="Y16" s="811"/>
      <c r="Z16" s="697"/>
      <c r="AA16" s="727"/>
      <c r="AB16" s="697">
        <f t="shared" si="2"/>
        <v>0</v>
      </c>
      <c r="AC16" s="695"/>
      <c r="AD16" s="696"/>
      <c r="AE16" s="731">
        <f t="shared" si="11"/>
        <v>2025.9</v>
      </c>
      <c r="AF16" s="860">
        <f t="shared" si="5"/>
        <v>0</v>
      </c>
    </row>
    <row r="17" spans="1:32" x14ac:dyDescent="0.25">
      <c r="B17" s="182">
        <f t="shared" si="6"/>
        <v>494</v>
      </c>
      <c r="C17" s="15">
        <v>1</v>
      </c>
      <c r="D17" s="69">
        <v>28.49</v>
      </c>
      <c r="E17" s="202">
        <v>44891</v>
      </c>
      <c r="F17" s="69">
        <f t="shared" si="12"/>
        <v>28.49</v>
      </c>
      <c r="G17" s="70" t="s">
        <v>309</v>
      </c>
      <c r="H17" s="71">
        <v>137</v>
      </c>
      <c r="I17" s="105">
        <f t="shared" si="7"/>
        <v>15360.109999999997</v>
      </c>
      <c r="J17" s="17">
        <f t="shared" si="3"/>
        <v>3903.1299999999997</v>
      </c>
      <c r="M17" s="878">
        <f t="shared" si="8"/>
        <v>106</v>
      </c>
      <c r="N17" s="811">
        <v>35</v>
      </c>
      <c r="O17" s="697">
        <v>1093.24</v>
      </c>
      <c r="P17" s="727">
        <v>44926</v>
      </c>
      <c r="Q17" s="697">
        <f t="shared" si="1"/>
        <v>1093.24</v>
      </c>
      <c r="R17" s="695" t="s">
        <v>865</v>
      </c>
      <c r="S17" s="696">
        <v>137</v>
      </c>
      <c r="T17" s="731">
        <f t="shared" si="9"/>
        <v>3254.5599999999977</v>
      </c>
      <c r="U17" s="860">
        <f t="shared" si="4"/>
        <v>149773.88</v>
      </c>
      <c r="X17" s="878">
        <f t="shared" si="10"/>
        <v>68</v>
      </c>
      <c r="Y17" s="811"/>
      <c r="Z17" s="697"/>
      <c r="AA17" s="727"/>
      <c r="AB17" s="697">
        <f t="shared" si="2"/>
        <v>0</v>
      </c>
      <c r="AC17" s="695"/>
      <c r="AD17" s="696"/>
      <c r="AE17" s="731">
        <f t="shared" si="11"/>
        <v>2025.9</v>
      </c>
      <c r="AF17" s="860">
        <f t="shared" si="5"/>
        <v>0</v>
      </c>
    </row>
    <row r="18" spans="1:32" x14ac:dyDescent="0.25">
      <c r="B18" s="817">
        <f t="shared" si="6"/>
        <v>464</v>
      </c>
      <c r="C18" s="811">
        <v>30</v>
      </c>
      <c r="D18" s="69">
        <v>973.67</v>
      </c>
      <c r="E18" s="202">
        <v>44891</v>
      </c>
      <c r="F18" s="69">
        <f t="shared" si="12"/>
        <v>973.67</v>
      </c>
      <c r="G18" s="70" t="s">
        <v>312</v>
      </c>
      <c r="H18" s="71">
        <v>137</v>
      </c>
      <c r="I18" s="814">
        <f t="shared" si="7"/>
        <v>14386.439999999997</v>
      </c>
      <c r="J18" s="17">
        <f t="shared" si="3"/>
        <v>133392.79</v>
      </c>
      <c r="M18" s="878">
        <f t="shared" si="8"/>
        <v>96</v>
      </c>
      <c r="N18" s="811">
        <v>10</v>
      </c>
      <c r="O18" s="697">
        <v>316.75</v>
      </c>
      <c r="P18" s="727">
        <v>44928</v>
      </c>
      <c r="Q18" s="697">
        <f t="shared" si="1"/>
        <v>316.75</v>
      </c>
      <c r="R18" s="695" t="s">
        <v>867</v>
      </c>
      <c r="S18" s="696">
        <v>137</v>
      </c>
      <c r="T18" s="731">
        <f t="shared" si="9"/>
        <v>2937.8099999999977</v>
      </c>
      <c r="U18" s="860">
        <f t="shared" si="4"/>
        <v>43394.75</v>
      </c>
      <c r="X18" s="878">
        <f t="shared" si="10"/>
        <v>68</v>
      </c>
      <c r="Y18" s="811"/>
      <c r="Z18" s="697"/>
      <c r="AA18" s="727"/>
      <c r="AB18" s="697">
        <f t="shared" si="2"/>
        <v>0</v>
      </c>
      <c r="AC18" s="695"/>
      <c r="AD18" s="696"/>
      <c r="AE18" s="731">
        <f t="shared" si="11"/>
        <v>2025.9</v>
      </c>
      <c r="AF18" s="860">
        <f t="shared" si="5"/>
        <v>0</v>
      </c>
    </row>
    <row r="19" spans="1:32" x14ac:dyDescent="0.25">
      <c r="A19" s="122"/>
      <c r="B19" s="182">
        <f t="shared" si="6"/>
        <v>434</v>
      </c>
      <c r="C19" s="15">
        <v>30</v>
      </c>
      <c r="D19" s="534">
        <v>981.59</v>
      </c>
      <c r="E19" s="726">
        <v>44893</v>
      </c>
      <c r="F19" s="534">
        <f t="shared" si="12"/>
        <v>981.59</v>
      </c>
      <c r="G19" s="329" t="s">
        <v>566</v>
      </c>
      <c r="H19" s="330">
        <v>137</v>
      </c>
      <c r="I19" s="105">
        <f t="shared" si="7"/>
        <v>13404.849999999997</v>
      </c>
      <c r="J19" s="17">
        <f t="shared" si="3"/>
        <v>134477.83000000002</v>
      </c>
      <c r="L19" s="122"/>
      <c r="M19" s="878">
        <f t="shared" si="8"/>
        <v>61</v>
      </c>
      <c r="N19" s="811">
        <v>35</v>
      </c>
      <c r="O19" s="697">
        <v>1084.46</v>
      </c>
      <c r="P19" s="727">
        <v>44928</v>
      </c>
      <c r="Q19" s="697">
        <f t="shared" si="1"/>
        <v>1084.46</v>
      </c>
      <c r="R19" s="695" t="s">
        <v>869</v>
      </c>
      <c r="S19" s="696">
        <v>137</v>
      </c>
      <c r="T19" s="731">
        <f t="shared" si="9"/>
        <v>1853.3499999999976</v>
      </c>
      <c r="U19" s="860">
        <f t="shared" si="4"/>
        <v>148571.02000000002</v>
      </c>
      <c r="W19" s="122"/>
      <c r="X19" s="878">
        <f t="shared" si="10"/>
        <v>68</v>
      </c>
      <c r="Y19" s="811"/>
      <c r="Z19" s="697"/>
      <c r="AA19" s="727"/>
      <c r="AB19" s="697">
        <f t="shared" si="2"/>
        <v>0</v>
      </c>
      <c r="AC19" s="695"/>
      <c r="AD19" s="696"/>
      <c r="AE19" s="731">
        <f t="shared" si="11"/>
        <v>2025.9</v>
      </c>
      <c r="AF19" s="860">
        <f t="shared" si="5"/>
        <v>0</v>
      </c>
    </row>
    <row r="20" spans="1:32" x14ac:dyDescent="0.25">
      <c r="A20" s="122"/>
      <c r="B20" s="182">
        <f t="shared" si="6"/>
        <v>429</v>
      </c>
      <c r="C20" s="15">
        <v>5</v>
      </c>
      <c r="D20" s="534">
        <v>157.54</v>
      </c>
      <c r="E20" s="726">
        <v>44893</v>
      </c>
      <c r="F20" s="534">
        <f t="shared" si="12"/>
        <v>157.54</v>
      </c>
      <c r="G20" s="329" t="s">
        <v>568</v>
      </c>
      <c r="H20" s="330">
        <v>137</v>
      </c>
      <c r="I20" s="105">
        <f t="shared" si="7"/>
        <v>13247.309999999996</v>
      </c>
      <c r="J20" s="17">
        <f t="shared" si="3"/>
        <v>21582.98</v>
      </c>
      <c r="L20" s="122"/>
      <c r="M20" s="878">
        <f t="shared" si="8"/>
        <v>60</v>
      </c>
      <c r="N20" s="811">
        <v>1</v>
      </c>
      <c r="O20" s="697">
        <v>33.840000000000003</v>
      </c>
      <c r="P20" s="727">
        <v>44929</v>
      </c>
      <c r="Q20" s="697">
        <f t="shared" si="1"/>
        <v>33.840000000000003</v>
      </c>
      <c r="R20" s="695" t="s">
        <v>871</v>
      </c>
      <c r="S20" s="696">
        <v>137</v>
      </c>
      <c r="T20" s="731">
        <f t="shared" si="9"/>
        <v>1819.5099999999977</v>
      </c>
      <c r="U20" s="860">
        <f t="shared" si="4"/>
        <v>4636.0800000000008</v>
      </c>
      <c r="W20" s="122"/>
      <c r="X20" s="878">
        <f t="shared" si="10"/>
        <v>68</v>
      </c>
      <c r="Y20" s="811"/>
      <c r="Z20" s="697"/>
      <c r="AA20" s="727"/>
      <c r="AB20" s="697">
        <f t="shared" si="2"/>
        <v>0</v>
      </c>
      <c r="AC20" s="695"/>
      <c r="AD20" s="696"/>
      <c r="AE20" s="731">
        <f t="shared" si="11"/>
        <v>2025.9</v>
      </c>
      <c r="AF20" s="860">
        <f t="shared" si="5"/>
        <v>0</v>
      </c>
    </row>
    <row r="21" spans="1:32" x14ac:dyDescent="0.25">
      <c r="A21" s="122"/>
      <c r="B21" s="182">
        <f t="shared" si="6"/>
        <v>428</v>
      </c>
      <c r="C21" s="15">
        <v>1</v>
      </c>
      <c r="D21" s="534">
        <v>33.159999999999997</v>
      </c>
      <c r="E21" s="726">
        <v>44895</v>
      </c>
      <c r="F21" s="534">
        <f t="shared" si="12"/>
        <v>33.159999999999997</v>
      </c>
      <c r="G21" s="329" t="s">
        <v>575</v>
      </c>
      <c r="H21" s="330">
        <v>137</v>
      </c>
      <c r="I21" s="105">
        <f t="shared" si="7"/>
        <v>13214.149999999996</v>
      </c>
      <c r="J21" s="17">
        <f t="shared" si="3"/>
        <v>4542.9199999999992</v>
      </c>
      <c r="L21" s="122"/>
      <c r="M21" s="878">
        <f t="shared" si="8"/>
        <v>59</v>
      </c>
      <c r="N21" s="811">
        <v>1</v>
      </c>
      <c r="O21" s="697">
        <v>32.21</v>
      </c>
      <c r="P21" s="727">
        <v>44930</v>
      </c>
      <c r="Q21" s="697">
        <f t="shared" si="1"/>
        <v>32.21</v>
      </c>
      <c r="R21" s="695" t="s">
        <v>890</v>
      </c>
      <c r="S21" s="696">
        <v>137</v>
      </c>
      <c r="T21" s="731">
        <f t="shared" si="9"/>
        <v>1787.2999999999977</v>
      </c>
      <c r="U21" s="860">
        <f t="shared" si="4"/>
        <v>4412.7700000000004</v>
      </c>
      <c r="W21" s="122"/>
      <c r="X21" s="878">
        <f t="shared" si="10"/>
        <v>68</v>
      </c>
      <c r="Y21" s="811"/>
      <c r="Z21" s="697"/>
      <c r="AA21" s="727"/>
      <c r="AB21" s="697">
        <f t="shared" si="2"/>
        <v>0</v>
      </c>
      <c r="AC21" s="695"/>
      <c r="AD21" s="696"/>
      <c r="AE21" s="731">
        <f t="shared" si="11"/>
        <v>2025.9</v>
      </c>
      <c r="AF21" s="860">
        <f t="shared" si="5"/>
        <v>0</v>
      </c>
    </row>
    <row r="22" spans="1:32" x14ac:dyDescent="0.25">
      <c r="A22" s="122"/>
      <c r="B22" s="182">
        <f t="shared" si="6"/>
        <v>418</v>
      </c>
      <c r="C22" s="15">
        <v>10</v>
      </c>
      <c r="D22" s="534">
        <v>315.2</v>
      </c>
      <c r="E22" s="726">
        <v>44895</v>
      </c>
      <c r="F22" s="534">
        <f t="shared" si="12"/>
        <v>315.2</v>
      </c>
      <c r="G22" s="329" t="s">
        <v>578</v>
      </c>
      <c r="H22" s="1164">
        <v>131</v>
      </c>
      <c r="I22" s="105">
        <f t="shared" si="7"/>
        <v>12898.949999999995</v>
      </c>
      <c r="J22" s="17">
        <f t="shared" si="3"/>
        <v>41291.199999999997</v>
      </c>
      <c r="L22" s="122"/>
      <c r="M22" s="878">
        <f t="shared" si="8"/>
        <v>58</v>
      </c>
      <c r="N22" s="811">
        <v>1</v>
      </c>
      <c r="O22" s="697">
        <v>35.47</v>
      </c>
      <c r="P22" s="727">
        <v>44932</v>
      </c>
      <c r="Q22" s="697">
        <f t="shared" si="1"/>
        <v>35.47</v>
      </c>
      <c r="R22" s="695" t="s">
        <v>901</v>
      </c>
      <c r="S22" s="696">
        <v>137</v>
      </c>
      <c r="T22" s="731">
        <f t="shared" si="9"/>
        <v>1751.8299999999977</v>
      </c>
      <c r="U22" s="860">
        <f t="shared" si="4"/>
        <v>4859.3899999999994</v>
      </c>
      <c r="W22" s="122"/>
      <c r="X22" s="878">
        <f t="shared" si="10"/>
        <v>68</v>
      </c>
      <c r="Y22" s="811"/>
      <c r="Z22" s="697"/>
      <c r="AA22" s="727"/>
      <c r="AB22" s="697">
        <f t="shared" si="2"/>
        <v>0</v>
      </c>
      <c r="AC22" s="695"/>
      <c r="AD22" s="696"/>
      <c r="AE22" s="731">
        <f t="shared" si="11"/>
        <v>2025.9</v>
      </c>
      <c r="AF22" s="860">
        <f t="shared" si="5"/>
        <v>0</v>
      </c>
    </row>
    <row r="23" spans="1:32" x14ac:dyDescent="0.25">
      <c r="A23" s="122"/>
      <c r="B23" s="182">
        <f t="shared" si="6"/>
        <v>403</v>
      </c>
      <c r="C23" s="15">
        <v>15</v>
      </c>
      <c r="D23" s="534">
        <v>463.7</v>
      </c>
      <c r="E23" s="726">
        <v>44896</v>
      </c>
      <c r="F23" s="534">
        <f t="shared" si="12"/>
        <v>463.7</v>
      </c>
      <c r="G23" s="329" t="s">
        <v>589</v>
      </c>
      <c r="H23" s="330">
        <v>137</v>
      </c>
      <c r="I23" s="105">
        <f t="shared" si="7"/>
        <v>12435.249999999995</v>
      </c>
      <c r="J23" s="17">
        <f t="shared" si="3"/>
        <v>63526.9</v>
      </c>
      <c r="L23" s="122"/>
      <c r="M23" s="182">
        <f t="shared" si="8"/>
        <v>28</v>
      </c>
      <c r="N23" s="15">
        <v>30</v>
      </c>
      <c r="O23" s="69">
        <v>871.02</v>
      </c>
      <c r="P23" s="202">
        <v>44933</v>
      </c>
      <c r="Q23" s="69">
        <f t="shared" si="1"/>
        <v>871.02</v>
      </c>
      <c r="R23" s="70" t="s">
        <v>910</v>
      </c>
      <c r="S23" s="71">
        <v>137</v>
      </c>
      <c r="T23" s="105">
        <f t="shared" si="9"/>
        <v>880.80999999999767</v>
      </c>
      <c r="U23" s="17">
        <f t="shared" si="4"/>
        <v>119329.73999999999</v>
      </c>
      <c r="W23" s="122"/>
      <c r="X23" s="182">
        <f t="shared" si="10"/>
        <v>68</v>
      </c>
      <c r="Y23" s="15"/>
      <c r="Z23" s="69"/>
      <c r="AA23" s="202"/>
      <c r="AB23" s="69">
        <f t="shared" si="2"/>
        <v>0</v>
      </c>
      <c r="AC23" s="70"/>
      <c r="AD23" s="71"/>
      <c r="AE23" s="105">
        <f t="shared" si="11"/>
        <v>2025.9</v>
      </c>
      <c r="AF23" s="17">
        <f t="shared" si="5"/>
        <v>0</v>
      </c>
    </row>
    <row r="24" spans="1:32" x14ac:dyDescent="0.25">
      <c r="A24" s="123"/>
      <c r="B24" s="182">
        <f t="shared" si="6"/>
        <v>373</v>
      </c>
      <c r="C24" s="15">
        <v>30</v>
      </c>
      <c r="D24" s="534">
        <v>968.68</v>
      </c>
      <c r="E24" s="726">
        <v>44896</v>
      </c>
      <c r="F24" s="534">
        <f t="shared" si="12"/>
        <v>968.68</v>
      </c>
      <c r="G24" s="329" t="s">
        <v>591</v>
      </c>
      <c r="H24" s="330">
        <v>137</v>
      </c>
      <c r="I24" s="105">
        <f t="shared" si="7"/>
        <v>11466.569999999994</v>
      </c>
      <c r="J24" s="17">
        <f t="shared" si="3"/>
        <v>132709.16</v>
      </c>
      <c r="L24" s="123"/>
      <c r="M24" s="182">
        <f t="shared" si="8"/>
        <v>28</v>
      </c>
      <c r="N24" s="15"/>
      <c r="O24" s="69"/>
      <c r="P24" s="202"/>
      <c r="Q24" s="69">
        <f t="shared" si="1"/>
        <v>0</v>
      </c>
      <c r="R24" s="70"/>
      <c r="S24" s="71"/>
      <c r="T24" s="105">
        <f t="shared" si="9"/>
        <v>880.80999999999767</v>
      </c>
      <c r="U24" s="17">
        <f t="shared" si="4"/>
        <v>0</v>
      </c>
      <c r="W24" s="123"/>
      <c r="X24" s="182">
        <f t="shared" si="10"/>
        <v>68</v>
      </c>
      <c r="Y24" s="15"/>
      <c r="Z24" s="69"/>
      <c r="AA24" s="202"/>
      <c r="AB24" s="69">
        <f t="shared" si="2"/>
        <v>0</v>
      </c>
      <c r="AC24" s="70"/>
      <c r="AD24" s="71"/>
      <c r="AE24" s="105">
        <f t="shared" si="11"/>
        <v>2025.9</v>
      </c>
      <c r="AF24" s="17">
        <f t="shared" si="5"/>
        <v>0</v>
      </c>
    </row>
    <row r="25" spans="1:32" x14ac:dyDescent="0.25">
      <c r="A25" s="122"/>
      <c r="B25" s="182">
        <f t="shared" si="6"/>
        <v>372</v>
      </c>
      <c r="C25" s="15">
        <v>1</v>
      </c>
      <c r="D25" s="534">
        <v>30.71</v>
      </c>
      <c r="E25" s="726">
        <v>44897</v>
      </c>
      <c r="F25" s="534">
        <f t="shared" si="12"/>
        <v>30.71</v>
      </c>
      <c r="G25" s="329" t="s">
        <v>604</v>
      </c>
      <c r="H25" s="330">
        <v>137</v>
      </c>
      <c r="I25" s="105">
        <f t="shared" si="7"/>
        <v>11435.859999999995</v>
      </c>
      <c r="J25" s="17">
        <f t="shared" si="3"/>
        <v>4207.2700000000004</v>
      </c>
      <c r="L25" s="122"/>
      <c r="M25" s="182">
        <f t="shared" si="8"/>
        <v>28</v>
      </c>
      <c r="N25" s="15"/>
      <c r="O25" s="69"/>
      <c r="P25" s="202"/>
      <c r="Q25" s="69">
        <f t="shared" si="1"/>
        <v>0</v>
      </c>
      <c r="R25" s="70"/>
      <c r="S25" s="71"/>
      <c r="T25" s="105">
        <f t="shared" si="9"/>
        <v>880.80999999999767</v>
      </c>
      <c r="U25" s="17">
        <f t="shared" si="4"/>
        <v>0</v>
      </c>
      <c r="W25" s="122"/>
      <c r="X25" s="182">
        <f t="shared" si="10"/>
        <v>68</v>
      </c>
      <c r="Y25" s="15"/>
      <c r="Z25" s="69"/>
      <c r="AA25" s="202"/>
      <c r="AB25" s="69">
        <f t="shared" si="2"/>
        <v>0</v>
      </c>
      <c r="AC25" s="70"/>
      <c r="AD25" s="71"/>
      <c r="AE25" s="105">
        <f t="shared" si="11"/>
        <v>2025.9</v>
      </c>
      <c r="AF25" s="17">
        <f t="shared" si="5"/>
        <v>0</v>
      </c>
    </row>
    <row r="26" spans="1:32" x14ac:dyDescent="0.25">
      <c r="A26" s="122"/>
      <c r="B26" s="182">
        <f t="shared" si="6"/>
        <v>367</v>
      </c>
      <c r="C26" s="15">
        <v>5</v>
      </c>
      <c r="D26" s="534">
        <v>145.38999999999999</v>
      </c>
      <c r="E26" s="726">
        <v>44898</v>
      </c>
      <c r="F26" s="534">
        <f t="shared" si="12"/>
        <v>145.38999999999999</v>
      </c>
      <c r="G26" s="329" t="s">
        <v>605</v>
      </c>
      <c r="H26" s="330">
        <v>137</v>
      </c>
      <c r="I26" s="105">
        <f t="shared" si="7"/>
        <v>11290.469999999996</v>
      </c>
      <c r="J26" s="17">
        <f t="shared" si="3"/>
        <v>19918.429999999997</v>
      </c>
      <c r="L26" s="122"/>
      <c r="M26" s="182">
        <f t="shared" si="8"/>
        <v>28</v>
      </c>
      <c r="N26" s="15"/>
      <c r="O26" s="69"/>
      <c r="P26" s="202"/>
      <c r="Q26" s="69">
        <f t="shared" si="1"/>
        <v>0</v>
      </c>
      <c r="R26" s="70"/>
      <c r="S26" s="71"/>
      <c r="T26" s="105">
        <f t="shared" si="9"/>
        <v>880.80999999999767</v>
      </c>
      <c r="U26" s="17">
        <f t="shared" si="4"/>
        <v>0</v>
      </c>
      <c r="W26" s="122"/>
      <c r="X26" s="182">
        <f t="shared" si="10"/>
        <v>68</v>
      </c>
      <c r="Y26" s="15"/>
      <c r="Z26" s="69"/>
      <c r="AA26" s="202"/>
      <c r="AB26" s="69">
        <f t="shared" si="2"/>
        <v>0</v>
      </c>
      <c r="AC26" s="70"/>
      <c r="AD26" s="71"/>
      <c r="AE26" s="105">
        <f t="shared" si="11"/>
        <v>2025.9</v>
      </c>
      <c r="AF26" s="17">
        <f t="shared" si="5"/>
        <v>0</v>
      </c>
    </row>
    <row r="27" spans="1:32" x14ac:dyDescent="0.25">
      <c r="A27" s="122"/>
      <c r="B27" s="182">
        <f t="shared" si="6"/>
        <v>366</v>
      </c>
      <c r="C27" s="15">
        <v>1</v>
      </c>
      <c r="D27" s="534">
        <v>26.17</v>
      </c>
      <c r="E27" s="726">
        <v>44898</v>
      </c>
      <c r="F27" s="534">
        <f t="shared" si="12"/>
        <v>26.17</v>
      </c>
      <c r="G27" s="329" t="s">
        <v>606</v>
      </c>
      <c r="H27" s="330">
        <v>137</v>
      </c>
      <c r="I27" s="105">
        <f t="shared" si="7"/>
        <v>11264.299999999996</v>
      </c>
      <c r="J27" s="17">
        <f t="shared" si="3"/>
        <v>3585.2900000000004</v>
      </c>
      <c r="L27" s="122"/>
      <c r="M27" s="182">
        <f t="shared" si="8"/>
        <v>28</v>
      </c>
      <c r="N27" s="15"/>
      <c r="O27" s="69"/>
      <c r="P27" s="202"/>
      <c r="Q27" s="69">
        <f t="shared" si="1"/>
        <v>0</v>
      </c>
      <c r="R27" s="70"/>
      <c r="S27" s="71"/>
      <c r="T27" s="105">
        <f t="shared" si="9"/>
        <v>880.80999999999767</v>
      </c>
      <c r="U27" s="17">
        <f t="shared" si="4"/>
        <v>0</v>
      </c>
      <c r="W27" s="122"/>
      <c r="X27" s="182">
        <f t="shared" si="10"/>
        <v>68</v>
      </c>
      <c r="Y27" s="15"/>
      <c r="Z27" s="69"/>
      <c r="AA27" s="202"/>
      <c r="AB27" s="69">
        <f t="shared" si="2"/>
        <v>0</v>
      </c>
      <c r="AC27" s="70"/>
      <c r="AD27" s="71"/>
      <c r="AE27" s="105">
        <f t="shared" si="11"/>
        <v>2025.9</v>
      </c>
      <c r="AF27" s="17">
        <f t="shared" si="5"/>
        <v>0</v>
      </c>
    </row>
    <row r="28" spans="1:32" x14ac:dyDescent="0.25">
      <c r="A28" s="122"/>
      <c r="B28" s="182">
        <f t="shared" si="6"/>
        <v>356</v>
      </c>
      <c r="C28" s="15">
        <v>10</v>
      </c>
      <c r="D28" s="534">
        <v>291.89</v>
      </c>
      <c r="E28" s="726">
        <v>44898</v>
      </c>
      <c r="F28" s="534">
        <f t="shared" si="12"/>
        <v>291.89</v>
      </c>
      <c r="G28" s="329" t="s">
        <v>607</v>
      </c>
      <c r="H28" s="1164">
        <v>131</v>
      </c>
      <c r="I28" s="105">
        <f t="shared" si="7"/>
        <v>10972.409999999996</v>
      </c>
      <c r="J28" s="17">
        <f t="shared" si="3"/>
        <v>38237.589999999997</v>
      </c>
      <c r="L28" s="122"/>
      <c r="M28" s="182">
        <f t="shared" si="8"/>
        <v>28</v>
      </c>
      <c r="N28" s="15"/>
      <c r="O28" s="69"/>
      <c r="P28" s="202"/>
      <c r="Q28" s="69">
        <f t="shared" si="1"/>
        <v>0</v>
      </c>
      <c r="R28" s="70"/>
      <c r="S28" s="71"/>
      <c r="T28" s="105">
        <f t="shared" si="9"/>
        <v>880.80999999999767</v>
      </c>
      <c r="U28" s="17">
        <f t="shared" si="4"/>
        <v>0</v>
      </c>
      <c r="W28" s="122"/>
      <c r="X28" s="182">
        <f t="shared" si="10"/>
        <v>68</v>
      </c>
      <c r="Y28" s="15"/>
      <c r="Z28" s="69"/>
      <c r="AA28" s="202"/>
      <c r="AB28" s="69">
        <f t="shared" si="2"/>
        <v>0</v>
      </c>
      <c r="AC28" s="70"/>
      <c r="AD28" s="71"/>
      <c r="AE28" s="105">
        <f t="shared" si="11"/>
        <v>2025.9</v>
      </c>
      <c r="AF28" s="17">
        <f t="shared" si="5"/>
        <v>0</v>
      </c>
    </row>
    <row r="29" spans="1:32" x14ac:dyDescent="0.25">
      <c r="A29" s="122"/>
      <c r="B29" s="182">
        <f t="shared" si="6"/>
        <v>326</v>
      </c>
      <c r="C29" s="15">
        <v>30</v>
      </c>
      <c r="D29" s="534">
        <v>890.32</v>
      </c>
      <c r="E29" s="726">
        <v>44898</v>
      </c>
      <c r="F29" s="534">
        <f t="shared" si="12"/>
        <v>890.32</v>
      </c>
      <c r="G29" s="329" t="s">
        <v>608</v>
      </c>
      <c r="H29" s="330">
        <v>137</v>
      </c>
      <c r="I29" s="105">
        <f t="shared" si="7"/>
        <v>10082.089999999997</v>
      </c>
      <c r="J29" s="17">
        <f t="shared" si="3"/>
        <v>121973.84000000001</v>
      </c>
      <c r="L29" s="122"/>
      <c r="M29" s="182">
        <f t="shared" si="8"/>
        <v>28</v>
      </c>
      <c r="N29" s="15"/>
      <c r="O29" s="69"/>
      <c r="P29" s="202"/>
      <c r="Q29" s="69">
        <f t="shared" si="1"/>
        <v>0</v>
      </c>
      <c r="R29" s="70"/>
      <c r="S29" s="71"/>
      <c r="T29" s="105">
        <f t="shared" si="9"/>
        <v>880.80999999999767</v>
      </c>
      <c r="U29" s="17">
        <f t="shared" si="4"/>
        <v>0</v>
      </c>
      <c r="W29" s="122"/>
      <c r="X29" s="182">
        <f t="shared" si="10"/>
        <v>68</v>
      </c>
      <c r="Y29" s="15"/>
      <c r="Z29" s="69"/>
      <c r="AA29" s="202"/>
      <c r="AB29" s="69">
        <f t="shared" si="2"/>
        <v>0</v>
      </c>
      <c r="AC29" s="70"/>
      <c r="AD29" s="71"/>
      <c r="AE29" s="105">
        <f t="shared" si="11"/>
        <v>2025.9</v>
      </c>
      <c r="AF29" s="17">
        <f t="shared" si="5"/>
        <v>0</v>
      </c>
    </row>
    <row r="30" spans="1:32" x14ac:dyDescent="0.25">
      <c r="A30" s="122"/>
      <c r="B30" s="182">
        <f t="shared" si="6"/>
        <v>311</v>
      </c>
      <c r="C30" s="15">
        <v>15</v>
      </c>
      <c r="D30" s="534">
        <v>492.98</v>
      </c>
      <c r="E30" s="726">
        <v>44900</v>
      </c>
      <c r="F30" s="534">
        <f t="shared" si="12"/>
        <v>492.98</v>
      </c>
      <c r="G30" s="329" t="s">
        <v>610</v>
      </c>
      <c r="H30" s="330">
        <v>137</v>
      </c>
      <c r="I30" s="105">
        <f t="shared" si="7"/>
        <v>9589.1099999999969</v>
      </c>
      <c r="J30" s="17">
        <f t="shared" si="3"/>
        <v>67538.260000000009</v>
      </c>
      <c r="L30" s="122"/>
      <c r="M30" s="182">
        <f t="shared" si="8"/>
        <v>28</v>
      </c>
      <c r="N30" s="15"/>
      <c r="O30" s="69"/>
      <c r="P30" s="202"/>
      <c r="Q30" s="69">
        <f t="shared" si="1"/>
        <v>0</v>
      </c>
      <c r="R30" s="70"/>
      <c r="S30" s="71"/>
      <c r="T30" s="105">
        <f t="shared" si="9"/>
        <v>880.80999999999767</v>
      </c>
      <c r="U30" s="17">
        <f t="shared" si="4"/>
        <v>0</v>
      </c>
      <c r="W30" s="122"/>
      <c r="X30" s="182">
        <f t="shared" si="10"/>
        <v>68</v>
      </c>
      <c r="Y30" s="15"/>
      <c r="Z30" s="69"/>
      <c r="AA30" s="202"/>
      <c r="AB30" s="69">
        <f t="shared" si="2"/>
        <v>0</v>
      </c>
      <c r="AC30" s="70"/>
      <c r="AD30" s="71"/>
      <c r="AE30" s="105">
        <f t="shared" si="11"/>
        <v>2025.9</v>
      </c>
      <c r="AF30" s="17">
        <f t="shared" si="5"/>
        <v>0</v>
      </c>
    </row>
    <row r="31" spans="1:32" x14ac:dyDescent="0.25">
      <c r="A31" s="122"/>
      <c r="B31" s="182">
        <f t="shared" si="6"/>
        <v>306</v>
      </c>
      <c r="C31" s="15">
        <v>5</v>
      </c>
      <c r="D31" s="534">
        <v>171.14</v>
      </c>
      <c r="E31" s="726">
        <v>44901</v>
      </c>
      <c r="F31" s="534">
        <f t="shared" si="12"/>
        <v>171.14</v>
      </c>
      <c r="G31" s="329" t="s">
        <v>621</v>
      </c>
      <c r="H31" s="330">
        <v>137</v>
      </c>
      <c r="I31" s="105">
        <f t="shared" si="7"/>
        <v>9417.9699999999975</v>
      </c>
      <c r="J31" s="17">
        <f t="shared" si="3"/>
        <v>23446.179999999997</v>
      </c>
      <c r="L31" s="122"/>
      <c r="M31" s="182">
        <f t="shared" si="8"/>
        <v>28</v>
      </c>
      <c r="N31" s="15"/>
      <c r="O31" s="69"/>
      <c r="P31" s="202"/>
      <c r="Q31" s="69">
        <f t="shared" si="1"/>
        <v>0</v>
      </c>
      <c r="R31" s="70"/>
      <c r="S31" s="71"/>
      <c r="T31" s="105">
        <f t="shared" si="9"/>
        <v>880.80999999999767</v>
      </c>
      <c r="U31" s="17">
        <f t="shared" si="4"/>
        <v>0</v>
      </c>
      <c r="W31" s="122"/>
      <c r="X31" s="182">
        <f t="shared" si="10"/>
        <v>68</v>
      </c>
      <c r="Y31" s="15"/>
      <c r="Z31" s="69"/>
      <c r="AA31" s="202"/>
      <c r="AB31" s="69">
        <f t="shared" si="2"/>
        <v>0</v>
      </c>
      <c r="AC31" s="70"/>
      <c r="AD31" s="71"/>
      <c r="AE31" s="105">
        <f t="shared" si="11"/>
        <v>2025.9</v>
      </c>
      <c r="AF31" s="17">
        <f t="shared" si="5"/>
        <v>0</v>
      </c>
    </row>
    <row r="32" spans="1:32" x14ac:dyDescent="0.25">
      <c r="A32" s="122"/>
      <c r="B32" s="182">
        <f t="shared" si="6"/>
        <v>305</v>
      </c>
      <c r="C32" s="15">
        <v>1</v>
      </c>
      <c r="D32" s="534">
        <v>29.21</v>
      </c>
      <c r="E32" s="726">
        <v>44902</v>
      </c>
      <c r="F32" s="534">
        <f t="shared" si="12"/>
        <v>29.21</v>
      </c>
      <c r="G32" s="329" t="s">
        <v>635</v>
      </c>
      <c r="H32" s="330">
        <v>137</v>
      </c>
      <c r="I32" s="105">
        <f t="shared" si="7"/>
        <v>9388.7599999999984</v>
      </c>
      <c r="J32" s="17">
        <f t="shared" si="3"/>
        <v>4001.77</v>
      </c>
      <c r="L32" s="122"/>
      <c r="M32" s="182">
        <f t="shared" si="8"/>
        <v>28</v>
      </c>
      <c r="N32" s="15"/>
      <c r="O32" s="69"/>
      <c r="P32" s="202"/>
      <c r="Q32" s="69">
        <f t="shared" si="1"/>
        <v>0</v>
      </c>
      <c r="R32" s="70"/>
      <c r="S32" s="71"/>
      <c r="T32" s="105">
        <f t="shared" si="9"/>
        <v>880.80999999999767</v>
      </c>
      <c r="U32" s="17">
        <f t="shared" si="4"/>
        <v>0</v>
      </c>
      <c r="W32" s="122"/>
      <c r="X32" s="182">
        <f t="shared" si="10"/>
        <v>68</v>
      </c>
      <c r="Y32" s="15"/>
      <c r="Z32" s="69"/>
      <c r="AA32" s="202"/>
      <c r="AB32" s="69">
        <f t="shared" si="2"/>
        <v>0</v>
      </c>
      <c r="AC32" s="70"/>
      <c r="AD32" s="71"/>
      <c r="AE32" s="105">
        <f t="shared" si="11"/>
        <v>2025.9</v>
      </c>
      <c r="AF32" s="17">
        <f t="shared" si="5"/>
        <v>0</v>
      </c>
    </row>
    <row r="33" spans="1:32" x14ac:dyDescent="0.25">
      <c r="A33" s="122"/>
      <c r="B33" s="182">
        <f t="shared" si="6"/>
        <v>275</v>
      </c>
      <c r="C33" s="15">
        <v>30</v>
      </c>
      <c r="D33" s="534">
        <v>903.18</v>
      </c>
      <c r="E33" s="726">
        <v>44902</v>
      </c>
      <c r="F33" s="534">
        <f t="shared" si="12"/>
        <v>903.18</v>
      </c>
      <c r="G33" s="329" t="s">
        <v>636</v>
      </c>
      <c r="H33" s="330">
        <v>137</v>
      </c>
      <c r="I33" s="105">
        <f t="shared" si="7"/>
        <v>8485.5799999999981</v>
      </c>
      <c r="J33" s="17">
        <f t="shared" si="3"/>
        <v>123735.65999999999</v>
      </c>
      <c r="L33" s="122"/>
      <c r="M33" s="182">
        <f t="shared" si="8"/>
        <v>28</v>
      </c>
      <c r="N33" s="15"/>
      <c r="O33" s="69"/>
      <c r="P33" s="202"/>
      <c r="Q33" s="69">
        <f t="shared" si="1"/>
        <v>0</v>
      </c>
      <c r="R33" s="70"/>
      <c r="S33" s="71"/>
      <c r="T33" s="105">
        <f t="shared" si="9"/>
        <v>880.80999999999767</v>
      </c>
      <c r="U33" s="17">
        <f t="shared" si="4"/>
        <v>0</v>
      </c>
      <c r="W33" s="122"/>
      <c r="X33" s="182">
        <f t="shared" si="10"/>
        <v>68</v>
      </c>
      <c r="Y33" s="15"/>
      <c r="Z33" s="69"/>
      <c r="AA33" s="202"/>
      <c r="AB33" s="69">
        <f t="shared" si="2"/>
        <v>0</v>
      </c>
      <c r="AC33" s="70"/>
      <c r="AD33" s="71"/>
      <c r="AE33" s="105">
        <f t="shared" si="11"/>
        <v>2025.9</v>
      </c>
      <c r="AF33" s="17">
        <f t="shared" si="5"/>
        <v>0</v>
      </c>
    </row>
    <row r="34" spans="1:32" x14ac:dyDescent="0.25">
      <c r="A34" s="122"/>
      <c r="B34" s="182">
        <f t="shared" si="6"/>
        <v>274</v>
      </c>
      <c r="C34" s="15">
        <v>1</v>
      </c>
      <c r="D34" s="534">
        <v>31.89</v>
      </c>
      <c r="E34" s="726">
        <v>44903</v>
      </c>
      <c r="F34" s="534">
        <f t="shared" si="12"/>
        <v>31.89</v>
      </c>
      <c r="G34" s="329" t="s">
        <v>642</v>
      </c>
      <c r="H34" s="330">
        <v>137</v>
      </c>
      <c r="I34" s="105">
        <f t="shared" si="7"/>
        <v>8453.6899999999987</v>
      </c>
      <c r="J34" s="17">
        <f t="shared" si="3"/>
        <v>4368.93</v>
      </c>
      <c r="L34" s="122"/>
      <c r="M34" s="182">
        <f t="shared" si="8"/>
        <v>28</v>
      </c>
      <c r="N34" s="15"/>
      <c r="O34" s="69"/>
      <c r="P34" s="202"/>
      <c r="Q34" s="69">
        <f t="shared" si="1"/>
        <v>0</v>
      </c>
      <c r="R34" s="70"/>
      <c r="S34" s="71"/>
      <c r="T34" s="105">
        <f t="shared" si="9"/>
        <v>880.80999999999767</v>
      </c>
      <c r="U34" s="17">
        <f t="shared" si="4"/>
        <v>0</v>
      </c>
      <c r="W34" s="122"/>
      <c r="X34" s="182">
        <f t="shared" si="10"/>
        <v>68</v>
      </c>
      <c r="Y34" s="15"/>
      <c r="Z34" s="69"/>
      <c r="AA34" s="202"/>
      <c r="AB34" s="69">
        <f t="shared" si="2"/>
        <v>0</v>
      </c>
      <c r="AC34" s="70"/>
      <c r="AD34" s="71"/>
      <c r="AE34" s="105">
        <f t="shared" si="11"/>
        <v>2025.9</v>
      </c>
      <c r="AF34" s="17">
        <f t="shared" si="5"/>
        <v>0</v>
      </c>
    </row>
    <row r="35" spans="1:32" x14ac:dyDescent="0.25">
      <c r="A35" s="122"/>
      <c r="B35" s="182">
        <f t="shared" si="6"/>
        <v>273</v>
      </c>
      <c r="C35" s="15">
        <v>1</v>
      </c>
      <c r="D35" s="534">
        <v>36.06</v>
      </c>
      <c r="E35" s="726">
        <v>44904</v>
      </c>
      <c r="F35" s="534">
        <f t="shared" si="12"/>
        <v>36.06</v>
      </c>
      <c r="G35" s="329" t="s">
        <v>653</v>
      </c>
      <c r="H35" s="330">
        <v>137</v>
      </c>
      <c r="I35" s="105">
        <f t="shared" si="7"/>
        <v>8417.6299999999992</v>
      </c>
      <c r="J35" s="17">
        <f t="shared" si="3"/>
        <v>4940.22</v>
      </c>
      <c r="L35" s="122"/>
      <c r="M35" s="182">
        <f t="shared" si="8"/>
        <v>28</v>
      </c>
      <c r="N35" s="15"/>
      <c r="O35" s="69"/>
      <c r="P35" s="202"/>
      <c r="Q35" s="69">
        <f t="shared" si="1"/>
        <v>0</v>
      </c>
      <c r="R35" s="70"/>
      <c r="S35" s="71"/>
      <c r="T35" s="105">
        <f t="shared" si="9"/>
        <v>880.80999999999767</v>
      </c>
      <c r="U35" s="17">
        <f t="shared" si="4"/>
        <v>0</v>
      </c>
      <c r="W35" s="122"/>
      <c r="X35" s="182">
        <f t="shared" si="10"/>
        <v>68</v>
      </c>
      <c r="Y35" s="15"/>
      <c r="Z35" s="69"/>
      <c r="AA35" s="202"/>
      <c r="AB35" s="69">
        <f t="shared" si="2"/>
        <v>0</v>
      </c>
      <c r="AC35" s="70"/>
      <c r="AD35" s="71"/>
      <c r="AE35" s="105">
        <f t="shared" si="11"/>
        <v>2025.9</v>
      </c>
      <c r="AF35" s="17">
        <f t="shared" si="5"/>
        <v>0</v>
      </c>
    </row>
    <row r="36" spans="1:32" x14ac:dyDescent="0.25">
      <c r="A36" s="122"/>
      <c r="B36" s="182">
        <f t="shared" si="6"/>
        <v>243</v>
      </c>
      <c r="C36" s="15">
        <v>30</v>
      </c>
      <c r="D36" s="534">
        <v>932.45</v>
      </c>
      <c r="E36" s="726">
        <v>44904</v>
      </c>
      <c r="F36" s="534">
        <f t="shared" si="12"/>
        <v>932.45</v>
      </c>
      <c r="G36" s="329" t="s">
        <v>654</v>
      </c>
      <c r="H36" s="330">
        <v>137</v>
      </c>
      <c r="I36" s="105">
        <f t="shared" si="7"/>
        <v>7485.1799999999994</v>
      </c>
      <c r="J36" s="17">
        <f t="shared" si="3"/>
        <v>127745.65000000001</v>
      </c>
      <c r="L36" s="122"/>
      <c r="M36" s="182">
        <f t="shared" si="8"/>
        <v>28</v>
      </c>
      <c r="N36" s="15"/>
      <c r="O36" s="69"/>
      <c r="P36" s="202"/>
      <c r="Q36" s="69">
        <f t="shared" si="1"/>
        <v>0</v>
      </c>
      <c r="R36" s="70"/>
      <c r="S36" s="71"/>
      <c r="T36" s="105">
        <f t="shared" si="9"/>
        <v>880.80999999999767</v>
      </c>
      <c r="U36" s="17">
        <f t="shared" si="4"/>
        <v>0</v>
      </c>
      <c r="W36" s="122"/>
      <c r="X36" s="182">
        <f t="shared" si="10"/>
        <v>68</v>
      </c>
      <c r="Y36" s="15"/>
      <c r="Z36" s="69"/>
      <c r="AA36" s="202"/>
      <c r="AB36" s="69">
        <f t="shared" si="2"/>
        <v>0</v>
      </c>
      <c r="AC36" s="70"/>
      <c r="AD36" s="71"/>
      <c r="AE36" s="105">
        <f t="shared" si="11"/>
        <v>2025.9</v>
      </c>
      <c r="AF36" s="17">
        <f t="shared" si="5"/>
        <v>0</v>
      </c>
    </row>
    <row r="37" spans="1:32" x14ac:dyDescent="0.25">
      <c r="A37" s="122" t="s">
        <v>22</v>
      </c>
      <c r="B37" s="182">
        <f t="shared" si="6"/>
        <v>238</v>
      </c>
      <c r="C37" s="15">
        <v>5</v>
      </c>
      <c r="D37" s="534">
        <v>148.72999999999999</v>
      </c>
      <c r="E37" s="726">
        <v>44904</v>
      </c>
      <c r="F37" s="534">
        <f t="shared" si="12"/>
        <v>148.72999999999999</v>
      </c>
      <c r="G37" s="329" t="s">
        <v>655</v>
      </c>
      <c r="H37" s="330">
        <v>137</v>
      </c>
      <c r="I37" s="105">
        <f t="shared" si="7"/>
        <v>7336.45</v>
      </c>
      <c r="J37" s="17">
        <f t="shared" si="3"/>
        <v>20376.009999999998</v>
      </c>
      <c r="L37" s="122" t="s">
        <v>22</v>
      </c>
      <c r="M37" s="182">
        <f t="shared" si="8"/>
        <v>28</v>
      </c>
      <c r="N37" s="15"/>
      <c r="O37" s="69"/>
      <c r="P37" s="202"/>
      <c r="Q37" s="69">
        <f t="shared" si="1"/>
        <v>0</v>
      </c>
      <c r="R37" s="70"/>
      <c r="S37" s="71"/>
      <c r="T37" s="105">
        <f t="shared" si="9"/>
        <v>880.80999999999767</v>
      </c>
      <c r="U37" s="17">
        <f t="shared" si="4"/>
        <v>0</v>
      </c>
      <c r="W37" s="122" t="s">
        <v>22</v>
      </c>
      <c r="X37" s="182">
        <f t="shared" si="10"/>
        <v>68</v>
      </c>
      <c r="Y37" s="15"/>
      <c r="Z37" s="69"/>
      <c r="AA37" s="202"/>
      <c r="AB37" s="69">
        <f t="shared" si="2"/>
        <v>0</v>
      </c>
      <c r="AC37" s="70"/>
      <c r="AD37" s="71"/>
      <c r="AE37" s="105">
        <f t="shared" si="11"/>
        <v>2025.9</v>
      </c>
      <c r="AF37" s="17">
        <f t="shared" si="5"/>
        <v>0</v>
      </c>
    </row>
    <row r="38" spans="1:32" x14ac:dyDescent="0.25">
      <c r="A38" s="123"/>
      <c r="B38" s="182">
        <f t="shared" si="6"/>
        <v>208</v>
      </c>
      <c r="C38" s="15">
        <v>30</v>
      </c>
      <c r="D38" s="534">
        <v>893.31</v>
      </c>
      <c r="E38" s="726">
        <v>44905</v>
      </c>
      <c r="F38" s="534">
        <f t="shared" si="12"/>
        <v>893.31</v>
      </c>
      <c r="G38" s="329" t="s">
        <v>666</v>
      </c>
      <c r="H38" s="330">
        <v>137</v>
      </c>
      <c r="I38" s="105">
        <f t="shared" si="7"/>
        <v>6443.1399999999994</v>
      </c>
      <c r="J38" s="17">
        <f t="shared" si="3"/>
        <v>122383.46999999999</v>
      </c>
      <c r="L38" s="123"/>
      <c r="M38" s="182">
        <f t="shared" si="8"/>
        <v>28</v>
      </c>
      <c r="N38" s="15"/>
      <c r="O38" s="69"/>
      <c r="P38" s="202"/>
      <c r="Q38" s="69">
        <f t="shared" si="1"/>
        <v>0</v>
      </c>
      <c r="R38" s="70"/>
      <c r="S38" s="71"/>
      <c r="T38" s="105">
        <f t="shared" si="9"/>
        <v>880.80999999999767</v>
      </c>
      <c r="U38" s="17">
        <f t="shared" si="4"/>
        <v>0</v>
      </c>
      <c r="W38" s="123"/>
      <c r="X38" s="182">
        <f t="shared" si="10"/>
        <v>68</v>
      </c>
      <c r="Y38" s="15"/>
      <c r="Z38" s="69"/>
      <c r="AA38" s="202"/>
      <c r="AB38" s="69">
        <f t="shared" si="2"/>
        <v>0</v>
      </c>
      <c r="AC38" s="70"/>
      <c r="AD38" s="71"/>
      <c r="AE38" s="105">
        <f t="shared" si="11"/>
        <v>2025.9</v>
      </c>
      <c r="AF38" s="17">
        <f t="shared" si="5"/>
        <v>0</v>
      </c>
    </row>
    <row r="39" spans="1:32" x14ac:dyDescent="0.25">
      <c r="A39" s="122"/>
      <c r="B39" s="182">
        <f t="shared" si="6"/>
        <v>198</v>
      </c>
      <c r="C39" s="15">
        <v>10</v>
      </c>
      <c r="D39" s="534">
        <v>315.60000000000002</v>
      </c>
      <c r="E39" s="726">
        <v>44905</v>
      </c>
      <c r="F39" s="534">
        <f t="shared" si="12"/>
        <v>315.60000000000002</v>
      </c>
      <c r="G39" s="329" t="s">
        <v>673</v>
      </c>
      <c r="H39" s="330">
        <v>137</v>
      </c>
      <c r="I39" s="105">
        <f t="shared" si="7"/>
        <v>6127.5399999999991</v>
      </c>
      <c r="J39" s="17">
        <f t="shared" si="3"/>
        <v>43237.200000000004</v>
      </c>
      <c r="L39" s="122"/>
      <c r="M39" s="182">
        <f t="shared" si="8"/>
        <v>28</v>
      </c>
      <c r="N39" s="15"/>
      <c r="O39" s="69"/>
      <c r="P39" s="202"/>
      <c r="Q39" s="69">
        <f t="shared" si="1"/>
        <v>0</v>
      </c>
      <c r="R39" s="70"/>
      <c r="S39" s="71"/>
      <c r="T39" s="105">
        <f t="shared" si="9"/>
        <v>880.80999999999767</v>
      </c>
      <c r="U39" s="17">
        <f t="shared" si="4"/>
        <v>0</v>
      </c>
      <c r="W39" s="122"/>
      <c r="X39" s="182">
        <f t="shared" si="10"/>
        <v>68</v>
      </c>
      <c r="Y39" s="15"/>
      <c r="Z39" s="69"/>
      <c r="AA39" s="202"/>
      <c r="AB39" s="69">
        <f t="shared" si="2"/>
        <v>0</v>
      </c>
      <c r="AC39" s="70"/>
      <c r="AD39" s="71"/>
      <c r="AE39" s="105">
        <f t="shared" si="11"/>
        <v>2025.9</v>
      </c>
      <c r="AF39" s="17">
        <f t="shared" si="5"/>
        <v>0</v>
      </c>
    </row>
    <row r="40" spans="1:32" x14ac:dyDescent="0.25">
      <c r="A40" s="122"/>
      <c r="B40" s="182">
        <f t="shared" si="6"/>
        <v>197</v>
      </c>
      <c r="C40" s="15">
        <v>1</v>
      </c>
      <c r="D40" s="534">
        <v>29.89</v>
      </c>
      <c r="E40" s="726">
        <v>44905</v>
      </c>
      <c r="F40" s="534">
        <f t="shared" si="12"/>
        <v>29.89</v>
      </c>
      <c r="G40" s="329" t="s">
        <v>677</v>
      </c>
      <c r="H40" s="330">
        <v>137</v>
      </c>
      <c r="I40" s="105">
        <f t="shared" si="7"/>
        <v>6097.6499999999987</v>
      </c>
      <c r="J40" s="17">
        <f t="shared" si="3"/>
        <v>4094.9300000000003</v>
      </c>
      <c r="L40" s="122"/>
      <c r="M40" s="182">
        <f t="shared" si="8"/>
        <v>28</v>
      </c>
      <c r="N40" s="15"/>
      <c r="O40" s="69"/>
      <c r="P40" s="202"/>
      <c r="Q40" s="69">
        <f t="shared" si="1"/>
        <v>0</v>
      </c>
      <c r="R40" s="70"/>
      <c r="S40" s="71"/>
      <c r="T40" s="105">
        <f t="shared" si="9"/>
        <v>880.80999999999767</v>
      </c>
      <c r="U40" s="17">
        <f t="shared" si="4"/>
        <v>0</v>
      </c>
      <c r="W40" s="122"/>
      <c r="X40" s="182">
        <f t="shared" si="10"/>
        <v>68</v>
      </c>
      <c r="Y40" s="15"/>
      <c r="Z40" s="69"/>
      <c r="AA40" s="202"/>
      <c r="AB40" s="69">
        <f t="shared" si="2"/>
        <v>0</v>
      </c>
      <c r="AC40" s="70"/>
      <c r="AD40" s="71"/>
      <c r="AE40" s="105">
        <f t="shared" si="11"/>
        <v>2025.9</v>
      </c>
      <c r="AF40" s="17">
        <f t="shared" si="5"/>
        <v>0</v>
      </c>
    </row>
    <row r="41" spans="1:32" x14ac:dyDescent="0.25">
      <c r="A41" s="122"/>
      <c r="B41" s="182">
        <f t="shared" si="6"/>
        <v>182</v>
      </c>
      <c r="C41" s="15">
        <v>15</v>
      </c>
      <c r="D41" s="534">
        <v>452.83</v>
      </c>
      <c r="E41" s="726">
        <v>44908</v>
      </c>
      <c r="F41" s="534">
        <f t="shared" si="12"/>
        <v>452.83</v>
      </c>
      <c r="G41" s="329" t="s">
        <v>691</v>
      </c>
      <c r="H41" s="330">
        <v>137</v>
      </c>
      <c r="I41" s="105">
        <f t="shared" si="7"/>
        <v>5644.8199999999988</v>
      </c>
      <c r="J41" s="17">
        <f t="shared" si="3"/>
        <v>62037.71</v>
      </c>
      <c r="L41" s="122"/>
      <c r="M41" s="182">
        <f t="shared" si="8"/>
        <v>28</v>
      </c>
      <c r="N41" s="15"/>
      <c r="O41" s="69"/>
      <c r="P41" s="202"/>
      <c r="Q41" s="69">
        <f t="shared" si="1"/>
        <v>0</v>
      </c>
      <c r="R41" s="70"/>
      <c r="S41" s="71"/>
      <c r="T41" s="105">
        <f t="shared" si="9"/>
        <v>880.80999999999767</v>
      </c>
      <c r="U41" s="17">
        <f t="shared" si="4"/>
        <v>0</v>
      </c>
      <c r="W41" s="122"/>
      <c r="X41" s="182">
        <f t="shared" si="10"/>
        <v>68</v>
      </c>
      <c r="Y41" s="15"/>
      <c r="Z41" s="69"/>
      <c r="AA41" s="202"/>
      <c r="AB41" s="69">
        <f t="shared" si="2"/>
        <v>0</v>
      </c>
      <c r="AC41" s="70"/>
      <c r="AD41" s="71"/>
      <c r="AE41" s="105">
        <f t="shared" si="11"/>
        <v>2025.9</v>
      </c>
      <c r="AF41" s="17">
        <f t="shared" si="5"/>
        <v>0</v>
      </c>
    </row>
    <row r="42" spans="1:32" x14ac:dyDescent="0.25">
      <c r="A42" s="122"/>
      <c r="B42" s="182">
        <f t="shared" si="6"/>
        <v>181</v>
      </c>
      <c r="C42" s="15">
        <v>1</v>
      </c>
      <c r="D42" s="534">
        <v>35.61</v>
      </c>
      <c r="E42" s="726">
        <v>44909</v>
      </c>
      <c r="F42" s="534">
        <f t="shared" si="12"/>
        <v>35.61</v>
      </c>
      <c r="G42" s="329" t="s">
        <v>701</v>
      </c>
      <c r="H42" s="330">
        <v>137</v>
      </c>
      <c r="I42" s="105">
        <f t="shared" si="7"/>
        <v>5609.2099999999991</v>
      </c>
      <c r="J42" s="17">
        <f t="shared" si="3"/>
        <v>4878.57</v>
      </c>
      <c r="L42" s="122"/>
      <c r="M42" s="182">
        <f t="shared" si="8"/>
        <v>28</v>
      </c>
      <c r="N42" s="15"/>
      <c r="O42" s="69"/>
      <c r="P42" s="202"/>
      <c r="Q42" s="69">
        <f t="shared" si="1"/>
        <v>0</v>
      </c>
      <c r="R42" s="70"/>
      <c r="S42" s="71"/>
      <c r="T42" s="105">
        <f t="shared" si="9"/>
        <v>880.80999999999767</v>
      </c>
      <c r="U42" s="17">
        <f t="shared" si="4"/>
        <v>0</v>
      </c>
      <c r="W42" s="122"/>
      <c r="X42" s="182">
        <f t="shared" si="10"/>
        <v>68</v>
      </c>
      <c r="Y42" s="15"/>
      <c r="Z42" s="69"/>
      <c r="AA42" s="202"/>
      <c r="AB42" s="69">
        <f t="shared" si="2"/>
        <v>0</v>
      </c>
      <c r="AC42" s="70"/>
      <c r="AD42" s="71"/>
      <c r="AE42" s="105">
        <f t="shared" si="11"/>
        <v>2025.9</v>
      </c>
      <c r="AF42" s="17">
        <f t="shared" si="5"/>
        <v>0</v>
      </c>
    </row>
    <row r="43" spans="1:32" x14ac:dyDescent="0.25">
      <c r="A43" s="122"/>
      <c r="B43" s="182">
        <f t="shared" si="6"/>
        <v>151</v>
      </c>
      <c r="C43" s="15">
        <v>30</v>
      </c>
      <c r="D43" s="534">
        <v>895.95</v>
      </c>
      <c r="E43" s="726">
        <v>44909</v>
      </c>
      <c r="F43" s="534">
        <f t="shared" si="12"/>
        <v>895.95</v>
      </c>
      <c r="G43" s="329" t="s">
        <v>704</v>
      </c>
      <c r="H43" s="330">
        <v>137</v>
      </c>
      <c r="I43" s="105">
        <f t="shared" si="7"/>
        <v>4713.2599999999993</v>
      </c>
      <c r="J43" s="17">
        <f t="shared" si="3"/>
        <v>122745.15000000001</v>
      </c>
      <c r="L43" s="122"/>
      <c r="M43" s="182">
        <f t="shared" si="8"/>
        <v>28</v>
      </c>
      <c r="N43" s="15"/>
      <c r="O43" s="69"/>
      <c r="P43" s="202"/>
      <c r="Q43" s="69">
        <f t="shared" si="1"/>
        <v>0</v>
      </c>
      <c r="R43" s="70"/>
      <c r="S43" s="71"/>
      <c r="T43" s="105">
        <f t="shared" si="9"/>
        <v>880.80999999999767</v>
      </c>
      <c r="U43" s="17">
        <f t="shared" si="4"/>
        <v>0</v>
      </c>
      <c r="W43" s="122"/>
      <c r="X43" s="182">
        <f t="shared" si="10"/>
        <v>68</v>
      </c>
      <c r="Y43" s="15"/>
      <c r="Z43" s="69"/>
      <c r="AA43" s="202"/>
      <c r="AB43" s="69">
        <f t="shared" si="2"/>
        <v>0</v>
      </c>
      <c r="AC43" s="70"/>
      <c r="AD43" s="71"/>
      <c r="AE43" s="105">
        <f t="shared" si="11"/>
        <v>2025.9</v>
      </c>
      <c r="AF43" s="17">
        <f t="shared" si="5"/>
        <v>0</v>
      </c>
    </row>
    <row r="44" spans="1:32" x14ac:dyDescent="0.25">
      <c r="A44" s="122"/>
      <c r="B44" s="182">
        <f t="shared" si="6"/>
        <v>121</v>
      </c>
      <c r="C44" s="15">
        <v>30</v>
      </c>
      <c r="D44" s="534">
        <v>905.92</v>
      </c>
      <c r="E44" s="726">
        <v>44911</v>
      </c>
      <c r="F44" s="534">
        <f t="shared" si="12"/>
        <v>905.92</v>
      </c>
      <c r="G44" s="329" t="s">
        <v>732</v>
      </c>
      <c r="H44" s="330">
        <v>137</v>
      </c>
      <c r="I44" s="105">
        <f t="shared" si="7"/>
        <v>3807.3399999999992</v>
      </c>
      <c r="J44" s="17">
        <f t="shared" si="3"/>
        <v>124111.03999999999</v>
      </c>
      <c r="L44" s="122"/>
      <c r="M44" s="182">
        <f t="shared" si="8"/>
        <v>28</v>
      </c>
      <c r="N44" s="15"/>
      <c r="O44" s="69"/>
      <c r="P44" s="202"/>
      <c r="Q44" s="69">
        <f t="shared" si="1"/>
        <v>0</v>
      </c>
      <c r="R44" s="70"/>
      <c r="S44" s="71"/>
      <c r="T44" s="105">
        <f t="shared" si="9"/>
        <v>880.80999999999767</v>
      </c>
      <c r="U44" s="17">
        <f t="shared" si="4"/>
        <v>0</v>
      </c>
      <c r="W44" s="122"/>
      <c r="X44" s="182">
        <f t="shared" si="10"/>
        <v>68</v>
      </c>
      <c r="Y44" s="15"/>
      <c r="Z44" s="69"/>
      <c r="AA44" s="202"/>
      <c r="AB44" s="69">
        <f t="shared" si="2"/>
        <v>0</v>
      </c>
      <c r="AC44" s="70"/>
      <c r="AD44" s="71"/>
      <c r="AE44" s="105">
        <f t="shared" si="11"/>
        <v>2025.9</v>
      </c>
      <c r="AF44" s="17">
        <f t="shared" si="5"/>
        <v>0</v>
      </c>
    </row>
    <row r="45" spans="1:32" x14ac:dyDescent="0.25">
      <c r="A45" s="122"/>
      <c r="B45" s="182">
        <f t="shared" si="6"/>
        <v>111</v>
      </c>
      <c r="C45" s="15">
        <v>10</v>
      </c>
      <c r="D45" s="534">
        <v>323.55</v>
      </c>
      <c r="E45" s="726">
        <v>44911</v>
      </c>
      <c r="F45" s="534">
        <f t="shared" si="12"/>
        <v>323.55</v>
      </c>
      <c r="G45" s="329" t="s">
        <v>734</v>
      </c>
      <c r="H45" s="330">
        <v>137</v>
      </c>
      <c r="I45" s="105">
        <f t="shared" si="7"/>
        <v>3483.7899999999991</v>
      </c>
      <c r="J45" s="17">
        <f t="shared" si="3"/>
        <v>44326.35</v>
      </c>
      <c r="L45" s="122"/>
      <c r="M45" s="182">
        <f t="shared" si="8"/>
        <v>28</v>
      </c>
      <c r="N45" s="15"/>
      <c r="O45" s="69"/>
      <c r="P45" s="202"/>
      <c r="Q45" s="69">
        <f t="shared" si="1"/>
        <v>0</v>
      </c>
      <c r="R45" s="70"/>
      <c r="S45" s="71"/>
      <c r="T45" s="105">
        <f t="shared" si="9"/>
        <v>880.80999999999767</v>
      </c>
      <c r="U45" s="17">
        <f t="shared" si="4"/>
        <v>0</v>
      </c>
      <c r="W45" s="122"/>
      <c r="X45" s="182">
        <f t="shared" si="10"/>
        <v>68</v>
      </c>
      <c r="Y45" s="15"/>
      <c r="Z45" s="69"/>
      <c r="AA45" s="202"/>
      <c r="AB45" s="69">
        <f t="shared" si="2"/>
        <v>0</v>
      </c>
      <c r="AC45" s="70"/>
      <c r="AD45" s="71"/>
      <c r="AE45" s="105">
        <f t="shared" si="11"/>
        <v>2025.9</v>
      </c>
      <c r="AF45" s="17">
        <f t="shared" si="5"/>
        <v>0</v>
      </c>
    </row>
    <row r="46" spans="1:32" x14ac:dyDescent="0.25">
      <c r="A46" s="122"/>
      <c r="B46" s="182">
        <f t="shared" si="6"/>
        <v>110</v>
      </c>
      <c r="C46" s="15">
        <v>1</v>
      </c>
      <c r="D46" s="534">
        <v>30.03</v>
      </c>
      <c r="E46" s="726">
        <v>44911</v>
      </c>
      <c r="F46" s="534">
        <f t="shared" si="12"/>
        <v>30.03</v>
      </c>
      <c r="G46" s="329" t="s">
        <v>736</v>
      </c>
      <c r="H46" s="330">
        <v>137</v>
      </c>
      <c r="I46" s="105">
        <f t="shared" si="7"/>
        <v>3453.7599999999989</v>
      </c>
      <c r="J46" s="17">
        <f t="shared" si="3"/>
        <v>4114.1100000000006</v>
      </c>
      <c r="L46" s="122"/>
      <c r="M46" s="182">
        <f t="shared" si="8"/>
        <v>28</v>
      </c>
      <c r="N46" s="15"/>
      <c r="O46" s="69"/>
      <c r="P46" s="202"/>
      <c r="Q46" s="69">
        <f t="shared" si="1"/>
        <v>0</v>
      </c>
      <c r="R46" s="70"/>
      <c r="S46" s="71"/>
      <c r="T46" s="105">
        <f t="shared" si="9"/>
        <v>880.80999999999767</v>
      </c>
      <c r="U46" s="17">
        <f t="shared" si="4"/>
        <v>0</v>
      </c>
      <c r="W46" s="122"/>
      <c r="X46" s="182">
        <f t="shared" si="10"/>
        <v>68</v>
      </c>
      <c r="Y46" s="15"/>
      <c r="Z46" s="69"/>
      <c r="AA46" s="202"/>
      <c r="AB46" s="69">
        <f t="shared" si="2"/>
        <v>0</v>
      </c>
      <c r="AC46" s="70"/>
      <c r="AD46" s="71"/>
      <c r="AE46" s="105">
        <f t="shared" si="11"/>
        <v>2025.9</v>
      </c>
      <c r="AF46" s="17">
        <f t="shared" si="5"/>
        <v>0</v>
      </c>
    </row>
    <row r="47" spans="1:32" x14ac:dyDescent="0.25">
      <c r="A47" s="122"/>
      <c r="B47" s="182">
        <f t="shared" si="6"/>
        <v>100</v>
      </c>
      <c r="C47" s="15">
        <v>10</v>
      </c>
      <c r="D47" s="534">
        <v>329.18</v>
      </c>
      <c r="E47" s="726">
        <v>44912</v>
      </c>
      <c r="F47" s="534">
        <f t="shared" si="12"/>
        <v>329.18</v>
      </c>
      <c r="G47" s="329" t="s">
        <v>708</v>
      </c>
      <c r="H47" s="330">
        <v>137</v>
      </c>
      <c r="I47" s="105">
        <f t="shared" si="7"/>
        <v>3124.579999999999</v>
      </c>
      <c r="J47" s="17">
        <f t="shared" si="3"/>
        <v>45097.66</v>
      </c>
      <c r="L47" s="122"/>
      <c r="M47" s="182">
        <f t="shared" si="8"/>
        <v>28</v>
      </c>
      <c r="N47" s="15"/>
      <c r="O47" s="69"/>
      <c r="P47" s="202"/>
      <c r="Q47" s="69">
        <f t="shared" si="1"/>
        <v>0</v>
      </c>
      <c r="R47" s="70"/>
      <c r="S47" s="71"/>
      <c r="T47" s="105">
        <f t="shared" si="9"/>
        <v>880.80999999999767</v>
      </c>
      <c r="U47" s="17">
        <f t="shared" si="4"/>
        <v>0</v>
      </c>
      <c r="W47" s="122"/>
      <c r="X47" s="182">
        <f t="shared" si="10"/>
        <v>68</v>
      </c>
      <c r="Y47" s="15"/>
      <c r="Z47" s="69"/>
      <c r="AA47" s="202"/>
      <c r="AB47" s="69">
        <f t="shared" si="2"/>
        <v>0</v>
      </c>
      <c r="AC47" s="70"/>
      <c r="AD47" s="71"/>
      <c r="AE47" s="105">
        <f t="shared" si="11"/>
        <v>2025.9</v>
      </c>
      <c r="AF47" s="17">
        <f t="shared" si="5"/>
        <v>0</v>
      </c>
    </row>
    <row r="48" spans="1:32" x14ac:dyDescent="0.25">
      <c r="A48" s="122"/>
      <c r="B48" s="182">
        <f t="shared" si="6"/>
        <v>99</v>
      </c>
      <c r="C48" s="15">
        <v>1</v>
      </c>
      <c r="D48" s="534">
        <v>34.93</v>
      </c>
      <c r="E48" s="726">
        <v>44912</v>
      </c>
      <c r="F48" s="534">
        <f t="shared" si="12"/>
        <v>34.93</v>
      </c>
      <c r="G48" s="329" t="s">
        <v>743</v>
      </c>
      <c r="H48" s="330">
        <v>137</v>
      </c>
      <c r="I48" s="105">
        <f t="shared" si="7"/>
        <v>3089.6499999999992</v>
      </c>
      <c r="J48" s="17">
        <f t="shared" si="3"/>
        <v>4785.41</v>
      </c>
      <c r="L48" s="122"/>
      <c r="M48" s="182">
        <f t="shared" si="8"/>
        <v>28</v>
      </c>
      <c r="N48" s="15"/>
      <c r="O48" s="69"/>
      <c r="P48" s="202"/>
      <c r="Q48" s="69">
        <f t="shared" si="1"/>
        <v>0</v>
      </c>
      <c r="R48" s="70"/>
      <c r="S48" s="71"/>
      <c r="T48" s="105">
        <f t="shared" si="9"/>
        <v>880.80999999999767</v>
      </c>
      <c r="U48" s="17">
        <f t="shared" si="4"/>
        <v>0</v>
      </c>
      <c r="W48" s="122"/>
      <c r="X48" s="182">
        <f t="shared" si="10"/>
        <v>68</v>
      </c>
      <c r="Y48" s="15"/>
      <c r="Z48" s="69"/>
      <c r="AA48" s="202"/>
      <c r="AB48" s="69">
        <f t="shared" si="2"/>
        <v>0</v>
      </c>
      <c r="AC48" s="70"/>
      <c r="AD48" s="71"/>
      <c r="AE48" s="105">
        <f t="shared" si="11"/>
        <v>2025.9</v>
      </c>
      <c r="AF48" s="17">
        <f t="shared" si="5"/>
        <v>0</v>
      </c>
    </row>
    <row r="49" spans="1:32" x14ac:dyDescent="0.25">
      <c r="A49" s="122"/>
      <c r="B49" s="182">
        <f t="shared" si="6"/>
        <v>69</v>
      </c>
      <c r="C49" s="15">
        <v>30</v>
      </c>
      <c r="D49" s="534">
        <v>897.97</v>
      </c>
      <c r="E49" s="726">
        <v>44912</v>
      </c>
      <c r="F49" s="534">
        <f t="shared" si="12"/>
        <v>897.97</v>
      </c>
      <c r="G49" s="329" t="s">
        <v>744</v>
      </c>
      <c r="H49" s="330">
        <v>137</v>
      </c>
      <c r="I49" s="105">
        <f t="shared" si="7"/>
        <v>2191.6799999999994</v>
      </c>
      <c r="J49" s="17">
        <f t="shared" si="3"/>
        <v>123021.89</v>
      </c>
      <c r="L49" s="122"/>
      <c r="M49" s="182">
        <f t="shared" si="8"/>
        <v>28</v>
      </c>
      <c r="N49" s="15"/>
      <c r="O49" s="69"/>
      <c r="P49" s="202"/>
      <c r="Q49" s="69">
        <f t="shared" si="1"/>
        <v>0</v>
      </c>
      <c r="R49" s="70"/>
      <c r="S49" s="71"/>
      <c r="T49" s="105">
        <f t="shared" si="9"/>
        <v>880.80999999999767</v>
      </c>
      <c r="U49" s="17">
        <f t="shared" si="4"/>
        <v>0</v>
      </c>
      <c r="W49" s="122"/>
      <c r="X49" s="182">
        <f t="shared" si="10"/>
        <v>68</v>
      </c>
      <c r="Y49" s="15"/>
      <c r="Z49" s="69"/>
      <c r="AA49" s="202"/>
      <c r="AB49" s="69">
        <f t="shared" si="2"/>
        <v>0</v>
      </c>
      <c r="AC49" s="70"/>
      <c r="AD49" s="71"/>
      <c r="AE49" s="105">
        <f t="shared" si="11"/>
        <v>2025.9</v>
      </c>
      <c r="AF49" s="17">
        <f t="shared" si="5"/>
        <v>0</v>
      </c>
    </row>
    <row r="50" spans="1:32" x14ac:dyDescent="0.25">
      <c r="A50" s="122"/>
      <c r="B50" s="182">
        <f t="shared" si="6"/>
        <v>34</v>
      </c>
      <c r="C50" s="15">
        <v>35</v>
      </c>
      <c r="D50" s="534">
        <v>1077.3599999999999</v>
      </c>
      <c r="E50" s="726">
        <v>44912</v>
      </c>
      <c r="F50" s="534">
        <f t="shared" si="12"/>
        <v>1077.3599999999999</v>
      </c>
      <c r="G50" s="329" t="s">
        <v>744</v>
      </c>
      <c r="H50" s="330">
        <v>137</v>
      </c>
      <c r="I50" s="105">
        <f t="shared" si="7"/>
        <v>1114.3199999999995</v>
      </c>
      <c r="J50" s="17">
        <f t="shared" si="3"/>
        <v>147598.31999999998</v>
      </c>
      <c r="L50" s="122"/>
      <c r="M50" s="182">
        <f t="shared" si="8"/>
        <v>28</v>
      </c>
      <c r="N50" s="15"/>
      <c r="O50" s="69"/>
      <c r="P50" s="202"/>
      <c r="Q50" s="69">
        <f t="shared" si="1"/>
        <v>0</v>
      </c>
      <c r="R50" s="70"/>
      <c r="S50" s="71"/>
      <c r="T50" s="105">
        <f t="shared" si="9"/>
        <v>880.80999999999767</v>
      </c>
      <c r="U50" s="17">
        <f t="shared" si="4"/>
        <v>0</v>
      </c>
      <c r="W50" s="122"/>
      <c r="X50" s="182">
        <f t="shared" si="10"/>
        <v>68</v>
      </c>
      <c r="Y50" s="15"/>
      <c r="Z50" s="69"/>
      <c r="AA50" s="202"/>
      <c r="AB50" s="69">
        <f t="shared" si="2"/>
        <v>0</v>
      </c>
      <c r="AC50" s="70"/>
      <c r="AD50" s="71"/>
      <c r="AE50" s="105">
        <f t="shared" si="11"/>
        <v>2025.9</v>
      </c>
      <c r="AF50" s="17">
        <f t="shared" si="5"/>
        <v>0</v>
      </c>
    </row>
    <row r="51" spans="1:32" x14ac:dyDescent="0.25">
      <c r="A51" s="122"/>
      <c r="B51" s="182">
        <f t="shared" si="6"/>
        <v>33</v>
      </c>
      <c r="C51" s="15">
        <v>1</v>
      </c>
      <c r="D51" s="534">
        <v>32.57</v>
      </c>
      <c r="E51" s="726">
        <v>44916</v>
      </c>
      <c r="F51" s="534">
        <f t="shared" si="12"/>
        <v>32.57</v>
      </c>
      <c r="G51" s="329" t="s">
        <v>779</v>
      </c>
      <c r="H51" s="330">
        <v>137</v>
      </c>
      <c r="I51" s="105">
        <f t="shared" si="7"/>
        <v>1081.7499999999995</v>
      </c>
      <c r="J51" s="17">
        <f t="shared" si="3"/>
        <v>4462.09</v>
      </c>
      <c r="L51" s="122"/>
      <c r="M51" s="182">
        <f t="shared" si="8"/>
        <v>28</v>
      </c>
      <c r="N51" s="15"/>
      <c r="O51" s="69"/>
      <c r="P51" s="202"/>
      <c r="Q51" s="69">
        <f t="shared" si="1"/>
        <v>0</v>
      </c>
      <c r="R51" s="70"/>
      <c r="S51" s="71"/>
      <c r="T51" s="105">
        <f t="shared" si="9"/>
        <v>880.80999999999767</v>
      </c>
      <c r="U51" s="17">
        <f t="shared" si="4"/>
        <v>0</v>
      </c>
      <c r="W51" s="122"/>
      <c r="X51" s="182">
        <f t="shared" si="10"/>
        <v>68</v>
      </c>
      <c r="Y51" s="15"/>
      <c r="Z51" s="69"/>
      <c r="AA51" s="202"/>
      <c r="AB51" s="69">
        <f t="shared" si="2"/>
        <v>0</v>
      </c>
      <c r="AC51" s="70"/>
      <c r="AD51" s="71"/>
      <c r="AE51" s="105">
        <f t="shared" si="11"/>
        <v>2025.9</v>
      </c>
      <c r="AF51" s="17">
        <f t="shared" si="5"/>
        <v>0</v>
      </c>
    </row>
    <row r="52" spans="1:32" x14ac:dyDescent="0.25">
      <c r="A52" s="122"/>
      <c r="B52" s="182">
        <f t="shared" si="6"/>
        <v>30</v>
      </c>
      <c r="C52" s="15">
        <v>3</v>
      </c>
      <c r="D52" s="534">
        <v>99.21</v>
      </c>
      <c r="E52" s="726">
        <v>44917</v>
      </c>
      <c r="F52" s="534">
        <f t="shared" si="12"/>
        <v>99.21</v>
      </c>
      <c r="G52" s="329" t="s">
        <v>791</v>
      </c>
      <c r="H52" s="330">
        <v>137</v>
      </c>
      <c r="I52" s="105">
        <f t="shared" si="7"/>
        <v>982.53999999999951</v>
      </c>
      <c r="J52" s="17">
        <f t="shared" si="3"/>
        <v>13591.769999999999</v>
      </c>
      <c r="L52" s="122"/>
      <c r="M52" s="182">
        <f t="shared" si="8"/>
        <v>28</v>
      </c>
      <c r="N52" s="15"/>
      <c r="O52" s="69"/>
      <c r="P52" s="202"/>
      <c r="Q52" s="69">
        <f t="shared" si="1"/>
        <v>0</v>
      </c>
      <c r="R52" s="70"/>
      <c r="S52" s="71"/>
      <c r="T52" s="105">
        <f t="shared" si="9"/>
        <v>880.80999999999767</v>
      </c>
      <c r="U52" s="17">
        <f t="shared" si="4"/>
        <v>0</v>
      </c>
      <c r="W52" s="122"/>
      <c r="X52" s="182">
        <f t="shared" si="10"/>
        <v>68</v>
      </c>
      <c r="Y52" s="15"/>
      <c r="Z52" s="69"/>
      <c r="AA52" s="202"/>
      <c r="AB52" s="69">
        <f t="shared" si="2"/>
        <v>0</v>
      </c>
      <c r="AC52" s="70"/>
      <c r="AD52" s="71"/>
      <c r="AE52" s="105">
        <f t="shared" si="11"/>
        <v>2025.9</v>
      </c>
      <c r="AF52" s="17">
        <f t="shared" si="5"/>
        <v>0</v>
      </c>
    </row>
    <row r="53" spans="1:32" x14ac:dyDescent="0.25">
      <c r="A53" s="122"/>
      <c r="B53" s="182">
        <f t="shared" si="6"/>
        <v>0</v>
      </c>
      <c r="C53" s="15">
        <v>30</v>
      </c>
      <c r="D53" s="534">
        <v>900.24</v>
      </c>
      <c r="E53" s="726">
        <v>44917</v>
      </c>
      <c r="F53" s="534">
        <f t="shared" si="12"/>
        <v>900.24</v>
      </c>
      <c r="G53" s="329" t="s">
        <v>792</v>
      </c>
      <c r="H53" s="330">
        <v>137</v>
      </c>
      <c r="I53" s="105">
        <f t="shared" si="7"/>
        <v>82.2999999999995</v>
      </c>
      <c r="J53" s="17">
        <f t="shared" si="3"/>
        <v>123332.88</v>
      </c>
      <c r="L53" s="122"/>
      <c r="M53" s="182">
        <f t="shared" si="8"/>
        <v>28</v>
      </c>
      <c r="N53" s="15"/>
      <c r="O53" s="69"/>
      <c r="P53" s="202"/>
      <c r="Q53" s="69">
        <f t="shared" si="1"/>
        <v>0</v>
      </c>
      <c r="R53" s="70"/>
      <c r="S53" s="71"/>
      <c r="T53" s="105">
        <f t="shared" si="9"/>
        <v>880.80999999999767</v>
      </c>
      <c r="U53" s="17">
        <f t="shared" si="4"/>
        <v>0</v>
      </c>
      <c r="W53" s="122"/>
      <c r="X53" s="182">
        <f t="shared" si="10"/>
        <v>68</v>
      </c>
      <c r="Y53" s="15"/>
      <c r="Z53" s="69"/>
      <c r="AA53" s="202"/>
      <c r="AB53" s="69">
        <f t="shared" si="2"/>
        <v>0</v>
      </c>
      <c r="AC53" s="70"/>
      <c r="AD53" s="71"/>
      <c r="AE53" s="105">
        <f t="shared" si="11"/>
        <v>2025.9</v>
      </c>
      <c r="AF53" s="17">
        <f t="shared" si="5"/>
        <v>0</v>
      </c>
    </row>
    <row r="54" spans="1:32" x14ac:dyDescent="0.25">
      <c r="A54" s="122"/>
      <c r="B54" s="182">
        <f t="shared" si="6"/>
        <v>0</v>
      </c>
      <c r="C54" s="15"/>
      <c r="D54" s="534"/>
      <c r="E54" s="726"/>
      <c r="F54" s="534">
        <f t="shared" si="12"/>
        <v>0</v>
      </c>
      <c r="G54" s="329"/>
      <c r="H54" s="330"/>
      <c r="I54" s="105">
        <f t="shared" si="7"/>
        <v>82.2999999999995</v>
      </c>
      <c r="J54" s="17">
        <f t="shared" si="3"/>
        <v>0</v>
      </c>
      <c r="L54" s="122"/>
      <c r="M54" s="182">
        <f t="shared" si="8"/>
        <v>28</v>
      </c>
      <c r="N54" s="15"/>
      <c r="O54" s="69"/>
      <c r="P54" s="202"/>
      <c r="Q54" s="69">
        <f t="shared" si="1"/>
        <v>0</v>
      </c>
      <c r="R54" s="70"/>
      <c r="S54" s="71"/>
      <c r="T54" s="105">
        <f t="shared" si="9"/>
        <v>880.80999999999767</v>
      </c>
      <c r="U54" s="17">
        <f t="shared" si="4"/>
        <v>0</v>
      </c>
      <c r="W54" s="122"/>
      <c r="X54" s="182">
        <f t="shared" si="10"/>
        <v>68</v>
      </c>
      <c r="Y54" s="15"/>
      <c r="Z54" s="69"/>
      <c r="AA54" s="202"/>
      <c r="AB54" s="69">
        <f t="shared" si="2"/>
        <v>0</v>
      </c>
      <c r="AC54" s="70"/>
      <c r="AD54" s="71"/>
      <c r="AE54" s="105">
        <f t="shared" si="11"/>
        <v>2025.9</v>
      </c>
      <c r="AF54" s="17">
        <f t="shared" si="5"/>
        <v>0</v>
      </c>
    </row>
    <row r="55" spans="1:32" x14ac:dyDescent="0.25">
      <c r="A55" s="122"/>
      <c r="B55" s="182">
        <f t="shared" si="6"/>
        <v>0</v>
      </c>
      <c r="C55" s="15"/>
      <c r="D55" s="534"/>
      <c r="E55" s="726"/>
      <c r="F55" s="534">
        <f t="shared" si="12"/>
        <v>0</v>
      </c>
      <c r="G55" s="329"/>
      <c r="H55" s="330"/>
      <c r="I55" s="105">
        <f t="shared" si="7"/>
        <v>82.2999999999995</v>
      </c>
      <c r="J55" s="17">
        <f t="shared" si="3"/>
        <v>0</v>
      </c>
      <c r="L55" s="122"/>
      <c r="M55" s="182">
        <f t="shared" si="8"/>
        <v>28</v>
      </c>
      <c r="N55" s="15"/>
      <c r="O55" s="69"/>
      <c r="P55" s="202"/>
      <c r="Q55" s="69">
        <f t="shared" si="1"/>
        <v>0</v>
      </c>
      <c r="R55" s="70"/>
      <c r="S55" s="71"/>
      <c r="T55" s="105">
        <f t="shared" si="9"/>
        <v>880.80999999999767</v>
      </c>
      <c r="U55" s="17">
        <f t="shared" si="4"/>
        <v>0</v>
      </c>
      <c r="W55" s="122"/>
      <c r="X55" s="182">
        <f t="shared" si="10"/>
        <v>68</v>
      </c>
      <c r="Y55" s="15"/>
      <c r="Z55" s="69"/>
      <c r="AA55" s="202"/>
      <c r="AB55" s="69">
        <f t="shared" si="2"/>
        <v>0</v>
      </c>
      <c r="AC55" s="70"/>
      <c r="AD55" s="71"/>
      <c r="AE55" s="105">
        <f t="shared" si="11"/>
        <v>2025.9</v>
      </c>
      <c r="AF55" s="17">
        <f t="shared" si="5"/>
        <v>0</v>
      </c>
    </row>
    <row r="56" spans="1:32" x14ac:dyDescent="0.25">
      <c r="A56" s="122"/>
      <c r="B56" s="182">
        <f t="shared" si="6"/>
        <v>0</v>
      </c>
      <c r="C56" s="15"/>
      <c r="D56" s="534"/>
      <c r="E56" s="726"/>
      <c r="F56" s="1160">
        <f t="shared" si="12"/>
        <v>0</v>
      </c>
      <c r="G56" s="1161"/>
      <c r="H56" s="1162"/>
      <c r="I56" s="1163">
        <f t="shared" si="7"/>
        <v>82.2999999999995</v>
      </c>
      <c r="J56" s="1193">
        <f t="shared" si="3"/>
        <v>0</v>
      </c>
      <c r="L56" s="122"/>
      <c r="M56" s="182">
        <f t="shared" si="8"/>
        <v>28</v>
      </c>
      <c r="N56" s="15"/>
      <c r="O56" s="69"/>
      <c r="P56" s="202"/>
      <c r="Q56" s="69">
        <f t="shared" si="1"/>
        <v>0</v>
      </c>
      <c r="R56" s="70"/>
      <c r="S56" s="71"/>
      <c r="T56" s="105">
        <f t="shared" si="9"/>
        <v>880.80999999999767</v>
      </c>
      <c r="U56" s="17">
        <f t="shared" si="4"/>
        <v>0</v>
      </c>
      <c r="W56" s="122"/>
      <c r="X56" s="182">
        <f t="shared" si="10"/>
        <v>68</v>
      </c>
      <c r="Y56" s="15"/>
      <c r="Z56" s="69"/>
      <c r="AA56" s="202"/>
      <c r="AB56" s="69">
        <f t="shared" si="2"/>
        <v>0</v>
      </c>
      <c r="AC56" s="70"/>
      <c r="AD56" s="71"/>
      <c r="AE56" s="105">
        <f t="shared" si="11"/>
        <v>2025.9</v>
      </c>
      <c r="AF56" s="17">
        <f t="shared" si="5"/>
        <v>0</v>
      </c>
    </row>
    <row r="57" spans="1:32" x14ac:dyDescent="0.25">
      <c r="A57" s="122"/>
      <c r="B57" s="182">
        <f t="shared" si="6"/>
        <v>0</v>
      </c>
      <c r="C57" s="15"/>
      <c r="D57" s="534"/>
      <c r="E57" s="726"/>
      <c r="F57" s="1160">
        <v>82.3</v>
      </c>
      <c r="G57" s="1161"/>
      <c r="H57" s="1162"/>
      <c r="I57" s="1163">
        <f t="shared" si="7"/>
        <v>-4.9737991503207013E-13</v>
      </c>
      <c r="J57" s="1193">
        <f t="shared" si="3"/>
        <v>0</v>
      </c>
      <c r="L57" s="122"/>
      <c r="M57" s="182">
        <f t="shared" si="8"/>
        <v>28</v>
      </c>
      <c r="N57" s="15"/>
      <c r="O57" s="69"/>
      <c r="P57" s="202"/>
      <c r="Q57" s="69">
        <f t="shared" si="1"/>
        <v>0</v>
      </c>
      <c r="R57" s="70"/>
      <c r="S57" s="71"/>
      <c r="T57" s="105">
        <f t="shared" si="9"/>
        <v>880.80999999999767</v>
      </c>
      <c r="U57" s="17">
        <f t="shared" si="4"/>
        <v>0</v>
      </c>
      <c r="W57" s="122"/>
      <c r="X57" s="182">
        <f t="shared" si="10"/>
        <v>68</v>
      </c>
      <c r="Y57" s="15"/>
      <c r="Z57" s="69"/>
      <c r="AA57" s="202"/>
      <c r="AB57" s="69">
        <f t="shared" si="2"/>
        <v>0</v>
      </c>
      <c r="AC57" s="70"/>
      <c r="AD57" s="71"/>
      <c r="AE57" s="105">
        <f t="shared" si="11"/>
        <v>2025.9</v>
      </c>
      <c r="AF57" s="17">
        <f t="shared" si="5"/>
        <v>0</v>
      </c>
    </row>
    <row r="58" spans="1:32" x14ac:dyDescent="0.25">
      <c r="A58" s="122"/>
      <c r="B58" s="182">
        <f t="shared" si="6"/>
        <v>0</v>
      </c>
      <c r="C58" s="15"/>
      <c r="D58" s="534"/>
      <c r="E58" s="726"/>
      <c r="F58" s="1160">
        <v>0</v>
      </c>
      <c r="G58" s="1161"/>
      <c r="H58" s="1162"/>
      <c r="I58" s="1163">
        <f t="shared" si="7"/>
        <v>-4.9737991503207013E-13</v>
      </c>
      <c r="J58" s="1193">
        <f t="shared" si="3"/>
        <v>0</v>
      </c>
      <c r="L58" s="122"/>
      <c r="M58" s="182">
        <f t="shared" si="8"/>
        <v>28</v>
      </c>
      <c r="N58" s="15"/>
      <c r="O58" s="69"/>
      <c r="P58" s="202"/>
      <c r="Q58" s="69">
        <v>0</v>
      </c>
      <c r="R58" s="70"/>
      <c r="S58" s="71"/>
      <c r="T58" s="105">
        <f t="shared" si="9"/>
        <v>880.80999999999767</v>
      </c>
      <c r="U58" s="17">
        <f t="shared" si="4"/>
        <v>0</v>
      </c>
      <c r="W58" s="122"/>
      <c r="X58" s="182">
        <f t="shared" si="10"/>
        <v>68</v>
      </c>
      <c r="Y58" s="15"/>
      <c r="Z58" s="69"/>
      <c r="AA58" s="202"/>
      <c r="AB58" s="69">
        <v>0</v>
      </c>
      <c r="AC58" s="70"/>
      <c r="AD58" s="71"/>
      <c r="AE58" s="105">
        <f t="shared" si="11"/>
        <v>2025.9</v>
      </c>
      <c r="AF58" s="17">
        <f t="shared" si="5"/>
        <v>0</v>
      </c>
    </row>
    <row r="59" spans="1:32" x14ac:dyDescent="0.25">
      <c r="A59" s="122"/>
      <c r="B59" s="182">
        <f t="shared" si="6"/>
        <v>0</v>
      </c>
      <c r="C59" s="15"/>
      <c r="D59" s="534"/>
      <c r="E59" s="726"/>
      <c r="F59" s="1160">
        <f t="shared" ref="F59:F74" si="13">D59</f>
        <v>0</v>
      </c>
      <c r="G59" s="1161"/>
      <c r="H59" s="1162"/>
      <c r="I59" s="1163">
        <f t="shared" si="7"/>
        <v>-4.9737991503207013E-13</v>
      </c>
      <c r="J59" s="1193">
        <f t="shared" si="3"/>
        <v>0</v>
      </c>
      <c r="L59" s="122"/>
      <c r="M59" s="182">
        <f t="shared" si="8"/>
        <v>28</v>
      </c>
      <c r="N59" s="15"/>
      <c r="O59" s="69"/>
      <c r="P59" s="202"/>
      <c r="Q59" s="69">
        <f t="shared" ref="Q59:Q74" si="14">O59</f>
        <v>0</v>
      </c>
      <c r="R59" s="70"/>
      <c r="S59" s="71"/>
      <c r="T59" s="105">
        <f t="shared" si="9"/>
        <v>880.80999999999767</v>
      </c>
      <c r="U59" s="17">
        <f t="shared" si="4"/>
        <v>0</v>
      </c>
      <c r="W59" s="122"/>
      <c r="X59" s="182">
        <f t="shared" si="10"/>
        <v>68</v>
      </c>
      <c r="Y59" s="15"/>
      <c r="Z59" s="69"/>
      <c r="AA59" s="202"/>
      <c r="AB59" s="69">
        <f t="shared" ref="AB59:AB74" si="15">Z59</f>
        <v>0</v>
      </c>
      <c r="AC59" s="70"/>
      <c r="AD59" s="71"/>
      <c r="AE59" s="105">
        <f t="shared" si="11"/>
        <v>2025.9</v>
      </c>
      <c r="AF59" s="17">
        <f t="shared" si="5"/>
        <v>0</v>
      </c>
    </row>
    <row r="60" spans="1:32" x14ac:dyDescent="0.25">
      <c r="A60" s="122"/>
      <c r="B60" s="182">
        <f t="shared" si="6"/>
        <v>0</v>
      </c>
      <c r="C60" s="15"/>
      <c r="D60" s="534"/>
      <c r="E60" s="726"/>
      <c r="F60" s="1160">
        <f t="shared" si="13"/>
        <v>0</v>
      </c>
      <c r="G60" s="1161"/>
      <c r="H60" s="1162"/>
      <c r="I60" s="1163">
        <f t="shared" si="7"/>
        <v>-4.9737991503207013E-13</v>
      </c>
      <c r="J60" s="1193">
        <f t="shared" si="3"/>
        <v>0</v>
      </c>
      <c r="L60" s="122"/>
      <c r="M60" s="182">
        <f t="shared" si="8"/>
        <v>28</v>
      </c>
      <c r="N60" s="15"/>
      <c r="O60" s="69"/>
      <c r="P60" s="202"/>
      <c r="Q60" s="69">
        <f t="shared" si="14"/>
        <v>0</v>
      </c>
      <c r="R60" s="70"/>
      <c r="S60" s="71"/>
      <c r="T60" s="105">
        <f t="shared" si="9"/>
        <v>880.80999999999767</v>
      </c>
      <c r="U60" s="17">
        <f t="shared" si="4"/>
        <v>0</v>
      </c>
      <c r="W60" s="122"/>
      <c r="X60" s="182">
        <f t="shared" si="10"/>
        <v>68</v>
      </c>
      <c r="Y60" s="15"/>
      <c r="Z60" s="69"/>
      <c r="AA60" s="202"/>
      <c r="AB60" s="69">
        <f t="shared" si="15"/>
        <v>0</v>
      </c>
      <c r="AC60" s="70"/>
      <c r="AD60" s="71"/>
      <c r="AE60" s="105">
        <f t="shared" si="11"/>
        <v>2025.9</v>
      </c>
      <c r="AF60" s="17">
        <f t="shared" si="5"/>
        <v>0</v>
      </c>
    </row>
    <row r="61" spans="1:32" x14ac:dyDescent="0.25">
      <c r="A61" s="122"/>
      <c r="B61" s="182">
        <f t="shared" si="6"/>
        <v>0</v>
      </c>
      <c r="C61" s="15"/>
      <c r="D61" s="69"/>
      <c r="E61" s="202"/>
      <c r="F61" s="69">
        <f t="shared" si="13"/>
        <v>0</v>
      </c>
      <c r="G61" s="70"/>
      <c r="H61" s="71"/>
      <c r="I61" s="105">
        <f t="shared" si="7"/>
        <v>-4.9737991503207013E-13</v>
      </c>
      <c r="J61" s="17">
        <f t="shared" si="3"/>
        <v>0</v>
      </c>
      <c r="L61" s="122"/>
      <c r="M61" s="182">
        <f t="shared" si="8"/>
        <v>28</v>
      </c>
      <c r="N61" s="15"/>
      <c r="O61" s="69"/>
      <c r="P61" s="202"/>
      <c r="Q61" s="69">
        <f t="shared" si="14"/>
        <v>0</v>
      </c>
      <c r="R61" s="70"/>
      <c r="S61" s="71"/>
      <c r="T61" s="105">
        <f t="shared" si="9"/>
        <v>880.80999999999767</v>
      </c>
      <c r="U61" s="17">
        <f t="shared" si="4"/>
        <v>0</v>
      </c>
      <c r="W61" s="122"/>
      <c r="X61" s="182">
        <f t="shared" si="10"/>
        <v>68</v>
      </c>
      <c r="Y61" s="15"/>
      <c r="Z61" s="69"/>
      <c r="AA61" s="202"/>
      <c r="AB61" s="69">
        <f t="shared" si="15"/>
        <v>0</v>
      </c>
      <c r="AC61" s="70"/>
      <c r="AD61" s="71"/>
      <c r="AE61" s="105">
        <f t="shared" si="11"/>
        <v>2025.9</v>
      </c>
      <c r="AF61" s="17">
        <f t="shared" si="5"/>
        <v>0</v>
      </c>
    </row>
    <row r="62" spans="1:32" x14ac:dyDescent="0.25">
      <c r="A62" s="122"/>
      <c r="B62" s="182">
        <f t="shared" si="6"/>
        <v>0</v>
      </c>
      <c r="C62" s="15"/>
      <c r="D62" s="69"/>
      <c r="E62" s="202"/>
      <c r="F62" s="69">
        <f t="shared" si="13"/>
        <v>0</v>
      </c>
      <c r="G62" s="70"/>
      <c r="H62" s="71"/>
      <c r="I62" s="105">
        <f t="shared" si="7"/>
        <v>-4.9737991503207013E-13</v>
      </c>
      <c r="J62" s="17">
        <f t="shared" si="3"/>
        <v>0</v>
      </c>
      <c r="L62" s="122"/>
      <c r="M62" s="182">
        <f t="shared" si="8"/>
        <v>28</v>
      </c>
      <c r="N62" s="15"/>
      <c r="O62" s="69"/>
      <c r="P62" s="202"/>
      <c r="Q62" s="69">
        <f t="shared" si="14"/>
        <v>0</v>
      </c>
      <c r="R62" s="70"/>
      <c r="S62" s="71"/>
      <c r="T62" s="105">
        <f t="shared" si="9"/>
        <v>880.80999999999767</v>
      </c>
      <c r="U62" s="17">
        <f t="shared" si="4"/>
        <v>0</v>
      </c>
      <c r="W62" s="122"/>
      <c r="X62" s="182">
        <f t="shared" si="10"/>
        <v>68</v>
      </c>
      <c r="Y62" s="15"/>
      <c r="Z62" s="69"/>
      <c r="AA62" s="202"/>
      <c r="AB62" s="69">
        <f t="shared" si="15"/>
        <v>0</v>
      </c>
      <c r="AC62" s="70"/>
      <c r="AD62" s="71"/>
      <c r="AE62" s="105">
        <f t="shared" si="11"/>
        <v>2025.9</v>
      </c>
      <c r="AF62" s="17">
        <f t="shared" si="5"/>
        <v>0</v>
      </c>
    </row>
    <row r="63" spans="1:32" x14ac:dyDescent="0.25">
      <c r="A63" s="122"/>
      <c r="B63" s="182">
        <f t="shared" si="6"/>
        <v>0</v>
      </c>
      <c r="C63" s="15"/>
      <c r="D63" s="69"/>
      <c r="E63" s="202"/>
      <c r="F63" s="69">
        <f t="shared" si="13"/>
        <v>0</v>
      </c>
      <c r="G63" s="70"/>
      <c r="H63" s="71"/>
      <c r="I63" s="105">
        <f t="shared" si="7"/>
        <v>-4.9737991503207013E-13</v>
      </c>
      <c r="J63" s="17">
        <f t="shared" si="3"/>
        <v>0</v>
      </c>
      <c r="L63" s="122"/>
      <c r="M63" s="182">
        <f t="shared" si="8"/>
        <v>28</v>
      </c>
      <c r="N63" s="15"/>
      <c r="O63" s="69"/>
      <c r="P63" s="202"/>
      <c r="Q63" s="69">
        <f t="shared" si="14"/>
        <v>0</v>
      </c>
      <c r="R63" s="70"/>
      <c r="S63" s="71"/>
      <c r="T63" s="105">
        <f t="shared" si="9"/>
        <v>880.80999999999767</v>
      </c>
      <c r="U63" s="17">
        <f t="shared" si="4"/>
        <v>0</v>
      </c>
      <c r="W63" s="122"/>
      <c r="X63" s="182">
        <f t="shared" si="10"/>
        <v>68</v>
      </c>
      <c r="Y63" s="15"/>
      <c r="Z63" s="69"/>
      <c r="AA63" s="202"/>
      <c r="AB63" s="69">
        <f t="shared" si="15"/>
        <v>0</v>
      </c>
      <c r="AC63" s="70"/>
      <c r="AD63" s="71"/>
      <c r="AE63" s="105">
        <f t="shared" si="11"/>
        <v>2025.9</v>
      </c>
      <c r="AF63" s="17">
        <f t="shared" si="5"/>
        <v>0</v>
      </c>
    </row>
    <row r="64" spans="1:32" x14ac:dyDescent="0.25">
      <c r="A64" s="122"/>
      <c r="B64" s="182">
        <f t="shared" si="6"/>
        <v>0</v>
      </c>
      <c r="C64" s="15"/>
      <c r="D64" s="69"/>
      <c r="E64" s="202"/>
      <c r="F64" s="69">
        <f t="shared" si="13"/>
        <v>0</v>
      </c>
      <c r="G64" s="70"/>
      <c r="H64" s="71"/>
      <c r="I64" s="105">
        <f t="shared" si="7"/>
        <v>-4.9737991503207013E-13</v>
      </c>
      <c r="J64" s="17">
        <f t="shared" si="3"/>
        <v>0</v>
      </c>
      <c r="L64" s="122"/>
      <c r="M64" s="182">
        <f t="shared" si="8"/>
        <v>28</v>
      </c>
      <c r="N64" s="15"/>
      <c r="O64" s="69"/>
      <c r="P64" s="202"/>
      <c r="Q64" s="69">
        <f t="shared" si="14"/>
        <v>0</v>
      </c>
      <c r="R64" s="70"/>
      <c r="S64" s="71"/>
      <c r="T64" s="105">
        <f t="shared" si="9"/>
        <v>880.80999999999767</v>
      </c>
      <c r="U64" s="17">
        <f t="shared" si="4"/>
        <v>0</v>
      </c>
      <c r="W64" s="122"/>
      <c r="X64" s="182">
        <f t="shared" si="10"/>
        <v>68</v>
      </c>
      <c r="Y64" s="15"/>
      <c r="Z64" s="69"/>
      <c r="AA64" s="202"/>
      <c r="AB64" s="69">
        <f t="shared" si="15"/>
        <v>0</v>
      </c>
      <c r="AC64" s="70"/>
      <c r="AD64" s="71"/>
      <c r="AE64" s="105">
        <f t="shared" si="11"/>
        <v>2025.9</v>
      </c>
      <c r="AF64" s="17">
        <f t="shared" si="5"/>
        <v>0</v>
      </c>
    </row>
    <row r="65" spans="1:32" x14ac:dyDescent="0.25">
      <c r="A65" s="122"/>
      <c r="B65" s="182">
        <f t="shared" si="6"/>
        <v>0</v>
      </c>
      <c r="C65" s="15"/>
      <c r="D65" s="69"/>
      <c r="E65" s="202"/>
      <c r="F65" s="69">
        <f t="shared" si="13"/>
        <v>0</v>
      </c>
      <c r="G65" s="70"/>
      <c r="H65" s="71"/>
      <c r="I65" s="105">
        <f t="shared" si="7"/>
        <v>-4.9737991503207013E-13</v>
      </c>
      <c r="J65" s="17">
        <f t="shared" si="3"/>
        <v>0</v>
      </c>
      <c r="L65" s="122"/>
      <c r="M65" s="182">
        <f t="shared" si="8"/>
        <v>28</v>
      </c>
      <c r="N65" s="15"/>
      <c r="O65" s="69"/>
      <c r="P65" s="202"/>
      <c r="Q65" s="69">
        <f t="shared" si="14"/>
        <v>0</v>
      </c>
      <c r="R65" s="70"/>
      <c r="S65" s="71"/>
      <c r="T65" s="105">
        <f t="shared" si="9"/>
        <v>880.80999999999767</v>
      </c>
      <c r="U65" s="17">
        <f t="shared" si="4"/>
        <v>0</v>
      </c>
      <c r="W65" s="122"/>
      <c r="X65" s="182">
        <f t="shared" si="10"/>
        <v>68</v>
      </c>
      <c r="Y65" s="15"/>
      <c r="Z65" s="69"/>
      <c r="AA65" s="202"/>
      <c r="AB65" s="69">
        <f t="shared" si="15"/>
        <v>0</v>
      </c>
      <c r="AC65" s="70"/>
      <c r="AD65" s="71"/>
      <c r="AE65" s="105">
        <f t="shared" si="11"/>
        <v>2025.9</v>
      </c>
      <c r="AF65" s="17">
        <f t="shared" si="5"/>
        <v>0</v>
      </c>
    </row>
    <row r="66" spans="1:32" x14ac:dyDescent="0.25">
      <c r="A66" s="122"/>
      <c r="B66" s="182">
        <f t="shared" si="6"/>
        <v>0</v>
      </c>
      <c r="C66" s="15"/>
      <c r="D66" s="69"/>
      <c r="E66" s="202"/>
      <c r="F66" s="69">
        <f t="shared" si="13"/>
        <v>0</v>
      </c>
      <c r="G66" s="70"/>
      <c r="H66" s="71"/>
      <c r="I66" s="105">
        <f t="shared" si="7"/>
        <v>-4.9737991503207013E-13</v>
      </c>
      <c r="J66" s="17">
        <f t="shared" si="3"/>
        <v>0</v>
      </c>
      <c r="L66" s="122"/>
      <c r="M66" s="182">
        <f t="shared" si="8"/>
        <v>28</v>
      </c>
      <c r="N66" s="15"/>
      <c r="O66" s="69"/>
      <c r="P66" s="202"/>
      <c r="Q66" s="69">
        <f t="shared" si="14"/>
        <v>0</v>
      </c>
      <c r="R66" s="70"/>
      <c r="S66" s="71"/>
      <c r="T66" s="105">
        <f t="shared" si="9"/>
        <v>880.80999999999767</v>
      </c>
      <c r="U66" s="17">
        <f t="shared" si="4"/>
        <v>0</v>
      </c>
      <c r="W66" s="122"/>
      <c r="X66" s="182">
        <f t="shared" si="10"/>
        <v>68</v>
      </c>
      <c r="Y66" s="15"/>
      <c r="Z66" s="69"/>
      <c r="AA66" s="202"/>
      <c r="AB66" s="69">
        <f t="shared" si="15"/>
        <v>0</v>
      </c>
      <c r="AC66" s="70"/>
      <c r="AD66" s="71"/>
      <c r="AE66" s="105">
        <f t="shared" si="11"/>
        <v>2025.9</v>
      </c>
      <c r="AF66" s="17">
        <f t="shared" si="5"/>
        <v>0</v>
      </c>
    </row>
    <row r="67" spans="1:32" x14ac:dyDescent="0.25">
      <c r="A67" s="122"/>
      <c r="B67" s="182">
        <f t="shared" si="6"/>
        <v>0</v>
      </c>
      <c r="C67" s="15"/>
      <c r="D67" s="69"/>
      <c r="E67" s="202"/>
      <c r="F67" s="69">
        <f t="shared" si="13"/>
        <v>0</v>
      </c>
      <c r="G67" s="70"/>
      <c r="H67" s="71"/>
      <c r="I67" s="105">
        <f t="shared" si="7"/>
        <v>-4.9737991503207013E-13</v>
      </c>
      <c r="J67" s="17">
        <f t="shared" si="3"/>
        <v>0</v>
      </c>
      <c r="L67" s="122"/>
      <c r="M67" s="182">
        <f t="shared" si="8"/>
        <v>28</v>
      </c>
      <c r="N67" s="15"/>
      <c r="O67" s="69"/>
      <c r="P67" s="202"/>
      <c r="Q67" s="69">
        <f t="shared" si="14"/>
        <v>0</v>
      </c>
      <c r="R67" s="70"/>
      <c r="S67" s="71"/>
      <c r="T67" s="105">
        <f t="shared" si="9"/>
        <v>880.80999999999767</v>
      </c>
      <c r="U67" s="17">
        <f t="shared" si="4"/>
        <v>0</v>
      </c>
      <c r="W67" s="122"/>
      <c r="X67" s="182">
        <f t="shared" si="10"/>
        <v>68</v>
      </c>
      <c r="Y67" s="15"/>
      <c r="Z67" s="69"/>
      <c r="AA67" s="202"/>
      <c r="AB67" s="69">
        <f t="shared" si="15"/>
        <v>0</v>
      </c>
      <c r="AC67" s="70"/>
      <c r="AD67" s="71"/>
      <c r="AE67" s="105">
        <f t="shared" si="11"/>
        <v>2025.9</v>
      </c>
      <c r="AF67" s="17">
        <f t="shared" si="5"/>
        <v>0</v>
      </c>
    </row>
    <row r="68" spans="1:32" x14ac:dyDescent="0.25">
      <c r="A68" s="122"/>
      <c r="B68" s="182">
        <f t="shared" si="6"/>
        <v>0</v>
      </c>
      <c r="C68" s="15"/>
      <c r="D68" s="69"/>
      <c r="E68" s="202"/>
      <c r="F68" s="69">
        <f t="shared" si="13"/>
        <v>0</v>
      </c>
      <c r="G68" s="70"/>
      <c r="H68" s="71"/>
      <c r="I68" s="105">
        <f t="shared" si="7"/>
        <v>-4.9737991503207013E-13</v>
      </c>
      <c r="J68" s="17">
        <f t="shared" si="3"/>
        <v>0</v>
      </c>
      <c r="L68" s="122"/>
      <c r="M68" s="182">
        <f t="shared" si="8"/>
        <v>28</v>
      </c>
      <c r="N68" s="15"/>
      <c r="O68" s="69"/>
      <c r="P68" s="202"/>
      <c r="Q68" s="69">
        <f t="shared" si="14"/>
        <v>0</v>
      </c>
      <c r="R68" s="70"/>
      <c r="S68" s="71"/>
      <c r="T68" s="105">
        <f t="shared" si="9"/>
        <v>880.80999999999767</v>
      </c>
      <c r="U68" s="17">
        <f t="shared" si="4"/>
        <v>0</v>
      </c>
      <c r="W68" s="122"/>
      <c r="X68" s="182">
        <f t="shared" si="10"/>
        <v>68</v>
      </c>
      <c r="Y68" s="15"/>
      <c r="Z68" s="69"/>
      <c r="AA68" s="202"/>
      <c r="AB68" s="69">
        <f t="shared" si="15"/>
        <v>0</v>
      </c>
      <c r="AC68" s="70"/>
      <c r="AD68" s="71"/>
      <c r="AE68" s="105">
        <f t="shared" si="11"/>
        <v>2025.9</v>
      </c>
      <c r="AF68" s="17">
        <f t="shared" si="5"/>
        <v>0</v>
      </c>
    </row>
    <row r="69" spans="1:32" x14ac:dyDescent="0.25">
      <c r="A69" s="122"/>
      <c r="B69" s="182">
        <f t="shared" si="6"/>
        <v>0</v>
      </c>
      <c r="C69" s="15"/>
      <c r="D69" s="69"/>
      <c r="E69" s="202"/>
      <c r="F69" s="69">
        <f t="shared" si="13"/>
        <v>0</v>
      </c>
      <c r="G69" s="70"/>
      <c r="H69" s="71"/>
      <c r="I69" s="105">
        <f t="shared" si="7"/>
        <v>-4.9737991503207013E-13</v>
      </c>
      <c r="J69" s="17">
        <f t="shared" si="3"/>
        <v>0</v>
      </c>
      <c r="L69" s="122"/>
      <c r="M69" s="182">
        <f t="shared" si="8"/>
        <v>28</v>
      </c>
      <c r="N69" s="15"/>
      <c r="O69" s="69"/>
      <c r="P69" s="202"/>
      <c r="Q69" s="69">
        <f t="shared" si="14"/>
        <v>0</v>
      </c>
      <c r="R69" s="70"/>
      <c r="S69" s="71"/>
      <c r="T69" s="105">
        <f t="shared" si="9"/>
        <v>880.80999999999767</v>
      </c>
      <c r="U69" s="17">
        <f t="shared" si="4"/>
        <v>0</v>
      </c>
      <c r="W69" s="122"/>
      <c r="X69" s="182">
        <f t="shared" si="10"/>
        <v>68</v>
      </c>
      <c r="Y69" s="15"/>
      <c r="Z69" s="69"/>
      <c r="AA69" s="202"/>
      <c r="AB69" s="69">
        <f t="shared" si="15"/>
        <v>0</v>
      </c>
      <c r="AC69" s="70"/>
      <c r="AD69" s="71"/>
      <c r="AE69" s="105">
        <f t="shared" si="11"/>
        <v>2025.9</v>
      </c>
      <c r="AF69" s="17">
        <f t="shared" si="5"/>
        <v>0</v>
      </c>
    </row>
    <row r="70" spans="1:32" x14ac:dyDescent="0.25">
      <c r="A70" s="122"/>
      <c r="B70" s="182">
        <f t="shared" si="6"/>
        <v>0</v>
      </c>
      <c r="C70" s="15"/>
      <c r="D70" s="69"/>
      <c r="E70" s="202"/>
      <c r="F70" s="69">
        <f t="shared" si="13"/>
        <v>0</v>
      </c>
      <c r="G70" s="70"/>
      <c r="H70" s="71"/>
      <c r="I70" s="105">
        <f t="shared" si="7"/>
        <v>-4.9737991503207013E-13</v>
      </c>
      <c r="J70" s="17">
        <f t="shared" si="3"/>
        <v>0</v>
      </c>
      <c r="L70" s="122"/>
      <c r="M70" s="182">
        <f t="shared" si="8"/>
        <v>28</v>
      </c>
      <c r="N70" s="15"/>
      <c r="O70" s="69"/>
      <c r="P70" s="202"/>
      <c r="Q70" s="69">
        <f t="shared" si="14"/>
        <v>0</v>
      </c>
      <c r="R70" s="70"/>
      <c r="S70" s="71"/>
      <c r="T70" s="105">
        <f t="shared" si="9"/>
        <v>880.80999999999767</v>
      </c>
      <c r="U70" s="17">
        <f t="shared" si="4"/>
        <v>0</v>
      </c>
      <c r="W70" s="122"/>
      <c r="X70" s="182">
        <f t="shared" si="10"/>
        <v>68</v>
      </c>
      <c r="Y70" s="15"/>
      <c r="Z70" s="69"/>
      <c r="AA70" s="202"/>
      <c r="AB70" s="69">
        <f t="shared" si="15"/>
        <v>0</v>
      </c>
      <c r="AC70" s="70"/>
      <c r="AD70" s="71"/>
      <c r="AE70" s="105">
        <f t="shared" si="11"/>
        <v>2025.9</v>
      </c>
      <c r="AF70" s="17">
        <f t="shared" si="5"/>
        <v>0</v>
      </c>
    </row>
    <row r="71" spans="1:32" x14ac:dyDescent="0.25">
      <c r="A71" s="122"/>
      <c r="B71" s="182">
        <f t="shared" si="6"/>
        <v>0</v>
      </c>
      <c r="C71" s="15"/>
      <c r="D71" s="69"/>
      <c r="E71" s="202"/>
      <c r="F71" s="69">
        <f t="shared" si="13"/>
        <v>0</v>
      </c>
      <c r="G71" s="70"/>
      <c r="H71" s="71"/>
      <c r="I71" s="105">
        <f t="shared" si="7"/>
        <v>-4.9737991503207013E-13</v>
      </c>
      <c r="J71" s="17">
        <f t="shared" si="3"/>
        <v>0</v>
      </c>
      <c r="L71" s="122"/>
      <c r="M71" s="182">
        <f t="shared" si="8"/>
        <v>28</v>
      </c>
      <c r="N71" s="15"/>
      <c r="O71" s="69"/>
      <c r="P71" s="202"/>
      <c r="Q71" s="69">
        <f t="shared" si="14"/>
        <v>0</v>
      </c>
      <c r="R71" s="70"/>
      <c r="S71" s="71"/>
      <c r="T71" s="105">
        <f t="shared" si="9"/>
        <v>880.80999999999767</v>
      </c>
      <c r="U71" s="17">
        <f t="shared" si="4"/>
        <v>0</v>
      </c>
      <c r="W71" s="122"/>
      <c r="X71" s="182">
        <f t="shared" si="10"/>
        <v>68</v>
      </c>
      <c r="Y71" s="15"/>
      <c r="Z71" s="69"/>
      <c r="AA71" s="202"/>
      <c r="AB71" s="69">
        <f t="shared" si="15"/>
        <v>0</v>
      </c>
      <c r="AC71" s="70"/>
      <c r="AD71" s="71"/>
      <c r="AE71" s="105">
        <f t="shared" si="11"/>
        <v>2025.9</v>
      </c>
      <c r="AF71" s="17">
        <f t="shared" si="5"/>
        <v>0</v>
      </c>
    </row>
    <row r="72" spans="1:32" x14ac:dyDescent="0.25">
      <c r="A72" s="122"/>
      <c r="B72" s="182">
        <f t="shared" si="6"/>
        <v>0</v>
      </c>
      <c r="C72" s="15"/>
      <c r="D72" s="69"/>
      <c r="E72" s="202"/>
      <c r="F72" s="69">
        <f t="shared" si="13"/>
        <v>0</v>
      </c>
      <c r="G72" s="70"/>
      <c r="H72" s="71"/>
      <c r="I72" s="105">
        <f t="shared" si="7"/>
        <v>-4.9737991503207013E-13</v>
      </c>
      <c r="J72" s="17">
        <f t="shared" si="3"/>
        <v>0</v>
      </c>
      <c r="L72" s="122"/>
      <c r="M72" s="182">
        <f t="shared" si="8"/>
        <v>28</v>
      </c>
      <c r="N72" s="15"/>
      <c r="O72" s="69"/>
      <c r="P72" s="202"/>
      <c r="Q72" s="69">
        <f t="shared" si="14"/>
        <v>0</v>
      </c>
      <c r="R72" s="70"/>
      <c r="S72" s="71"/>
      <c r="T72" s="105">
        <f t="shared" si="9"/>
        <v>880.80999999999767</v>
      </c>
      <c r="U72" s="17">
        <f t="shared" si="4"/>
        <v>0</v>
      </c>
      <c r="W72" s="122"/>
      <c r="X72" s="182">
        <f t="shared" si="10"/>
        <v>68</v>
      </c>
      <c r="Y72" s="15"/>
      <c r="Z72" s="69"/>
      <c r="AA72" s="202"/>
      <c r="AB72" s="69">
        <f t="shared" si="15"/>
        <v>0</v>
      </c>
      <c r="AC72" s="70"/>
      <c r="AD72" s="71"/>
      <c r="AE72" s="105">
        <f t="shared" si="11"/>
        <v>2025.9</v>
      </c>
      <c r="AF72" s="17">
        <f t="shared" si="5"/>
        <v>0</v>
      </c>
    </row>
    <row r="73" spans="1:32" x14ac:dyDescent="0.25">
      <c r="A73" s="122"/>
      <c r="B73" s="182">
        <f t="shared" si="6"/>
        <v>0</v>
      </c>
      <c r="C73" s="15"/>
      <c r="D73" s="69"/>
      <c r="E73" s="202"/>
      <c r="F73" s="69">
        <f t="shared" si="13"/>
        <v>0</v>
      </c>
      <c r="G73" s="70"/>
      <c r="H73" s="71"/>
      <c r="I73" s="105">
        <f t="shared" si="7"/>
        <v>-4.9737991503207013E-13</v>
      </c>
      <c r="J73" s="17">
        <f t="shared" si="3"/>
        <v>0</v>
      </c>
      <c r="L73" s="122"/>
      <c r="M73" s="182">
        <f t="shared" si="8"/>
        <v>28</v>
      </c>
      <c r="N73" s="15"/>
      <c r="O73" s="69"/>
      <c r="P73" s="202"/>
      <c r="Q73" s="69">
        <f t="shared" si="14"/>
        <v>0</v>
      </c>
      <c r="R73" s="70"/>
      <c r="S73" s="71"/>
      <c r="T73" s="105">
        <f t="shared" si="9"/>
        <v>880.80999999999767</v>
      </c>
      <c r="U73" s="17">
        <f t="shared" si="4"/>
        <v>0</v>
      </c>
      <c r="W73" s="122"/>
      <c r="X73" s="182">
        <f t="shared" si="10"/>
        <v>68</v>
      </c>
      <c r="Y73" s="15"/>
      <c r="Z73" s="69"/>
      <c r="AA73" s="202"/>
      <c r="AB73" s="69">
        <f t="shared" si="15"/>
        <v>0</v>
      </c>
      <c r="AC73" s="70"/>
      <c r="AD73" s="71"/>
      <c r="AE73" s="105">
        <f t="shared" si="11"/>
        <v>2025.9</v>
      </c>
      <c r="AF73" s="17">
        <f t="shared" si="5"/>
        <v>0</v>
      </c>
    </row>
    <row r="74" spans="1:32" x14ac:dyDescent="0.25">
      <c r="A74" s="122"/>
      <c r="B74" s="182">
        <f t="shared" si="6"/>
        <v>0</v>
      </c>
      <c r="C74" s="15"/>
      <c r="D74" s="69"/>
      <c r="E74" s="202"/>
      <c r="F74" s="69">
        <f t="shared" si="13"/>
        <v>0</v>
      </c>
      <c r="G74" s="70"/>
      <c r="H74" s="71"/>
      <c r="I74" s="105">
        <f t="shared" si="7"/>
        <v>-4.9737991503207013E-13</v>
      </c>
      <c r="J74" s="17">
        <f t="shared" si="3"/>
        <v>0</v>
      </c>
      <c r="L74" s="122"/>
      <c r="M74" s="182">
        <f t="shared" si="8"/>
        <v>28</v>
      </c>
      <c r="N74" s="15"/>
      <c r="O74" s="69"/>
      <c r="P74" s="202"/>
      <c r="Q74" s="69">
        <f t="shared" si="14"/>
        <v>0</v>
      </c>
      <c r="R74" s="70"/>
      <c r="S74" s="71"/>
      <c r="T74" s="105">
        <f t="shared" si="9"/>
        <v>880.80999999999767</v>
      </c>
      <c r="U74" s="17">
        <f t="shared" si="4"/>
        <v>0</v>
      </c>
      <c r="W74" s="122"/>
      <c r="X74" s="182">
        <f t="shared" si="10"/>
        <v>68</v>
      </c>
      <c r="Y74" s="15"/>
      <c r="Z74" s="69"/>
      <c r="AA74" s="202"/>
      <c r="AB74" s="69">
        <f t="shared" si="15"/>
        <v>0</v>
      </c>
      <c r="AC74" s="70"/>
      <c r="AD74" s="71"/>
      <c r="AE74" s="105">
        <f t="shared" si="11"/>
        <v>2025.9</v>
      </c>
      <c r="AF74" s="17">
        <f t="shared" si="5"/>
        <v>0</v>
      </c>
    </row>
    <row r="75" spans="1:32" x14ac:dyDescent="0.25">
      <c r="A75" s="122"/>
      <c r="B75" s="182">
        <f t="shared" si="6"/>
        <v>0</v>
      </c>
      <c r="C75" s="15"/>
      <c r="D75" s="69"/>
      <c r="E75" s="202"/>
      <c r="F75" s="69">
        <f>D75</f>
        <v>0</v>
      </c>
      <c r="G75" s="70"/>
      <c r="H75" s="71"/>
      <c r="I75" s="105">
        <f t="shared" si="7"/>
        <v>-4.9737991503207013E-13</v>
      </c>
      <c r="J75" s="17">
        <f t="shared" ref="J75:J77" si="16">F75*H75</f>
        <v>0</v>
      </c>
      <c r="L75" s="122"/>
      <c r="M75" s="182">
        <f t="shared" si="8"/>
        <v>28</v>
      </c>
      <c r="N75" s="15"/>
      <c r="O75" s="69"/>
      <c r="P75" s="202"/>
      <c r="Q75" s="69">
        <f>O75</f>
        <v>0</v>
      </c>
      <c r="R75" s="70"/>
      <c r="S75" s="71"/>
      <c r="T75" s="105">
        <f t="shared" si="9"/>
        <v>880.80999999999767</v>
      </c>
      <c r="U75" s="17">
        <f t="shared" ref="U75:U77" si="17">Q75*S75</f>
        <v>0</v>
      </c>
      <c r="W75" s="122"/>
      <c r="X75" s="182">
        <f t="shared" si="10"/>
        <v>68</v>
      </c>
      <c r="Y75" s="15"/>
      <c r="Z75" s="69"/>
      <c r="AA75" s="202"/>
      <c r="AB75" s="69">
        <f>Z75</f>
        <v>0</v>
      </c>
      <c r="AC75" s="70"/>
      <c r="AD75" s="71"/>
      <c r="AE75" s="105">
        <f t="shared" si="11"/>
        <v>2025.9</v>
      </c>
      <c r="AF75" s="17">
        <f t="shared" ref="AF75:AF77" si="18">AB75*AD75</f>
        <v>0</v>
      </c>
    </row>
    <row r="76" spans="1:32" x14ac:dyDescent="0.25">
      <c r="A76" s="122"/>
      <c r="B76" s="182">
        <f t="shared" ref="B76" si="19">B75-C76</f>
        <v>0</v>
      </c>
      <c r="C76" s="15"/>
      <c r="D76" s="69"/>
      <c r="E76" s="202"/>
      <c r="F76" s="69">
        <f>D76</f>
        <v>0</v>
      </c>
      <c r="G76" s="70"/>
      <c r="H76" s="71"/>
      <c r="I76" s="105">
        <f t="shared" ref="I76:I77" si="20">I75-F76</f>
        <v>-4.9737991503207013E-13</v>
      </c>
      <c r="J76" s="17">
        <f t="shared" si="16"/>
        <v>0</v>
      </c>
      <c r="L76" s="122"/>
      <c r="M76" s="182">
        <f t="shared" ref="M76" si="21">M75-N76</f>
        <v>28</v>
      </c>
      <c r="N76" s="15"/>
      <c r="O76" s="69"/>
      <c r="P76" s="202"/>
      <c r="Q76" s="69">
        <f>O76</f>
        <v>0</v>
      </c>
      <c r="R76" s="70"/>
      <c r="S76" s="71"/>
      <c r="T76" s="105">
        <f t="shared" ref="T76:T77" si="22">T75-Q76</f>
        <v>880.80999999999767</v>
      </c>
      <c r="U76" s="17">
        <f t="shared" si="17"/>
        <v>0</v>
      </c>
      <c r="W76" s="122"/>
      <c r="X76" s="182">
        <f t="shared" ref="X76" si="23">X75-Y76</f>
        <v>68</v>
      </c>
      <c r="Y76" s="15"/>
      <c r="Z76" s="69"/>
      <c r="AA76" s="202"/>
      <c r="AB76" s="69">
        <f>Z76</f>
        <v>0</v>
      </c>
      <c r="AC76" s="70"/>
      <c r="AD76" s="71"/>
      <c r="AE76" s="105">
        <f t="shared" ref="AE76:AE77" si="24">AE75-AB76</f>
        <v>2025.9</v>
      </c>
      <c r="AF76" s="17">
        <f t="shared" si="18"/>
        <v>0</v>
      </c>
    </row>
    <row r="77" spans="1:32" x14ac:dyDescent="0.25">
      <c r="A77" s="122"/>
      <c r="C77" s="15"/>
      <c r="D77" s="69"/>
      <c r="E77" s="202"/>
      <c r="F77" s="69">
        <f>D77</f>
        <v>0</v>
      </c>
      <c r="G77" s="70"/>
      <c r="H77" s="71"/>
      <c r="I77" s="105">
        <f t="shared" si="20"/>
        <v>-4.9737991503207013E-13</v>
      </c>
      <c r="J77" s="17">
        <f t="shared" si="16"/>
        <v>0</v>
      </c>
      <c r="L77" s="122"/>
      <c r="N77" s="15"/>
      <c r="O77" s="69"/>
      <c r="P77" s="202"/>
      <c r="Q77" s="69">
        <f>O77</f>
        <v>0</v>
      </c>
      <c r="R77" s="70"/>
      <c r="S77" s="71"/>
      <c r="T77" s="105">
        <f t="shared" si="22"/>
        <v>880.80999999999767</v>
      </c>
      <c r="U77" s="17">
        <f t="shared" si="17"/>
        <v>0</v>
      </c>
      <c r="W77" s="122"/>
      <c r="Y77" s="15"/>
      <c r="Z77" s="69"/>
      <c r="AA77" s="202"/>
      <c r="AB77" s="69">
        <f>Z77</f>
        <v>0</v>
      </c>
      <c r="AC77" s="70"/>
      <c r="AD77" s="71"/>
      <c r="AE77" s="105">
        <f t="shared" si="24"/>
        <v>2025.9</v>
      </c>
      <c r="AF77" s="17">
        <f t="shared" si="18"/>
        <v>0</v>
      </c>
    </row>
    <row r="78" spans="1:32" ht="15.75" thickBot="1" x14ac:dyDescent="0.3">
      <c r="A78" s="122"/>
      <c r="B78" s="227"/>
      <c r="C78" s="52"/>
      <c r="D78" s="107"/>
      <c r="E78" s="196"/>
      <c r="F78" s="103"/>
      <c r="G78" s="104"/>
      <c r="H78" s="60"/>
      <c r="L78" s="122"/>
      <c r="M78" s="227"/>
      <c r="N78" s="52"/>
      <c r="O78" s="107"/>
      <c r="P78" s="196"/>
      <c r="Q78" s="103"/>
      <c r="R78" s="104"/>
      <c r="S78" s="60"/>
      <c r="W78" s="122"/>
      <c r="X78" s="227"/>
      <c r="Y78" s="52"/>
      <c r="Z78" s="107"/>
      <c r="AA78" s="196"/>
      <c r="AB78" s="103"/>
      <c r="AC78" s="104"/>
      <c r="AD78" s="60"/>
    </row>
    <row r="79" spans="1:32" x14ac:dyDescent="0.25">
      <c r="C79" s="53">
        <f>SUM(C10:C78)</f>
        <v>551</v>
      </c>
      <c r="D79" s="6">
        <f>SUM(D10:D78)</f>
        <v>17003.23</v>
      </c>
      <c r="F79" s="6">
        <f>SUM(F10:F78)</f>
        <v>17085.53</v>
      </c>
      <c r="N79" s="53">
        <f>SUM(N10:N78)</f>
        <v>268</v>
      </c>
      <c r="O79" s="6">
        <f>SUM(O10:O78)</f>
        <v>8183.3600000000006</v>
      </c>
      <c r="Q79" s="6">
        <f>SUM(Q10:Q78)</f>
        <v>8183.3600000000006</v>
      </c>
      <c r="Y79" s="53">
        <f>SUM(Y10:Y78)</f>
        <v>0</v>
      </c>
      <c r="Z79" s="6">
        <f>SUM(Z10:Z78)</f>
        <v>0</v>
      </c>
      <c r="AB79" s="6">
        <f>SUM(AB10:AB78)</f>
        <v>0</v>
      </c>
    </row>
    <row r="81" spans="3:28" ht="15.75" thickBot="1" x14ac:dyDescent="0.3"/>
    <row r="82" spans="3:28" ht="15.75" thickBot="1" x14ac:dyDescent="0.3">
      <c r="D82" s="45" t="s">
        <v>4</v>
      </c>
      <c r="E82" s="56">
        <f>F5+F6-C79+F7+F4</f>
        <v>0</v>
      </c>
      <c r="O82" s="45" t="s">
        <v>4</v>
      </c>
      <c r="P82" s="56">
        <f>Q5+Q6-N79+Q7+Q4</f>
        <v>28</v>
      </c>
      <c r="Z82" s="45" t="s">
        <v>4</v>
      </c>
      <c r="AA82" s="56">
        <f>AB5+AB6-Y79+AB7+AB4</f>
        <v>68</v>
      </c>
    </row>
    <row r="83" spans="3:28" ht="15.75" thickBot="1" x14ac:dyDescent="0.3"/>
    <row r="84" spans="3:28" ht="15.75" thickBot="1" x14ac:dyDescent="0.3">
      <c r="C84" s="1388" t="s">
        <v>11</v>
      </c>
      <c r="D84" s="1389"/>
      <c r="E84" s="57">
        <f>E5+E6-F79+E7+E4</f>
        <v>-2.9132252166164108E-13</v>
      </c>
      <c r="F84" s="73"/>
      <c r="N84" s="1388" t="s">
        <v>11</v>
      </c>
      <c r="O84" s="1389"/>
      <c r="P84" s="57">
        <f>P5+P6-Q79+P7+P4</f>
        <v>880.81000000000017</v>
      </c>
      <c r="Q84" s="73"/>
      <c r="Y84" s="1388" t="s">
        <v>11</v>
      </c>
      <c r="Z84" s="1389"/>
      <c r="AA84" s="57">
        <f>AA5+AA6-AB79+AA7+AA4</f>
        <v>2025.9</v>
      </c>
      <c r="AB84" s="73"/>
    </row>
  </sheetData>
  <mergeCells count="12">
    <mergeCell ref="W1:AC1"/>
    <mergeCell ref="X4:X7"/>
    <mergeCell ref="W5:W6"/>
    <mergeCell ref="Y84:Z84"/>
    <mergeCell ref="A1:G1"/>
    <mergeCell ref="B4:B7"/>
    <mergeCell ref="A5:A6"/>
    <mergeCell ref="C84:D84"/>
    <mergeCell ref="L1:R1"/>
    <mergeCell ref="M4:M7"/>
    <mergeCell ref="L5:L6"/>
    <mergeCell ref="N84:O8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49</vt:i4>
      </vt:variant>
      <vt:variant>
        <vt:lpstr>Gráficos</vt:lpstr>
      </vt:variant>
      <vt:variant>
        <vt:i4>1</vt:i4>
      </vt:variant>
    </vt:vector>
  </HeadingPairs>
  <TitlesOfParts>
    <vt:vector size="50" baseType="lpstr">
      <vt:lpstr>COMPRAS DEL MES </vt:lpstr>
      <vt:lpstr>PIERNA</vt:lpstr>
      <vt:lpstr>   PIERNA   CON  CUERO   </vt:lpstr>
      <vt:lpstr>   P A P A D A       </vt:lpstr>
      <vt:lpstr>PUNTAS DE CAÑA DE LOMO  </vt:lpstr>
      <vt:lpstr>T A Q U E R A          </vt:lpstr>
      <vt:lpstr> TAMPIQUEÑA     </vt:lpstr>
      <vt:lpstr>T E X A N A      </vt:lpstr>
      <vt:lpstr>CONTRA EXCEL   pulpa blanca</vt:lpstr>
      <vt:lpstr>    P E C H O         </vt:lpstr>
      <vt:lpstr>PULPA    NEGRA     </vt:lpstr>
      <vt:lpstr>FILETE    DE    CERDO  </vt:lpstr>
      <vt:lpstr>  B O L A          </vt:lpstr>
      <vt:lpstr>B U CH E      </vt:lpstr>
      <vt:lpstr>   TOP    S I R L O N       </vt:lpstr>
      <vt:lpstr>PECHO DE    RES   </vt:lpstr>
      <vt:lpstr>QUESOS    GOUDA   AMERLAND  </vt:lpstr>
      <vt:lpstr>PULPA ESPALDILLA </vt:lpstr>
      <vt:lpstr>RECORTE     ESPECIAL    </vt:lpstr>
      <vt:lpstr>   RECORTE  DE   DIAGRAMA </vt:lpstr>
      <vt:lpstr>SALMON          </vt:lpstr>
      <vt:lpstr>CUERO  EN   COMBO  </vt:lpstr>
      <vt:lpstr> CHAMBARETE   CAJA   </vt:lpstr>
      <vt:lpstr>      A T  U N         </vt:lpstr>
      <vt:lpstr>MENUDO EXCELL   I B P</vt:lpstr>
      <vt:lpstr>ESPALDILLA CARNERO Y CORDERO   </vt:lpstr>
      <vt:lpstr>CARNERO EN CANAL X  CAJA  </vt:lpstr>
      <vt:lpstr>ESPALDILLA     SH    </vt:lpstr>
      <vt:lpstr>QUESOS  GOUDA    </vt:lpstr>
      <vt:lpstr>PIERNA DE CARNERO Nal </vt:lpstr>
      <vt:lpstr>FILETE  TILAPIA   </vt:lpstr>
      <vt:lpstr>CHULETA   DE  CERDO   </vt:lpstr>
      <vt:lpstr>C A M A R O N E S      </vt:lpstr>
      <vt:lpstr>  PUNTAS   DE    CHULETA   </vt:lpstr>
      <vt:lpstr>PIERNA    SH      </vt:lpstr>
      <vt:lpstr>COSTILLA ESPECIAL DE CERDO  </vt:lpstr>
      <vt:lpstr>     CAÑA   DE    LOMO      </vt:lpstr>
      <vt:lpstr>SESOS  CERDO MARQUETA   </vt:lpstr>
      <vt:lpstr>CABEZA DE   LOMO    </vt:lpstr>
      <vt:lpstr>P A V O S           </vt:lpstr>
      <vt:lpstr>CABEZA S-- PAPADA RES</vt:lpstr>
      <vt:lpstr>MANITAS DE CERDO </vt:lpstr>
      <vt:lpstr>TOCINO      NACIONAL        </vt:lpstr>
      <vt:lpstr>C O R B A T A        </vt:lpstr>
      <vt:lpstr>CUERO PANCETA    </vt:lpstr>
      <vt:lpstr>   CUERO   EN   COMBO   </vt:lpstr>
      <vt:lpstr>   G R A S A      </vt:lpstr>
      <vt:lpstr>Hoja2</vt:lpstr>
      <vt:lpstr>Hoja3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2022-12-14T18:51:49Z</cp:lastPrinted>
  <dcterms:created xsi:type="dcterms:W3CDTF">2008-07-31T16:59:13Z</dcterms:created>
  <dcterms:modified xsi:type="dcterms:W3CDTF">2023-01-26T16:01:17Z</dcterms:modified>
</cp:coreProperties>
</file>