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6710" windowHeight="10305" firstSheet="13" activeTab="14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Hoja2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28" i="15" l="1"/>
  <c r="Q29" i="15"/>
  <c r="Q30" i="15"/>
  <c r="Q31" i="15"/>
  <c r="Q32" i="15"/>
  <c r="Q33" i="15"/>
  <c r="Q34" i="15"/>
  <c r="Q35" i="15"/>
  <c r="Q36" i="15"/>
  <c r="P7" i="15"/>
  <c r="M7" i="15"/>
  <c r="Q5" i="15"/>
  <c r="M6" i="15"/>
  <c r="M5" i="15"/>
  <c r="K57" i="15"/>
  <c r="L51" i="15"/>
  <c r="I51" i="15"/>
  <c r="F51" i="15"/>
  <c r="C51" i="15"/>
  <c r="R40" i="15"/>
  <c r="N40" i="15"/>
  <c r="P39" i="15"/>
  <c r="Q39" i="15" s="1"/>
  <c r="Q38" i="15"/>
  <c r="Q37" i="15"/>
  <c r="P33" i="15"/>
  <c r="P32" i="15"/>
  <c r="P31" i="15"/>
  <c r="P30" i="15"/>
  <c r="P29" i="15"/>
  <c r="P28" i="15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P5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<sst xmlns="http://schemas.openxmlformats.org/spreadsheetml/2006/main" count="845" uniqueCount="455">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</sst>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Fill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Fill="1" applyBorder="1" applyAlignment="1">
      <alignment horizontal="left" vertical="center"/>
    </xf>
    <xf numFmtId="0" fontId="13" fillId="0" borderId="25" xfId="0" applyFont="1" applyFill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Fill="1" applyBorder="1"/>
    <xf numFmtId="44" fontId="55" fillId="0" borderId="25" xfId="1" applyFont="1" applyFill="1" applyBorder="1"/>
    <xf numFmtId="164" fontId="55" fillId="0" borderId="25" xfId="0" applyNumberFormat="1" applyFont="1" applyFill="1" applyBorder="1"/>
    <xf numFmtId="44" fontId="50" fillId="0" borderId="25" xfId="1" applyFont="1" applyFill="1" applyBorder="1"/>
    <xf numFmtId="164" fontId="50" fillId="0" borderId="25" xfId="0" applyNumberFormat="1" applyFont="1" applyFill="1" applyBorder="1"/>
    <xf numFmtId="164" fontId="19" fillId="0" borderId="63" xfId="0" applyNumberFormat="1" applyFont="1" applyFill="1" applyBorder="1"/>
    <xf numFmtId="44" fontId="11" fillId="0" borderId="63" xfId="1" applyFont="1" applyFill="1" applyBorder="1"/>
    <xf numFmtId="164" fontId="56" fillId="0" borderId="25" xfId="0" applyNumberFormat="1" applyFont="1" applyFill="1" applyBorder="1"/>
    <xf numFmtId="44" fontId="56" fillId="0" borderId="25" xfId="1" applyFont="1" applyFill="1" applyBorder="1"/>
    <xf numFmtId="164" fontId="33" fillId="0" borderId="63" xfId="0" applyNumberFormat="1" applyFont="1" applyFill="1" applyBorder="1"/>
    <xf numFmtId="44" fontId="55" fillId="0" borderId="63" xfId="1" applyFont="1" applyFill="1" applyBorder="1"/>
    <xf numFmtId="164" fontId="48" fillId="0" borderId="25" xfId="0" applyNumberFormat="1" applyFont="1" applyFill="1" applyBorder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42"/>
      <c r="C1" s="344" t="s">
        <v>28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18" ht="16.5" thickBot="1" x14ac:dyDescent="0.3">
      <c r="B2" s="343"/>
      <c r="C2" s="3"/>
      <c r="H2" s="5"/>
      <c r="I2" s="6"/>
      <c r="J2" s="7"/>
      <c r="L2" s="8"/>
      <c r="M2" s="6"/>
      <c r="N2" s="9"/>
    </row>
    <row r="3" spans="1:18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24">
        <f>SUM(M5:M39)</f>
        <v>1527030</v>
      </c>
      <c r="N40" s="326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25"/>
      <c r="N41" s="32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50143.28</v>
      </c>
      <c r="L53" s="331"/>
      <c r="M53" s="332">
        <f>N40+M40</f>
        <v>1577043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-1419082.77</v>
      </c>
      <c r="I55" s="336" t="s">
        <v>15</v>
      </c>
      <c r="J55" s="337"/>
      <c r="K55" s="338">
        <f>F57+F58+F59</f>
        <v>296963.46999999997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40">
        <f>-C4</f>
        <v>-221059.7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17" t="s">
        <v>20</v>
      </c>
      <c r="E59" s="318"/>
      <c r="F59" s="134">
        <v>154314.51999999999</v>
      </c>
      <c r="I59" s="319" t="s">
        <v>168</v>
      </c>
      <c r="J59" s="320"/>
      <c r="K59" s="321">
        <f>K55+K57</f>
        <v>75903.76999999996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42"/>
      <c r="C1" s="344" t="s">
        <v>326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4">
        <f>SUM(M5:M39)</f>
        <v>2772689</v>
      </c>
      <c r="N40" s="326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25"/>
      <c r="N41" s="327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297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60691.69</v>
      </c>
      <c r="L53" s="331"/>
      <c r="M53" s="332">
        <f>N40+M40</f>
        <v>2880043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-2875380.48</v>
      </c>
      <c r="I55" s="336" t="s">
        <v>15</v>
      </c>
      <c r="J55" s="337"/>
      <c r="K55" s="338">
        <f>F57+F58+F59</f>
        <v>247554.74000000008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-30832.169999999925</v>
      </c>
      <c r="H57" s="24"/>
      <c r="I57" s="129" t="s">
        <v>17</v>
      </c>
      <c r="J57" s="130"/>
      <c r="K57" s="340">
        <f>-C4</f>
        <v>-149938.81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17" t="s">
        <v>20</v>
      </c>
      <c r="E59" s="318"/>
      <c r="F59" s="134">
        <v>232165.91</v>
      </c>
      <c r="I59" s="319" t="s">
        <v>168</v>
      </c>
      <c r="J59" s="320"/>
      <c r="K59" s="321">
        <f>K55+K57</f>
        <v>97615.93000000008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6.14062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2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>
        <v>44729</v>
      </c>
      <c r="E18" s="132">
        <v>141561.31</v>
      </c>
      <c r="F18" s="196">
        <f t="shared" si="0"/>
        <v>0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305">
        <v>44729</v>
      </c>
      <c r="E19" s="304">
        <v>88357.89</v>
      </c>
      <c r="F19" s="196">
        <f t="shared" si="0"/>
        <v>0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305">
        <v>44729</v>
      </c>
      <c r="E20" s="304">
        <v>1800</v>
      </c>
      <c r="F20" s="196">
        <f t="shared" si="0"/>
        <v>0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305">
        <v>44729</v>
      </c>
      <c r="E21" s="304">
        <v>124846.39999999999</v>
      </c>
      <c r="F21" s="196">
        <f t="shared" si="0"/>
        <v>0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305">
        <v>44729</v>
      </c>
      <c r="E22" s="304">
        <v>30517.4</v>
      </c>
      <c r="F22" s="196">
        <f t="shared" si="0"/>
        <v>0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305">
        <v>44729</v>
      </c>
      <c r="E23" s="304">
        <v>105168.4</v>
      </c>
      <c r="F23" s="196">
        <f t="shared" si="0"/>
        <v>0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305">
        <v>44729</v>
      </c>
      <c r="E24" s="304">
        <v>1901.8</v>
      </c>
      <c r="F24" s="196">
        <f t="shared" si="0"/>
        <v>0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305">
        <v>44729</v>
      </c>
      <c r="E25" s="304">
        <v>21748.2</v>
      </c>
      <c r="F25" s="196">
        <f t="shared" si="0"/>
        <v>0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305">
        <v>44729</v>
      </c>
      <c r="E26" s="304">
        <v>63869.33</v>
      </c>
      <c r="F26" s="196">
        <f t="shared" si="0"/>
        <v>0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305">
        <v>44729</v>
      </c>
      <c r="E27" s="304">
        <v>2726.4</v>
      </c>
      <c r="F27" s="196">
        <f t="shared" si="0"/>
        <v>0</v>
      </c>
    </row>
    <row r="28" spans="1:7" ht="18.75" customHeight="1" x14ac:dyDescent="0.25">
      <c r="A28" s="267">
        <v>44730</v>
      </c>
      <c r="B28" s="268" t="s">
        <v>363</v>
      </c>
      <c r="C28" s="132">
        <v>144028.64000000001</v>
      </c>
      <c r="D28" s="269">
        <v>44736</v>
      </c>
      <c r="E28" s="132">
        <v>144028.64000000001</v>
      </c>
      <c r="F28" s="196">
        <f t="shared" si="0"/>
        <v>0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>
        <v>44736</v>
      </c>
      <c r="E29" s="132">
        <v>131512.62</v>
      </c>
      <c r="F29" s="196">
        <f>C29-E29+F28</f>
        <v>0</v>
      </c>
    </row>
    <row r="30" spans="1:7" ht="18.75" customHeight="1" x14ac:dyDescent="0.25">
      <c r="A30" s="267">
        <v>44733</v>
      </c>
      <c r="B30" s="268" t="s">
        <v>365</v>
      </c>
      <c r="C30" s="132">
        <v>66859.600000000006</v>
      </c>
      <c r="D30" s="269">
        <v>44736</v>
      </c>
      <c r="E30" s="132">
        <v>66859.600000000006</v>
      </c>
      <c r="F30" s="196">
        <f t="shared" ref="F30:F78" si="1">C30-E30+F29</f>
        <v>0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>
        <v>44736</v>
      </c>
      <c r="E31" s="132">
        <v>42136.6</v>
      </c>
      <c r="F31" s="196">
        <f t="shared" si="1"/>
        <v>0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>
        <v>44736</v>
      </c>
      <c r="E32" s="132">
        <v>138883.07999999999</v>
      </c>
      <c r="F32" s="196">
        <f t="shared" si="1"/>
        <v>0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307">
        <v>44743</v>
      </c>
      <c r="E33" s="306">
        <v>181425.6</v>
      </c>
      <c r="F33" s="196">
        <f t="shared" si="1"/>
        <v>0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307">
        <v>44743</v>
      </c>
      <c r="E34" s="306">
        <v>6873.3</v>
      </c>
      <c r="F34" s="196">
        <f t="shared" si="1"/>
        <v>0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307">
        <v>44743</v>
      </c>
      <c r="E35" s="306">
        <v>41033.42</v>
      </c>
      <c r="F35" s="196">
        <f t="shared" si="1"/>
        <v>0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307">
        <v>44743</v>
      </c>
      <c r="E36" s="306">
        <v>133753.5</v>
      </c>
      <c r="F36" s="196">
        <f t="shared" si="1"/>
        <v>0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307">
        <v>44743</v>
      </c>
      <c r="E37" s="306">
        <v>132774.54</v>
      </c>
      <c r="F37" s="196">
        <f t="shared" si="1"/>
        <v>0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86">
        <v>44750</v>
      </c>
      <c r="E38" s="287">
        <v>86830.49</v>
      </c>
      <c r="F38" s="196">
        <f t="shared" si="1"/>
        <v>0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86">
        <v>44750</v>
      </c>
      <c r="E39" s="287">
        <v>142079.78</v>
      </c>
      <c r="F39" s="196">
        <f t="shared" si="1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1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1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1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1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1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1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1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1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2875380.48</v>
      </c>
      <c r="D79" s="189"/>
      <c r="E79" s="178">
        <f>SUM(E3:E78)</f>
        <v>2875380.48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42"/>
      <c r="C1" s="344" t="s">
        <v>380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40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39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>
        <v>174202</v>
      </c>
      <c r="G18" s="2"/>
      <c r="H18" s="30">
        <v>44759</v>
      </c>
      <c r="I18" s="31">
        <v>56</v>
      </c>
      <c r="J18" s="38"/>
      <c r="K18" s="53"/>
      <c r="L18" s="40"/>
      <c r="M18" s="32">
        <f>80000+75000+16489</f>
        <v>171489</v>
      </c>
      <c r="N18" s="33">
        <v>2657</v>
      </c>
      <c r="P18" s="34">
        <f t="shared" si="0"/>
        <v>174202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2220</v>
      </c>
      <c r="D19" s="36" t="s">
        <v>47</v>
      </c>
      <c r="E19" s="28">
        <v>44760</v>
      </c>
      <c r="F19" s="29">
        <v>76929</v>
      </c>
      <c r="G19" s="2"/>
      <c r="H19" s="30">
        <v>44760</v>
      </c>
      <c r="I19" s="31">
        <v>76</v>
      </c>
      <c r="J19" s="38"/>
      <c r="K19" s="54"/>
      <c r="L19" s="55"/>
      <c r="M19" s="32">
        <f>10000+59233</f>
        <v>69233</v>
      </c>
      <c r="N19" s="33">
        <v>5400</v>
      </c>
      <c r="O19" s="2"/>
      <c r="P19" s="34">
        <f t="shared" si="0"/>
        <v>76929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2800</v>
      </c>
      <c r="D20" s="36" t="s">
        <v>312</v>
      </c>
      <c r="E20" s="28">
        <v>44761</v>
      </c>
      <c r="F20" s="29">
        <v>80274</v>
      </c>
      <c r="G20" s="2"/>
      <c r="H20" s="30">
        <v>44761</v>
      </c>
      <c r="I20" s="31">
        <v>15</v>
      </c>
      <c r="J20" s="38"/>
      <c r="K20" s="56"/>
      <c r="L20" s="48"/>
      <c r="M20" s="32">
        <f>52240+20000</f>
        <v>72240</v>
      </c>
      <c r="N20" s="33">
        <v>5219</v>
      </c>
      <c r="P20" s="34">
        <f t="shared" si="0"/>
        <v>80274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>
        <v>69450</v>
      </c>
      <c r="G21" s="2"/>
      <c r="H21" s="30">
        <v>44762</v>
      </c>
      <c r="I21" s="31">
        <v>85</v>
      </c>
      <c r="J21" s="38"/>
      <c r="K21" s="57"/>
      <c r="L21" s="48"/>
      <c r="M21" s="32">
        <f>52210+15000</f>
        <v>67210</v>
      </c>
      <c r="N21" s="33">
        <v>2155</v>
      </c>
      <c r="P21" s="34">
        <f t="shared" si="0"/>
        <v>69450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26231</v>
      </c>
      <c r="D22" s="36" t="s">
        <v>49</v>
      </c>
      <c r="E22" s="28">
        <v>44763</v>
      </c>
      <c r="F22" s="29">
        <v>96352</v>
      </c>
      <c r="G22" s="2"/>
      <c r="H22" s="30">
        <v>44763</v>
      </c>
      <c r="I22" s="31">
        <v>71</v>
      </c>
      <c r="J22" s="38"/>
      <c r="K22" s="45"/>
      <c r="L22" s="58"/>
      <c r="M22" s="32">
        <f>43277+25000</f>
        <v>68277</v>
      </c>
      <c r="N22" s="33">
        <v>1773</v>
      </c>
      <c r="P22" s="34">
        <f t="shared" si="0"/>
        <v>96352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>
        <v>116734</v>
      </c>
      <c r="G23" s="2"/>
      <c r="H23" s="30">
        <v>44764</v>
      </c>
      <c r="I23" s="31">
        <v>148</v>
      </c>
      <c r="J23" s="59"/>
      <c r="K23" s="60"/>
      <c r="L23" s="48"/>
      <c r="M23" s="32">
        <f>45000+50000+20886</f>
        <v>115886</v>
      </c>
      <c r="N23" s="33">
        <v>700</v>
      </c>
      <c r="P23" s="34">
        <f t="shared" si="0"/>
        <v>116734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19</v>
      </c>
      <c r="D24" s="41" t="s">
        <v>386</v>
      </c>
      <c r="E24" s="28">
        <v>44765</v>
      </c>
      <c r="F24" s="29">
        <v>119975</v>
      </c>
      <c r="G24" s="2"/>
      <c r="H24" s="30">
        <v>44765</v>
      </c>
      <c r="I24" s="31">
        <v>95</v>
      </c>
      <c r="J24" s="181">
        <v>44765</v>
      </c>
      <c r="K24" s="62" t="s">
        <v>387</v>
      </c>
      <c r="L24" s="63">
        <v>9500</v>
      </c>
      <c r="M24" s="32">
        <f>14453+50000+40000</f>
        <v>104453</v>
      </c>
      <c r="N24" s="33">
        <v>5908</v>
      </c>
      <c r="P24" s="34">
        <f t="shared" si="0"/>
        <v>119975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>
        <v>133851</v>
      </c>
      <c r="G25" s="2"/>
      <c r="H25" s="30">
        <v>44766</v>
      </c>
      <c r="I25" s="31">
        <v>40</v>
      </c>
      <c r="J25" s="64"/>
      <c r="K25" s="290"/>
      <c r="L25" s="66"/>
      <c r="M25" s="32">
        <f>100000+33570</f>
        <v>133570</v>
      </c>
      <c r="N25" s="33">
        <v>241</v>
      </c>
      <c r="O25" t="s">
        <v>8</v>
      </c>
      <c r="P25" s="34">
        <f t="shared" si="0"/>
        <v>133851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3750</v>
      </c>
      <c r="D26" s="36" t="s">
        <v>388</v>
      </c>
      <c r="E26" s="28">
        <v>44767</v>
      </c>
      <c r="F26" s="29">
        <v>88776</v>
      </c>
      <c r="G26" s="2"/>
      <c r="H26" s="30">
        <v>44767</v>
      </c>
      <c r="I26" s="31">
        <v>54</v>
      </c>
      <c r="J26" s="38"/>
      <c r="K26" s="62"/>
      <c r="L26" s="48"/>
      <c r="M26" s="32">
        <f>38428+40000</f>
        <v>78428</v>
      </c>
      <c r="N26" s="33">
        <v>6544</v>
      </c>
      <c r="P26" s="34">
        <f t="shared" si="0"/>
        <v>88776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>
        <v>99511</v>
      </c>
      <c r="G27" s="2"/>
      <c r="H27" s="30">
        <v>44768</v>
      </c>
      <c r="I27" s="31">
        <v>120</v>
      </c>
      <c r="J27" s="67"/>
      <c r="K27" s="68"/>
      <c r="L27" s="66"/>
      <c r="M27" s="32">
        <f>29390+20000+50000</f>
        <v>99390</v>
      </c>
      <c r="N27" s="33">
        <v>0</v>
      </c>
      <c r="P27" s="34">
        <f t="shared" si="0"/>
        <v>99510</v>
      </c>
      <c r="Q27" s="296">
        <f t="shared" si="1"/>
        <v>-1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>
        <v>38709</v>
      </c>
      <c r="G28" s="2"/>
      <c r="H28" s="30">
        <v>44769</v>
      </c>
      <c r="I28" s="31">
        <v>244</v>
      </c>
      <c r="J28" s="69"/>
      <c r="K28" s="70"/>
      <c r="L28" s="66"/>
      <c r="M28" s="32">
        <f>10000+27658</f>
        <v>37658</v>
      </c>
      <c r="N28" s="33">
        <v>807</v>
      </c>
      <c r="P28" s="34">
        <f t="shared" si="0"/>
        <v>38709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18558</v>
      </c>
      <c r="D29" s="71" t="s">
        <v>49</v>
      </c>
      <c r="E29" s="28">
        <v>44770</v>
      </c>
      <c r="F29" s="29">
        <v>68450</v>
      </c>
      <c r="G29" s="2"/>
      <c r="H29" s="30">
        <v>44770</v>
      </c>
      <c r="I29" s="31">
        <v>48</v>
      </c>
      <c r="J29" s="67"/>
      <c r="K29" s="72"/>
      <c r="L29" s="66"/>
      <c r="M29" s="32">
        <f>35756+10000</f>
        <v>45756</v>
      </c>
      <c r="N29" s="33">
        <v>4088</v>
      </c>
      <c r="P29" s="34">
        <f t="shared" si="0"/>
        <v>68450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>
        <v>121452</v>
      </c>
      <c r="G30" s="2"/>
      <c r="H30" s="30">
        <v>44771</v>
      </c>
      <c r="I30" s="31">
        <v>291</v>
      </c>
      <c r="J30" s="73"/>
      <c r="K30" s="74"/>
      <c r="L30" s="75"/>
      <c r="M30" s="32">
        <f>35000+65000+20961</f>
        <v>120961</v>
      </c>
      <c r="N30" s="33">
        <v>200</v>
      </c>
      <c r="P30" s="34">
        <f t="shared" si="0"/>
        <v>121452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>
        <v>142552</v>
      </c>
      <c r="G31" s="2"/>
      <c r="H31" s="30">
        <v>44772</v>
      </c>
      <c r="I31" s="31">
        <v>118</v>
      </c>
      <c r="J31" s="73">
        <v>44772</v>
      </c>
      <c r="K31" s="76" t="s">
        <v>389</v>
      </c>
      <c r="L31" s="77">
        <v>9500</v>
      </c>
      <c r="M31" s="32">
        <f>40000+70000+18287</f>
        <v>128287</v>
      </c>
      <c r="N31" s="33">
        <v>4647</v>
      </c>
      <c r="P31" s="34">
        <f t="shared" si="0"/>
        <v>142552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>
        <v>136330</v>
      </c>
      <c r="G32" s="2"/>
      <c r="H32" s="30">
        <v>44773</v>
      </c>
      <c r="I32" s="31">
        <v>95</v>
      </c>
      <c r="J32" s="73"/>
      <c r="K32" s="74"/>
      <c r="L32" s="75"/>
      <c r="M32" s="32">
        <f>90000+35000+9932</f>
        <v>134932</v>
      </c>
      <c r="N32" s="33">
        <v>1303</v>
      </c>
      <c r="P32" s="34">
        <f t="shared" si="0"/>
        <v>136330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44760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44771</v>
      </c>
      <c r="K35" s="76" t="s">
        <v>204</v>
      </c>
      <c r="L35" s="80">
        <v>927.48</v>
      </c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 t="s">
        <v>419</v>
      </c>
      <c r="K36" s="298" t="s">
        <v>418</v>
      </c>
      <c r="L36" s="80">
        <v>32491</v>
      </c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 t="s">
        <v>419</v>
      </c>
      <c r="K37" s="300" t="s">
        <v>420</v>
      </c>
      <c r="L37" s="80">
        <v>3131.24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4">
        <f>SUM(M5:M39)</f>
        <v>2373103</v>
      </c>
      <c r="N40" s="326">
        <f>SUM(N5:N39)</f>
        <v>67308</v>
      </c>
      <c r="P40" s="34">
        <f t="shared" si="0"/>
        <v>2440411</v>
      </c>
      <c r="Q40" s="294">
        <f>SUM(Q5:Q39)</f>
        <v>-1</v>
      </c>
      <c r="R40" s="295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5"/>
      <c r="N41" s="327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108205</v>
      </c>
      <c r="D51" s="107"/>
      <c r="E51" s="108" t="s">
        <v>9</v>
      </c>
      <c r="F51" s="109">
        <f>SUM(F5:F50)</f>
        <v>2544104</v>
      </c>
      <c r="G51" s="107"/>
      <c r="H51" s="110" t="s">
        <v>10</v>
      </c>
      <c r="I51" s="111">
        <f>SUM(I5:I50)</f>
        <v>2495</v>
      </c>
      <c r="J51" s="112"/>
      <c r="K51" s="113" t="s">
        <v>11</v>
      </c>
      <c r="L51" s="114">
        <f>SUM(L5:L50)</f>
        <v>77154.720000000016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79649.720000000016</v>
      </c>
      <c r="L53" s="331"/>
      <c r="M53" s="332">
        <f>N40+M40</f>
        <v>2440411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2356249.2799999998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-2471332.31</v>
      </c>
      <c r="I55" s="336" t="s">
        <v>15</v>
      </c>
      <c r="J55" s="337"/>
      <c r="K55" s="338">
        <f>F57+F58+F59</f>
        <v>214026.38999999972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-115083.03000000026</v>
      </c>
      <c r="H57" s="24"/>
      <c r="I57" s="129" t="s">
        <v>17</v>
      </c>
      <c r="J57" s="130"/>
      <c r="K57" s="340">
        <f>-C4</f>
        <v>-232165.91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55373</v>
      </c>
    </row>
    <row r="59" spans="1:17" ht="20.25" thickTop="1" thickBot="1" x14ac:dyDescent="0.35">
      <c r="C59" s="133">
        <v>44773</v>
      </c>
      <c r="D59" s="317" t="s">
        <v>20</v>
      </c>
      <c r="E59" s="318"/>
      <c r="F59" s="134">
        <v>273736.42</v>
      </c>
      <c r="I59" s="319" t="s">
        <v>325</v>
      </c>
      <c r="J59" s="320"/>
      <c r="K59" s="321">
        <f>K55+K57</f>
        <v>-18139.520000000281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44746</v>
      </c>
      <c r="B3" s="265" t="s">
        <v>390</v>
      </c>
      <c r="C3" s="266">
        <v>129755.9</v>
      </c>
      <c r="D3" s="308">
        <v>44750</v>
      </c>
      <c r="E3" s="309">
        <v>129755.9</v>
      </c>
      <c r="F3" s="158">
        <f>C3-E3</f>
        <v>0</v>
      </c>
      <c r="J3" s="132"/>
    </row>
    <row r="4" spans="1:10" ht="15.75" x14ac:dyDescent="0.25">
      <c r="A4" s="267">
        <v>44746</v>
      </c>
      <c r="B4" s="268" t="s">
        <v>391</v>
      </c>
      <c r="C4" s="132">
        <v>14947.2</v>
      </c>
      <c r="D4" s="308">
        <v>44750</v>
      </c>
      <c r="E4" s="287">
        <v>14947.2</v>
      </c>
      <c r="F4" s="196">
        <f>C4-E4+F3</f>
        <v>0</v>
      </c>
      <c r="J4" s="266"/>
    </row>
    <row r="5" spans="1:10" s="35" customFormat="1" ht="15.75" x14ac:dyDescent="0.25">
      <c r="A5" s="267">
        <v>44748</v>
      </c>
      <c r="B5" s="268" t="s">
        <v>392</v>
      </c>
      <c r="C5" s="132">
        <v>92642.6</v>
      </c>
      <c r="D5" s="308">
        <v>44750</v>
      </c>
      <c r="E5" s="287">
        <v>92642.6</v>
      </c>
      <c r="F5" s="196">
        <f t="shared" ref="F5:F68" si="0">C5-E5+F4</f>
        <v>0</v>
      </c>
      <c r="J5" s="132"/>
    </row>
    <row r="6" spans="1:10" ht="18.75" x14ac:dyDescent="0.3">
      <c r="A6" s="267">
        <v>44749</v>
      </c>
      <c r="B6" s="268" t="s">
        <v>393</v>
      </c>
      <c r="C6" s="132">
        <v>69904.100000000006</v>
      </c>
      <c r="D6" s="308">
        <v>44750</v>
      </c>
      <c r="E6" s="287">
        <v>69904.100000000006</v>
      </c>
      <c r="F6" s="196">
        <f t="shared" si="0"/>
        <v>0</v>
      </c>
      <c r="G6" s="162"/>
      <c r="J6" s="132"/>
    </row>
    <row r="7" spans="1:10" ht="15.75" x14ac:dyDescent="0.25">
      <c r="A7" s="267">
        <v>44750</v>
      </c>
      <c r="B7" s="268" t="s">
        <v>394</v>
      </c>
      <c r="C7" s="132">
        <v>144242.76</v>
      </c>
      <c r="D7" s="308">
        <v>44750</v>
      </c>
      <c r="E7" s="287">
        <v>144242.76</v>
      </c>
      <c r="F7" s="196">
        <f t="shared" si="0"/>
        <v>0</v>
      </c>
      <c r="J7" s="132"/>
    </row>
    <row r="8" spans="1:10" ht="15.75" x14ac:dyDescent="0.25">
      <c r="A8" s="267">
        <v>44750</v>
      </c>
      <c r="B8" s="268" t="s">
        <v>395</v>
      </c>
      <c r="C8" s="132">
        <v>5072.6000000000004</v>
      </c>
      <c r="D8" s="308">
        <v>44750</v>
      </c>
      <c r="E8" s="287">
        <v>5072.6000000000004</v>
      </c>
      <c r="F8" s="196">
        <f t="shared" si="0"/>
        <v>0</v>
      </c>
      <c r="J8" s="132"/>
    </row>
    <row r="9" spans="1:10" ht="15.75" x14ac:dyDescent="0.25">
      <c r="A9" s="267">
        <v>44750</v>
      </c>
      <c r="B9" s="268" t="s">
        <v>396</v>
      </c>
      <c r="C9" s="132">
        <v>265.5</v>
      </c>
      <c r="D9" s="283">
        <v>44757</v>
      </c>
      <c r="E9" s="284">
        <v>265.5</v>
      </c>
      <c r="F9" s="196">
        <f t="shared" si="0"/>
        <v>0</v>
      </c>
      <c r="J9" s="132"/>
    </row>
    <row r="10" spans="1:10" ht="15.75" x14ac:dyDescent="0.25">
      <c r="A10" s="267">
        <v>44751</v>
      </c>
      <c r="B10" s="268" t="s">
        <v>397</v>
      </c>
      <c r="C10" s="132">
        <v>119029.9</v>
      </c>
      <c r="D10" s="283">
        <v>44757</v>
      </c>
      <c r="E10" s="284">
        <v>119029.9</v>
      </c>
      <c r="F10" s="196">
        <f t="shared" si="0"/>
        <v>0</v>
      </c>
      <c r="J10" s="117">
        <v>0</v>
      </c>
    </row>
    <row r="11" spans="1:10" ht="15.75" x14ac:dyDescent="0.25">
      <c r="A11" s="267">
        <v>44753</v>
      </c>
      <c r="B11" s="268" t="s">
        <v>398</v>
      </c>
      <c r="C11" s="132">
        <v>86612.94</v>
      </c>
      <c r="D11" s="283">
        <v>44757</v>
      </c>
      <c r="E11" s="284">
        <v>86612.94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44754</v>
      </c>
      <c r="B12" s="268" t="s">
        <v>399</v>
      </c>
      <c r="C12" s="132">
        <v>29055.5</v>
      </c>
      <c r="D12" s="283">
        <v>44757</v>
      </c>
      <c r="E12" s="284">
        <v>29055.5</v>
      </c>
      <c r="F12" s="196">
        <f t="shared" si="0"/>
        <v>0</v>
      </c>
      <c r="G12" s="162"/>
    </row>
    <row r="13" spans="1:10" ht="15.75" x14ac:dyDescent="0.25">
      <c r="A13" s="267">
        <v>44755</v>
      </c>
      <c r="B13" s="268" t="s">
        <v>400</v>
      </c>
      <c r="C13" s="132">
        <v>87559.6</v>
      </c>
      <c r="D13" s="283">
        <v>44757</v>
      </c>
      <c r="E13" s="284">
        <v>87559.6</v>
      </c>
      <c r="F13" s="196">
        <f t="shared" si="0"/>
        <v>0</v>
      </c>
    </row>
    <row r="14" spans="1:10" ht="15.75" x14ac:dyDescent="0.25">
      <c r="A14" s="267">
        <v>44756</v>
      </c>
      <c r="B14" s="268" t="s">
        <v>401</v>
      </c>
      <c r="C14" s="132">
        <v>132564.79999999999</v>
      </c>
      <c r="D14" s="283">
        <v>44757</v>
      </c>
      <c r="E14" s="284">
        <v>132564.79999999999</v>
      </c>
      <c r="F14" s="196">
        <f t="shared" si="0"/>
        <v>0</v>
      </c>
    </row>
    <row r="15" spans="1:10" ht="15.75" x14ac:dyDescent="0.25">
      <c r="A15" s="267">
        <v>44757</v>
      </c>
      <c r="B15" s="268" t="s">
        <v>402</v>
      </c>
      <c r="C15" s="132">
        <v>44983.4</v>
      </c>
      <c r="D15" s="283">
        <v>44757</v>
      </c>
      <c r="E15" s="284">
        <v>44983.4</v>
      </c>
      <c r="F15" s="196">
        <f t="shared" si="0"/>
        <v>0</v>
      </c>
    </row>
    <row r="16" spans="1:10" ht="15.75" x14ac:dyDescent="0.25">
      <c r="A16" s="267">
        <v>44758</v>
      </c>
      <c r="B16" s="268" t="s">
        <v>403</v>
      </c>
      <c r="C16" s="132">
        <v>155220.28</v>
      </c>
      <c r="D16" s="269">
        <v>44764</v>
      </c>
      <c r="E16" s="132">
        <v>155220.28</v>
      </c>
      <c r="F16" s="196">
        <f t="shared" si="0"/>
        <v>0</v>
      </c>
    </row>
    <row r="17" spans="1:7" ht="15.75" x14ac:dyDescent="0.25">
      <c r="A17" s="267">
        <v>44759</v>
      </c>
      <c r="B17" s="268" t="s">
        <v>404</v>
      </c>
      <c r="C17" s="132">
        <v>77061</v>
      </c>
      <c r="D17" s="269">
        <v>44764</v>
      </c>
      <c r="E17" s="132">
        <v>77061</v>
      </c>
      <c r="F17" s="196">
        <f t="shared" si="0"/>
        <v>0</v>
      </c>
    </row>
    <row r="18" spans="1:7" ht="15.75" x14ac:dyDescent="0.25">
      <c r="A18" s="267">
        <v>44760</v>
      </c>
      <c r="B18" s="268" t="s">
        <v>405</v>
      </c>
      <c r="C18" s="132">
        <v>78240.2</v>
      </c>
      <c r="D18" s="269">
        <v>44764</v>
      </c>
      <c r="E18" s="132">
        <v>78240.2</v>
      </c>
      <c r="F18" s="196">
        <f t="shared" si="0"/>
        <v>0</v>
      </c>
    </row>
    <row r="19" spans="1:7" ht="15.75" x14ac:dyDescent="0.25">
      <c r="A19" s="267">
        <v>44761</v>
      </c>
      <c r="B19" s="268" t="s">
        <v>406</v>
      </c>
      <c r="C19" s="132">
        <v>16361.3</v>
      </c>
      <c r="D19" s="269">
        <v>44764</v>
      </c>
      <c r="E19" s="132">
        <v>16361.3</v>
      </c>
      <c r="F19" s="196">
        <f t="shared" si="0"/>
        <v>0</v>
      </c>
    </row>
    <row r="20" spans="1:7" ht="15.75" x14ac:dyDescent="0.25">
      <c r="A20" s="267">
        <v>44762</v>
      </c>
      <c r="B20" s="268" t="s">
        <v>407</v>
      </c>
      <c r="C20" s="132">
        <v>162807.84</v>
      </c>
      <c r="D20" s="269">
        <v>44764</v>
      </c>
      <c r="E20" s="132">
        <v>162807.84</v>
      </c>
      <c r="F20" s="196">
        <f t="shared" si="0"/>
        <v>0</v>
      </c>
    </row>
    <row r="21" spans="1:7" ht="15.75" x14ac:dyDescent="0.25">
      <c r="A21" s="267">
        <v>44763</v>
      </c>
      <c r="B21" s="268" t="s">
        <v>408</v>
      </c>
      <c r="C21" s="132">
        <v>144209.19</v>
      </c>
      <c r="D21" s="269">
        <v>44764</v>
      </c>
      <c r="E21" s="132">
        <v>144209.19</v>
      </c>
      <c r="F21" s="196">
        <f t="shared" si="0"/>
        <v>0</v>
      </c>
    </row>
    <row r="22" spans="1:7" ht="15.75" x14ac:dyDescent="0.25">
      <c r="A22" s="267">
        <v>44764</v>
      </c>
      <c r="B22" s="268" t="s">
        <v>409</v>
      </c>
      <c r="C22" s="132">
        <v>120958.88</v>
      </c>
      <c r="D22" s="269">
        <v>44764</v>
      </c>
      <c r="E22" s="132">
        <v>120958.88</v>
      </c>
      <c r="F22" s="196">
        <f t="shared" si="0"/>
        <v>0</v>
      </c>
    </row>
    <row r="23" spans="1:7" ht="15.75" x14ac:dyDescent="0.25">
      <c r="A23" s="267">
        <v>44765</v>
      </c>
      <c r="B23" s="268" t="s">
        <v>410</v>
      </c>
      <c r="C23" s="132">
        <v>135754.06</v>
      </c>
      <c r="D23" s="310">
        <v>44771</v>
      </c>
      <c r="E23" s="311">
        <v>135754.06</v>
      </c>
      <c r="F23" s="196">
        <f t="shared" si="0"/>
        <v>0</v>
      </c>
    </row>
    <row r="24" spans="1:7" ht="18.75" x14ac:dyDescent="0.3">
      <c r="A24" s="267">
        <v>44765</v>
      </c>
      <c r="B24" s="268" t="s">
        <v>411</v>
      </c>
      <c r="C24" s="132">
        <v>4200</v>
      </c>
      <c r="D24" s="310">
        <v>44771</v>
      </c>
      <c r="E24" s="311">
        <v>4200</v>
      </c>
      <c r="F24" s="196">
        <f t="shared" si="0"/>
        <v>0</v>
      </c>
      <c r="G24" s="162"/>
    </row>
    <row r="25" spans="1:7" ht="15.75" x14ac:dyDescent="0.25">
      <c r="A25" s="267">
        <v>44767</v>
      </c>
      <c r="B25" s="268" t="s">
        <v>412</v>
      </c>
      <c r="C25" s="132">
        <v>100782.12</v>
      </c>
      <c r="D25" s="310">
        <v>44771</v>
      </c>
      <c r="E25" s="311">
        <v>100782.12</v>
      </c>
      <c r="F25" s="196">
        <f t="shared" si="0"/>
        <v>0</v>
      </c>
    </row>
    <row r="26" spans="1:7" ht="15.75" x14ac:dyDescent="0.25">
      <c r="A26" s="267">
        <v>44769</v>
      </c>
      <c r="B26" s="268" t="s">
        <v>413</v>
      </c>
      <c r="C26" s="132">
        <v>159228.38</v>
      </c>
      <c r="D26" s="310">
        <v>44771</v>
      </c>
      <c r="E26" s="311">
        <v>159228.38</v>
      </c>
      <c r="F26" s="196">
        <f t="shared" si="0"/>
        <v>0</v>
      </c>
    </row>
    <row r="27" spans="1:7" ht="18.75" customHeight="1" x14ac:dyDescent="0.25">
      <c r="A27" s="267">
        <v>44770</v>
      </c>
      <c r="B27" s="268" t="s">
        <v>414</v>
      </c>
      <c r="C27" s="132">
        <v>77241.66</v>
      </c>
      <c r="D27" s="310">
        <v>44771</v>
      </c>
      <c r="E27" s="311">
        <v>77241.66</v>
      </c>
      <c r="F27" s="196">
        <f t="shared" si="0"/>
        <v>0</v>
      </c>
    </row>
    <row r="28" spans="1:7" ht="18.75" customHeight="1" x14ac:dyDescent="0.25">
      <c r="A28" s="267">
        <v>44771</v>
      </c>
      <c r="B28" s="268" t="s">
        <v>415</v>
      </c>
      <c r="C28" s="132">
        <v>126836.5</v>
      </c>
      <c r="D28" s="303">
        <v>44778</v>
      </c>
      <c r="E28" s="304">
        <v>126836.5</v>
      </c>
      <c r="F28" s="196">
        <f t="shared" si="0"/>
        <v>0</v>
      </c>
    </row>
    <row r="29" spans="1:7" ht="18.75" customHeight="1" x14ac:dyDescent="0.25">
      <c r="A29" s="267">
        <v>44771</v>
      </c>
      <c r="B29" s="268" t="s">
        <v>416</v>
      </c>
      <c r="C29" s="132">
        <v>49636.2</v>
      </c>
      <c r="D29" s="303">
        <v>44778</v>
      </c>
      <c r="E29" s="304">
        <v>49636.2</v>
      </c>
      <c r="F29" s="196">
        <f t="shared" si="0"/>
        <v>0</v>
      </c>
    </row>
    <row r="30" spans="1:7" ht="18.75" customHeight="1" x14ac:dyDescent="0.25">
      <c r="A30" s="267">
        <v>44772</v>
      </c>
      <c r="B30" s="268" t="s">
        <v>417</v>
      </c>
      <c r="C30" s="132">
        <v>106157.9</v>
      </c>
      <c r="D30" s="303">
        <v>44778</v>
      </c>
      <c r="E30" s="304">
        <v>106157.9</v>
      </c>
      <c r="F30" s="196">
        <f t="shared" si="0"/>
        <v>0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0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0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0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0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2471332.31</v>
      </c>
      <c r="D79" s="189"/>
      <c r="E79" s="178">
        <f>SUM(E3:E78)</f>
        <v>2471332.31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abSelected="1" topLeftCell="A10" workbookViewId="0">
      <selection activeCell="M27" sqref="M2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42"/>
      <c r="C1" s="344" t="s">
        <v>421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273736.42</v>
      </c>
      <c r="D4" s="18">
        <v>44773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44774</v>
      </c>
      <c r="C5" s="26">
        <v>0</v>
      </c>
      <c r="D5" s="27"/>
      <c r="E5" s="28">
        <v>44774</v>
      </c>
      <c r="F5" s="29">
        <v>62335</v>
      </c>
      <c r="G5" s="2"/>
      <c r="H5" s="30">
        <v>44774</v>
      </c>
      <c r="I5" s="31">
        <v>141</v>
      </c>
      <c r="J5" s="7"/>
      <c r="K5" s="182"/>
      <c r="L5" s="9"/>
      <c r="M5" s="32">
        <f>25000+34594</f>
        <v>59594</v>
      </c>
      <c r="N5" s="33">
        <v>2600</v>
      </c>
      <c r="O5" s="2"/>
      <c r="P5" s="34">
        <f>N5+M5+L5+I5+C5</f>
        <v>62335</v>
      </c>
      <c r="Q5" s="13">
        <f t="shared" ref="Q5:Q39" si="0">P5-F5</f>
        <v>0</v>
      </c>
      <c r="R5" s="13">
        <v>0</v>
      </c>
    </row>
    <row r="6" spans="1:21" ht="18" thickBot="1" x14ac:dyDescent="0.35">
      <c r="A6" s="24"/>
      <c r="B6" s="25">
        <v>44775</v>
      </c>
      <c r="C6" s="26">
        <v>4700</v>
      </c>
      <c r="D6" s="36" t="s">
        <v>47</v>
      </c>
      <c r="E6" s="28">
        <v>44775</v>
      </c>
      <c r="F6" s="29">
        <v>62729</v>
      </c>
      <c r="G6" s="2"/>
      <c r="H6" s="30">
        <v>44775</v>
      </c>
      <c r="I6" s="31">
        <v>35</v>
      </c>
      <c r="J6" s="38"/>
      <c r="K6" s="39"/>
      <c r="L6" s="40"/>
      <c r="M6" s="32">
        <f>10000+57853</f>
        <v>67853</v>
      </c>
      <c r="N6" s="33">
        <v>0</v>
      </c>
      <c r="O6" s="2"/>
      <c r="P6" s="34">
        <f t="shared" ref="P6:P40" si="1">N6+M6+L6+I6+C6</f>
        <v>72588</v>
      </c>
      <c r="Q6" s="13">
        <v>0</v>
      </c>
      <c r="R6" s="293">
        <v>9859</v>
      </c>
    </row>
    <row r="7" spans="1:21" ht="18" thickBot="1" x14ac:dyDescent="0.35">
      <c r="A7" s="24"/>
      <c r="B7" s="25">
        <v>44776</v>
      </c>
      <c r="C7" s="26">
        <v>13</v>
      </c>
      <c r="D7" s="41" t="s">
        <v>34</v>
      </c>
      <c r="E7" s="28">
        <v>44776</v>
      </c>
      <c r="F7" s="1">
        <v>41829</v>
      </c>
      <c r="G7" s="2"/>
      <c r="H7" s="30">
        <v>44776</v>
      </c>
      <c r="I7" s="31">
        <v>140</v>
      </c>
      <c r="J7" s="38"/>
      <c r="K7" s="42"/>
      <c r="L7" s="40"/>
      <c r="M7" s="32">
        <f>10000+47248</f>
        <v>57248</v>
      </c>
      <c r="N7" s="33">
        <v>1200</v>
      </c>
      <c r="O7" s="2"/>
      <c r="P7" s="34">
        <f>N7+M7+L7+I7+C7</f>
        <v>58601</v>
      </c>
      <c r="Q7" s="13">
        <v>0</v>
      </c>
      <c r="R7" s="184">
        <v>16772</v>
      </c>
    </row>
    <row r="8" spans="1:21" ht="18" thickBot="1" x14ac:dyDescent="0.35">
      <c r="A8" s="24"/>
      <c r="B8" s="25">
        <v>44777</v>
      </c>
      <c r="C8" s="302">
        <v>5</v>
      </c>
      <c r="D8" s="41" t="s">
        <v>34</v>
      </c>
      <c r="E8" s="28">
        <v>44777</v>
      </c>
      <c r="F8" s="29">
        <v>82001</v>
      </c>
      <c r="G8" s="2"/>
      <c r="H8" s="30">
        <v>44777</v>
      </c>
      <c r="I8" s="31">
        <v>101</v>
      </c>
      <c r="J8" s="44"/>
      <c r="K8" s="45"/>
      <c r="L8" s="40"/>
      <c r="M8" s="32">
        <f>15000+70195</f>
        <v>85195</v>
      </c>
      <c r="N8" s="33">
        <v>1400</v>
      </c>
      <c r="O8" s="2"/>
      <c r="P8" s="34">
        <f t="shared" si="1"/>
        <v>86701</v>
      </c>
      <c r="Q8" s="13">
        <v>0</v>
      </c>
      <c r="R8" s="184">
        <v>4700</v>
      </c>
    </row>
    <row r="9" spans="1:21" ht="18" thickBot="1" x14ac:dyDescent="0.35">
      <c r="A9" s="24"/>
      <c r="B9" s="25">
        <v>44778</v>
      </c>
      <c r="C9" s="26">
        <v>8450</v>
      </c>
      <c r="D9" s="41" t="s">
        <v>422</v>
      </c>
      <c r="E9" s="28">
        <v>44778</v>
      </c>
      <c r="F9" s="29">
        <v>123903</v>
      </c>
      <c r="G9" s="2"/>
      <c r="H9" s="30">
        <v>44778</v>
      </c>
      <c r="I9" s="31">
        <v>106</v>
      </c>
      <c r="J9" s="38"/>
      <c r="K9" s="46"/>
      <c r="L9" s="40"/>
      <c r="M9" s="32">
        <f>40000+60000+22800+374</f>
        <v>123174</v>
      </c>
      <c r="N9" s="33">
        <v>0</v>
      </c>
      <c r="O9" s="2"/>
      <c r="P9" s="34">
        <f t="shared" si="1"/>
        <v>131730</v>
      </c>
      <c r="Q9" s="13">
        <v>0</v>
      </c>
      <c r="R9" s="184">
        <v>7827</v>
      </c>
    </row>
    <row r="10" spans="1:21" ht="18" thickBot="1" x14ac:dyDescent="0.35">
      <c r="A10" s="24"/>
      <c r="B10" s="25">
        <v>44779</v>
      </c>
      <c r="C10" s="26">
        <v>10</v>
      </c>
      <c r="D10" s="36" t="s">
        <v>34</v>
      </c>
      <c r="E10" s="28">
        <v>44779</v>
      </c>
      <c r="F10" s="29">
        <v>101841</v>
      </c>
      <c r="G10" s="2"/>
      <c r="H10" s="30">
        <v>44779</v>
      </c>
      <c r="I10" s="31">
        <v>146</v>
      </c>
      <c r="J10" s="38">
        <v>44779</v>
      </c>
      <c r="K10" s="47" t="s">
        <v>423</v>
      </c>
      <c r="L10" s="48">
        <v>10000</v>
      </c>
      <c r="M10" s="32">
        <f>15000+55000+16368</f>
        <v>86368</v>
      </c>
      <c r="N10" s="33">
        <v>5317</v>
      </c>
      <c r="O10" s="2"/>
      <c r="P10" s="34">
        <f>N10+M10+L10+I10+C10</f>
        <v>101841</v>
      </c>
      <c r="Q10" s="13">
        <f t="shared" ref="Q10:Q36" si="2">P10-F10</f>
        <v>0</v>
      </c>
      <c r="R10" s="9">
        <v>0</v>
      </c>
      <c r="U10" t="s">
        <v>8</v>
      </c>
    </row>
    <row r="11" spans="1:21" ht="18" thickBot="1" x14ac:dyDescent="0.35">
      <c r="A11" s="24"/>
      <c r="B11" s="25">
        <v>44780</v>
      </c>
      <c r="C11" s="26">
        <v>0</v>
      </c>
      <c r="D11" s="36"/>
      <c r="E11" s="28">
        <v>44780</v>
      </c>
      <c r="F11" s="29">
        <v>120014</v>
      </c>
      <c r="G11" s="2"/>
      <c r="H11" s="30">
        <v>44780</v>
      </c>
      <c r="I11" s="31">
        <v>100</v>
      </c>
      <c r="J11" s="44"/>
      <c r="K11" s="49"/>
      <c r="L11" s="40"/>
      <c r="M11" s="32">
        <f>85000+30000+19176</f>
        <v>134176</v>
      </c>
      <c r="N11" s="33">
        <v>1954</v>
      </c>
      <c r="O11" s="2"/>
      <c r="P11" s="34">
        <f>N11+M11+L11+I11+C11</f>
        <v>136230</v>
      </c>
      <c r="Q11" s="13">
        <v>0</v>
      </c>
      <c r="R11" s="184">
        <v>16216</v>
      </c>
    </row>
    <row r="12" spans="1:21" ht="18" thickBot="1" x14ac:dyDescent="0.35">
      <c r="A12" s="24"/>
      <c r="B12" s="25">
        <v>44781</v>
      </c>
      <c r="C12" s="26">
        <v>0</v>
      </c>
      <c r="D12" s="36"/>
      <c r="E12" s="28">
        <v>44781</v>
      </c>
      <c r="F12" s="29">
        <v>66101</v>
      </c>
      <c r="G12" s="2"/>
      <c r="H12" s="30">
        <v>44781</v>
      </c>
      <c r="I12" s="31">
        <v>35</v>
      </c>
      <c r="J12" s="38"/>
      <c r="K12" s="50"/>
      <c r="L12" s="40"/>
      <c r="M12" s="32">
        <f>11000+54697</f>
        <v>65697</v>
      </c>
      <c r="N12" s="33">
        <v>369</v>
      </c>
      <c r="O12" s="2"/>
      <c r="P12" s="34">
        <f t="shared" si="1"/>
        <v>66101</v>
      </c>
      <c r="Q12" s="13">
        <f t="shared" si="2"/>
        <v>0</v>
      </c>
      <c r="R12" s="9">
        <v>0</v>
      </c>
    </row>
    <row r="13" spans="1:21" ht="18" thickBot="1" x14ac:dyDescent="0.35">
      <c r="A13" s="24"/>
      <c r="B13" s="25">
        <v>44782</v>
      </c>
      <c r="C13" s="26">
        <v>17820</v>
      </c>
      <c r="D13" s="41" t="s">
        <v>424</v>
      </c>
      <c r="E13" s="28">
        <v>44782</v>
      </c>
      <c r="F13" s="29">
        <v>83219</v>
      </c>
      <c r="G13" s="2"/>
      <c r="H13" s="30">
        <v>44782</v>
      </c>
      <c r="I13" s="31">
        <v>95</v>
      </c>
      <c r="J13" s="38"/>
      <c r="K13" s="39"/>
      <c r="L13" s="40"/>
      <c r="M13" s="32">
        <f>49505+15000</f>
        <v>64505</v>
      </c>
      <c r="N13" s="33">
        <v>799</v>
      </c>
      <c r="O13" s="2"/>
      <c r="P13" s="34">
        <f t="shared" si="1"/>
        <v>83219</v>
      </c>
      <c r="Q13" s="13">
        <f t="shared" si="2"/>
        <v>0</v>
      </c>
      <c r="R13" s="9">
        <v>0</v>
      </c>
    </row>
    <row r="14" spans="1:21" ht="18" thickBot="1" x14ac:dyDescent="0.35">
      <c r="A14" s="24"/>
      <c r="B14" s="25">
        <v>44783</v>
      </c>
      <c r="C14" s="26">
        <v>0</v>
      </c>
      <c r="D14" s="51"/>
      <c r="E14" s="28">
        <v>44783</v>
      </c>
      <c r="F14" s="29">
        <v>71645</v>
      </c>
      <c r="G14" s="2"/>
      <c r="H14" s="30">
        <v>44783</v>
      </c>
      <c r="I14" s="31">
        <v>264</v>
      </c>
      <c r="J14" s="38"/>
      <c r="K14" s="45"/>
      <c r="L14" s="40"/>
      <c r="M14" s="32">
        <f>10000+60626</f>
        <v>70626</v>
      </c>
      <c r="N14" s="33">
        <v>755</v>
      </c>
      <c r="O14" s="2"/>
      <c r="P14" s="34">
        <f t="shared" si="1"/>
        <v>71645</v>
      </c>
      <c r="Q14" s="13">
        <f t="shared" si="2"/>
        <v>0</v>
      </c>
      <c r="R14" s="9">
        <v>0</v>
      </c>
    </row>
    <row r="15" spans="1:21" ht="18" thickBot="1" x14ac:dyDescent="0.35">
      <c r="A15" s="24"/>
      <c r="B15" s="25">
        <v>44784</v>
      </c>
      <c r="C15" s="26">
        <v>0</v>
      </c>
      <c r="D15" s="51"/>
      <c r="E15" s="28">
        <v>44784</v>
      </c>
      <c r="F15" s="29">
        <v>75242</v>
      </c>
      <c r="G15" s="2"/>
      <c r="H15" s="30">
        <v>44784</v>
      </c>
      <c r="I15" s="31">
        <v>56</v>
      </c>
      <c r="J15" s="38"/>
      <c r="K15" s="45"/>
      <c r="L15" s="40"/>
      <c r="M15" s="32">
        <f>20000+54661</f>
        <v>74661</v>
      </c>
      <c r="N15" s="33">
        <v>525</v>
      </c>
      <c r="P15" s="34">
        <f t="shared" si="1"/>
        <v>75242</v>
      </c>
      <c r="Q15" s="13">
        <f t="shared" si="2"/>
        <v>0</v>
      </c>
      <c r="R15" s="9">
        <v>0</v>
      </c>
    </row>
    <row r="16" spans="1:21" ht="18" thickBot="1" x14ac:dyDescent="0.35">
      <c r="A16" s="24"/>
      <c r="B16" s="25">
        <v>44785</v>
      </c>
      <c r="C16" s="26">
        <v>12186</v>
      </c>
      <c r="D16" s="36" t="s">
        <v>425</v>
      </c>
      <c r="E16" s="28">
        <v>44785</v>
      </c>
      <c r="F16" s="29">
        <v>100267</v>
      </c>
      <c r="G16" s="2"/>
      <c r="H16" s="30">
        <v>44785</v>
      </c>
      <c r="I16" s="31">
        <v>107</v>
      </c>
      <c r="J16" s="38"/>
      <c r="K16" s="45"/>
      <c r="L16" s="9"/>
      <c r="M16" s="32">
        <f>35000+52152</f>
        <v>87152</v>
      </c>
      <c r="N16" s="33">
        <v>822</v>
      </c>
      <c r="P16" s="34">
        <f t="shared" si="1"/>
        <v>100267</v>
      </c>
      <c r="Q16" s="13">
        <f t="shared" si="2"/>
        <v>0</v>
      </c>
      <c r="R16" s="9">
        <v>0</v>
      </c>
    </row>
    <row r="17" spans="1:18" ht="18" thickBot="1" x14ac:dyDescent="0.35">
      <c r="A17" s="24"/>
      <c r="B17" s="25">
        <v>44786</v>
      </c>
      <c r="C17" s="26">
        <v>0</v>
      </c>
      <c r="D17" s="41"/>
      <c r="E17" s="28">
        <v>44786</v>
      </c>
      <c r="F17" s="29">
        <v>86993</v>
      </c>
      <c r="G17" s="2"/>
      <c r="H17" s="30">
        <v>44786</v>
      </c>
      <c r="I17" s="31">
        <v>420</v>
      </c>
      <c r="J17" s="38">
        <v>44786</v>
      </c>
      <c r="K17" s="52" t="s">
        <v>426</v>
      </c>
      <c r="L17" s="48">
        <v>10000</v>
      </c>
      <c r="M17" s="32">
        <f>15000+54861</f>
        <v>69861</v>
      </c>
      <c r="N17" s="33">
        <v>6712</v>
      </c>
      <c r="P17" s="34">
        <f t="shared" si="1"/>
        <v>86993</v>
      </c>
      <c r="Q17" s="13">
        <f t="shared" si="2"/>
        <v>0</v>
      </c>
      <c r="R17" s="9">
        <v>0</v>
      </c>
    </row>
    <row r="18" spans="1:18" ht="18" thickBot="1" x14ac:dyDescent="0.35">
      <c r="A18" s="24"/>
      <c r="B18" s="25">
        <v>44787</v>
      </c>
      <c r="C18" s="26">
        <v>0</v>
      </c>
      <c r="D18" s="36"/>
      <c r="E18" s="28">
        <v>44787</v>
      </c>
      <c r="F18" s="29">
        <v>160010</v>
      </c>
      <c r="G18" s="2"/>
      <c r="H18" s="30">
        <v>44787</v>
      </c>
      <c r="I18" s="31">
        <v>45</v>
      </c>
      <c r="J18" s="38"/>
      <c r="K18" s="53"/>
      <c r="L18" s="40"/>
      <c r="M18" s="32">
        <f>13410+85000+60000</f>
        <v>158410</v>
      </c>
      <c r="N18" s="33">
        <v>1555</v>
      </c>
      <c r="P18" s="34">
        <f t="shared" si="1"/>
        <v>160010</v>
      </c>
      <c r="Q18" s="13">
        <f t="shared" si="2"/>
        <v>0</v>
      </c>
      <c r="R18" s="9">
        <v>0</v>
      </c>
    </row>
    <row r="19" spans="1:18" ht="18" thickBot="1" x14ac:dyDescent="0.35">
      <c r="A19" s="24"/>
      <c r="B19" s="25">
        <v>44788</v>
      </c>
      <c r="C19" s="26">
        <v>0</v>
      </c>
      <c r="D19" s="36"/>
      <c r="E19" s="28">
        <v>44788</v>
      </c>
      <c r="F19" s="29">
        <v>62286</v>
      </c>
      <c r="G19" s="2"/>
      <c r="H19" s="30">
        <v>44788</v>
      </c>
      <c r="I19" s="31">
        <v>67</v>
      </c>
      <c r="J19" s="38"/>
      <c r="K19" s="54"/>
      <c r="L19" s="55"/>
      <c r="M19" s="32">
        <f>27000+32120</f>
        <v>59120</v>
      </c>
      <c r="N19" s="33">
        <v>3100</v>
      </c>
      <c r="O19" s="2"/>
      <c r="P19" s="34">
        <f t="shared" si="1"/>
        <v>62287</v>
      </c>
      <c r="Q19" s="13">
        <f t="shared" si="2"/>
        <v>1</v>
      </c>
      <c r="R19" s="9">
        <v>0</v>
      </c>
    </row>
    <row r="20" spans="1:18" ht="18" thickBot="1" x14ac:dyDescent="0.35">
      <c r="A20" s="24"/>
      <c r="B20" s="25">
        <v>44789</v>
      </c>
      <c r="C20" s="26">
        <v>3040</v>
      </c>
      <c r="D20" s="36" t="s">
        <v>427</v>
      </c>
      <c r="E20" s="28">
        <v>44789</v>
      </c>
      <c r="F20" s="29">
        <v>89018</v>
      </c>
      <c r="G20" s="2"/>
      <c r="H20" s="30">
        <v>44789</v>
      </c>
      <c r="I20" s="31">
        <v>185</v>
      </c>
      <c r="J20" s="38"/>
      <c r="K20" s="56"/>
      <c r="L20" s="48"/>
      <c r="M20" s="32">
        <f>50000+32793</f>
        <v>82793</v>
      </c>
      <c r="N20" s="33">
        <v>3000</v>
      </c>
      <c r="P20" s="34">
        <f t="shared" si="1"/>
        <v>89018</v>
      </c>
      <c r="Q20" s="13">
        <f t="shared" si="2"/>
        <v>0</v>
      </c>
      <c r="R20" s="9">
        <v>0</v>
      </c>
    </row>
    <row r="21" spans="1:18" ht="18" thickBot="1" x14ac:dyDescent="0.35">
      <c r="A21" s="24"/>
      <c r="B21" s="25">
        <v>44790</v>
      </c>
      <c r="C21" s="26">
        <v>11</v>
      </c>
      <c r="D21" s="36" t="s">
        <v>34</v>
      </c>
      <c r="E21" s="28">
        <v>44790</v>
      </c>
      <c r="F21" s="29">
        <v>69367</v>
      </c>
      <c r="G21" s="2"/>
      <c r="H21" s="30">
        <v>44790</v>
      </c>
      <c r="I21" s="31">
        <v>130</v>
      </c>
      <c r="J21" s="38"/>
      <c r="K21" s="57"/>
      <c r="L21" s="48"/>
      <c r="M21" s="32">
        <f>48509+20000</f>
        <v>68509</v>
      </c>
      <c r="N21" s="33">
        <v>717</v>
      </c>
      <c r="P21" s="34">
        <f t="shared" si="1"/>
        <v>69367</v>
      </c>
      <c r="Q21" s="13">
        <f t="shared" si="2"/>
        <v>0</v>
      </c>
      <c r="R21" s="9">
        <v>0</v>
      </c>
    </row>
    <row r="22" spans="1:18" ht="18" thickBot="1" x14ac:dyDescent="0.35">
      <c r="A22" s="24"/>
      <c r="B22" s="25">
        <v>44791</v>
      </c>
      <c r="C22" s="26">
        <v>0</v>
      </c>
      <c r="D22" s="36"/>
      <c r="E22" s="28">
        <v>44791</v>
      </c>
      <c r="F22" s="29">
        <v>78185</v>
      </c>
      <c r="G22" s="2"/>
      <c r="H22" s="30">
        <v>44791</v>
      </c>
      <c r="I22" s="31">
        <v>144</v>
      </c>
      <c r="J22" s="38"/>
      <c r="K22" s="45"/>
      <c r="L22" s="58"/>
      <c r="M22" s="32">
        <f>56888+20000</f>
        <v>76888</v>
      </c>
      <c r="N22" s="33">
        <v>1153</v>
      </c>
      <c r="P22" s="34">
        <f t="shared" si="1"/>
        <v>78185</v>
      </c>
      <c r="Q22" s="13">
        <f t="shared" si="2"/>
        <v>0</v>
      </c>
      <c r="R22" s="9">
        <v>0</v>
      </c>
    </row>
    <row r="23" spans="1:18" ht="18" thickBot="1" x14ac:dyDescent="0.35">
      <c r="A23" s="24"/>
      <c r="B23" s="25">
        <v>44792</v>
      </c>
      <c r="C23" s="26">
        <v>23190</v>
      </c>
      <c r="D23" s="36" t="s">
        <v>49</v>
      </c>
      <c r="E23" s="28">
        <v>44792</v>
      </c>
      <c r="F23" s="29">
        <v>90916</v>
      </c>
      <c r="G23" s="2"/>
      <c r="H23" s="30">
        <v>44792</v>
      </c>
      <c r="I23" s="31">
        <v>230</v>
      </c>
      <c r="J23" s="59"/>
      <c r="K23" s="60"/>
      <c r="L23" s="48"/>
      <c r="M23" s="32">
        <f>40000+25848</f>
        <v>65848</v>
      </c>
      <c r="N23" s="33">
        <v>1648</v>
      </c>
      <c r="P23" s="34">
        <f t="shared" si="1"/>
        <v>90916</v>
      </c>
      <c r="Q23" s="13">
        <f t="shared" si="2"/>
        <v>0</v>
      </c>
      <c r="R23" s="9">
        <v>0</v>
      </c>
    </row>
    <row r="24" spans="1:18" ht="18" thickBot="1" x14ac:dyDescent="0.35">
      <c r="A24" s="24"/>
      <c r="B24" s="25">
        <v>44793</v>
      </c>
      <c r="C24" s="26">
        <v>0</v>
      </c>
      <c r="D24" s="41"/>
      <c r="E24" s="28">
        <v>44793</v>
      </c>
      <c r="F24" s="29">
        <v>116105</v>
      </c>
      <c r="G24" s="2"/>
      <c r="H24" s="30">
        <v>44793</v>
      </c>
      <c r="I24" s="31">
        <v>116</v>
      </c>
      <c r="J24" s="181">
        <v>44793</v>
      </c>
      <c r="K24" s="62" t="s">
        <v>454</v>
      </c>
      <c r="L24" s="63">
        <v>9500</v>
      </c>
      <c r="M24" s="32">
        <f>67009+35000</f>
        <v>102009</v>
      </c>
      <c r="N24" s="33">
        <v>4480</v>
      </c>
      <c r="P24" s="34">
        <f t="shared" si="1"/>
        <v>116105</v>
      </c>
      <c r="Q24" s="13">
        <f t="shared" si="2"/>
        <v>0</v>
      </c>
      <c r="R24" s="9">
        <v>0</v>
      </c>
    </row>
    <row r="25" spans="1:18" ht="18" thickBot="1" x14ac:dyDescent="0.35">
      <c r="A25" s="24"/>
      <c r="B25" s="25">
        <v>44794</v>
      </c>
      <c r="C25" s="26">
        <v>3180</v>
      </c>
      <c r="D25" s="36" t="s">
        <v>47</v>
      </c>
      <c r="E25" s="28">
        <v>44794</v>
      </c>
      <c r="F25" s="29">
        <v>128512</v>
      </c>
      <c r="G25" s="2"/>
      <c r="H25" s="30">
        <v>44794</v>
      </c>
      <c r="I25" s="31">
        <v>90</v>
      </c>
      <c r="J25" s="64"/>
      <c r="K25" s="290"/>
      <c r="L25" s="66"/>
      <c r="M25" s="32">
        <f>60000+50000+12403</f>
        <v>122403</v>
      </c>
      <c r="N25" s="33">
        <v>2839</v>
      </c>
      <c r="O25" t="s">
        <v>8</v>
      </c>
      <c r="P25" s="34">
        <f t="shared" si="1"/>
        <v>128512</v>
      </c>
      <c r="Q25" s="13">
        <f t="shared" si="2"/>
        <v>0</v>
      </c>
      <c r="R25" s="9">
        <v>0</v>
      </c>
    </row>
    <row r="26" spans="1:18" ht="18" thickBot="1" x14ac:dyDescent="0.35">
      <c r="A26" s="24"/>
      <c r="B26" s="25">
        <v>44795</v>
      </c>
      <c r="C26" s="26">
        <v>0</v>
      </c>
      <c r="D26" s="36"/>
      <c r="E26" s="28">
        <v>44795</v>
      </c>
      <c r="F26" s="29">
        <v>52480</v>
      </c>
      <c r="G26" s="2"/>
      <c r="H26" s="30">
        <v>44795</v>
      </c>
      <c r="I26" s="31">
        <v>119</v>
      </c>
      <c r="J26" s="38"/>
      <c r="K26" s="62"/>
      <c r="L26" s="48"/>
      <c r="M26" s="32">
        <f>37111+10000</f>
        <v>47111</v>
      </c>
      <c r="N26" s="33">
        <v>5250</v>
      </c>
      <c r="P26" s="34">
        <f t="shared" si="1"/>
        <v>52480</v>
      </c>
      <c r="Q26" s="13">
        <f t="shared" si="2"/>
        <v>0</v>
      </c>
      <c r="R26" s="9">
        <v>0</v>
      </c>
    </row>
    <row r="27" spans="1:18" ht="18" thickBot="1" x14ac:dyDescent="0.35">
      <c r="A27" s="24"/>
      <c r="B27" s="25">
        <v>44796</v>
      </c>
      <c r="C27" s="26">
        <v>450</v>
      </c>
      <c r="D27" s="41" t="s">
        <v>47</v>
      </c>
      <c r="E27" s="28">
        <v>44796</v>
      </c>
      <c r="F27" s="29">
        <v>62313</v>
      </c>
      <c r="G27" s="2"/>
      <c r="H27" s="30">
        <v>44796</v>
      </c>
      <c r="I27" s="31">
        <v>66</v>
      </c>
      <c r="J27" s="67"/>
      <c r="K27" s="68"/>
      <c r="L27" s="66"/>
      <c r="M27" s="32">
        <v>0</v>
      </c>
      <c r="N27" s="33">
        <v>0</v>
      </c>
      <c r="P27" s="34">
        <f t="shared" si="1"/>
        <v>516</v>
      </c>
      <c r="Q27" s="13">
        <f t="shared" si="2"/>
        <v>-61797</v>
      </c>
      <c r="R27" s="9">
        <v>0</v>
      </c>
    </row>
    <row r="28" spans="1:18" ht="18" thickBot="1" x14ac:dyDescent="0.35">
      <c r="A28" s="24"/>
      <c r="B28" s="25">
        <v>44797</v>
      </c>
      <c r="C28" s="26">
        <v>0</v>
      </c>
      <c r="D28" s="41"/>
      <c r="E28" s="28">
        <v>44797</v>
      </c>
      <c r="F28" s="29"/>
      <c r="G28" s="2"/>
      <c r="H28" s="30">
        <v>44797</v>
      </c>
      <c r="I28" s="31"/>
      <c r="J28" s="69"/>
      <c r="K28" s="70"/>
      <c r="L28" s="66"/>
      <c r="M28" s="32">
        <v>0</v>
      </c>
      <c r="N28" s="33">
        <v>0</v>
      </c>
      <c r="P28" s="34">
        <f t="shared" si="1"/>
        <v>0</v>
      </c>
      <c r="Q28" s="13">
        <f t="shared" si="2"/>
        <v>0</v>
      </c>
      <c r="R28" s="9">
        <v>0</v>
      </c>
    </row>
    <row r="29" spans="1:18" ht="18" thickBot="1" x14ac:dyDescent="0.35">
      <c r="A29" s="24"/>
      <c r="B29" s="25">
        <v>44798</v>
      </c>
      <c r="C29" s="26">
        <v>0</v>
      </c>
      <c r="D29" s="71"/>
      <c r="E29" s="28">
        <v>44798</v>
      </c>
      <c r="F29" s="29"/>
      <c r="G29" s="2"/>
      <c r="H29" s="30">
        <v>44798</v>
      </c>
      <c r="I29" s="31"/>
      <c r="J29" s="67"/>
      <c r="K29" s="72"/>
      <c r="L29" s="66"/>
      <c r="M29" s="32">
        <v>0</v>
      </c>
      <c r="N29" s="33">
        <v>0</v>
      </c>
      <c r="P29" s="34">
        <f t="shared" si="1"/>
        <v>0</v>
      </c>
      <c r="Q29" s="13">
        <f t="shared" si="2"/>
        <v>0</v>
      </c>
      <c r="R29" s="9">
        <v>0</v>
      </c>
    </row>
    <row r="30" spans="1:18" ht="18" thickBot="1" x14ac:dyDescent="0.35">
      <c r="A30" s="24"/>
      <c r="B30" s="25">
        <v>44799</v>
      </c>
      <c r="C30" s="26">
        <v>0</v>
      </c>
      <c r="D30" s="71"/>
      <c r="E30" s="28">
        <v>44799</v>
      </c>
      <c r="F30" s="29"/>
      <c r="G30" s="2"/>
      <c r="H30" s="30">
        <v>44799</v>
      </c>
      <c r="I30" s="31"/>
      <c r="J30" s="73"/>
      <c r="K30" s="74"/>
      <c r="L30" s="75"/>
      <c r="M30" s="32">
        <v>0</v>
      </c>
      <c r="N30" s="33">
        <v>0</v>
      </c>
      <c r="P30" s="34">
        <f t="shared" si="1"/>
        <v>0</v>
      </c>
      <c r="Q30" s="13">
        <f t="shared" si="2"/>
        <v>0</v>
      </c>
      <c r="R30" s="9">
        <v>0</v>
      </c>
    </row>
    <row r="31" spans="1:18" ht="18" thickBot="1" x14ac:dyDescent="0.35">
      <c r="A31" s="24"/>
      <c r="B31" s="25">
        <v>44800</v>
      </c>
      <c r="C31" s="26">
        <v>0</v>
      </c>
      <c r="D31" s="83"/>
      <c r="E31" s="28">
        <v>44800</v>
      </c>
      <c r="F31" s="29"/>
      <c r="G31" s="2"/>
      <c r="H31" s="30">
        <v>44800</v>
      </c>
      <c r="I31" s="31"/>
      <c r="J31" s="73"/>
      <c r="K31" s="76"/>
      <c r="L31" s="77"/>
      <c r="M31" s="32">
        <v>0</v>
      </c>
      <c r="N31" s="33">
        <v>0</v>
      </c>
      <c r="P31" s="34">
        <f t="shared" si="1"/>
        <v>0</v>
      </c>
      <c r="Q31" s="13">
        <f t="shared" si="2"/>
        <v>0</v>
      </c>
      <c r="R31" s="9">
        <v>0</v>
      </c>
    </row>
    <row r="32" spans="1:18" ht="18" thickBot="1" x14ac:dyDescent="0.35">
      <c r="A32" s="24"/>
      <c r="B32" s="25">
        <v>44801</v>
      </c>
      <c r="C32" s="26">
        <v>0</v>
      </c>
      <c r="D32" s="78"/>
      <c r="E32" s="28">
        <v>44801</v>
      </c>
      <c r="F32" s="29"/>
      <c r="G32" s="2"/>
      <c r="H32" s="30">
        <v>44801</v>
      </c>
      <c r="I32" s="31"/>
      <c r="J32" s="73"/>
      <c r="K32" s="74"/>
      <c r="L32" s="75"/>
      <c r="M32" s="32">
        <v>0</v>
      </c>
      <c r="N32" s="33">
        <v>0</v>
      </c>
      <c r="P32" s="34">
        <f t="shared" si="1"/>
        <v>0</v>
      </c>
      <c r="Q32" s="13">
        <f t="shared" si="2"/>
        <v>0</v>
      </c>
      <c r="R32" s="9">
        <v>0</v>
      </c>
    </row>
    <row r="33" spans="1:18" ht="18" thickBot="1" x14ac:dyDescent="0.35">
      <c r="A33" s="24"/>
      <c r="B33" s="25">
        <v>44802</v>
      </c>
      <c r="C33" s="26">
        <v>0</v>
      </c>
      <c r="D33" s="79"/>
      <c r="E33" s="28">
        <v>44802</v>
      </c>
      <c r="F33" s="29"/>
      <c r="G33" s="2"/>
      <c r="H33" s="30">
        <v>44802</v>
      </c>
      <c r="I33" s="31"/>
      <c r="J33" s="73"/>
      <c r="K33" s="76"/>
      <c r="L33" s="80"/>
      <c r="M33" s="32">
        <v>0</v>
      </c>
      <c r="N33" s="33">
        <v>0</v>
      </c>
      <c r="P33" s="34">
        <f t="shared" si="1"/>
        <v>0</v>
      </c>
      <c r="Q33" s="13">
        <f t="shared" si="2"/>
        <v>0</v>
      </c>
      <c r="R33" s="9">
        <v>0</v>
      </c>
    </row>
    <row r="34" spans="1:18" ht="18" thickBot="1" x14ac:dyDescent="0.35">
      <c r="A34" s="24"/>
      <c r="B34" s="25">
        <v>44803</v>
      </c>
      <c r="C34" s="26">
        <v>0</v>
      </c>
      <c r="D34" s="78"/>
      <c r="E34" s="28">
        <v>44803</v>
      </c>
      <c r="F34" s="29"/>
      <c r="G34" s="2"/>
      <c r="H34" s="30">
        <v>44803</v>
      </c>
      <c r="I34" s="31"/>
      <c r="J34" s="73"/>
      <c r="K34" s="81"/>
      <c r="L34" s="82"/>
      <c r="M34" s="32">
        <v>0</v>
      </c>
      <c r="N34" s="33">
        <v>0</v>
      </c>
      <c r="P34" s="34">
        <v>0</v>
      </c>
      <c r="Q34" s="13">
        <f t="shared" si="2"/>
        <v>0</v>
      </c>
      <c r="R34" s="9">
        <v>0</v>
      </c>
    </row>
    <row r="35" spans="1:18" ht="18" thickBot="1" x14ac:dyDescent="0.35">
      <c r="A35" s="24"/>
      <c r="B35" s="25">
        <v>44804</v>
      </c>
      <c r="C35" s="26">
        <v>0</v>
      </c>
      <c r="D35" s="83"/>
      <c r="E35" s="28">
        <v>44804</v>
      </c>
      <c r="F35" s="29"/>
      <c r="G35" s="2"/>
      <c r="H35" s="30">
        <v>44804</v>
      </c>
      <c r="I35" s="31"/>
      <c r="J35" s="73"/>
      <c r="K35" s="76"/>
      <c r="L35" s="80"/>
      <c r="M35" s="32">
        <v>0</v>
      </c>
      <c r="N35" s="33">
        <v>0</v>
      </c>
      <c r="P35" s="34">
        <v>0</v>
      </c>
      <c r="Q35" s="13">
        <f t="shared" si="2"/>
        <v>0</v>
      </c>
      <c r="R35" s="9"/>
    </row>
    <row r="36" spans="1:18" ht="19.5" thickBot="1" x14ac:dyDescent="0.35">
      <c r="A36" s="24"/>
      <c r="B36" s="25">
        <v>44805</v>
      </c>
      <c r="C36" s="26">
        <v>0</v>
      </c>
      <c r="D36" s="84"/>
      <c r="E36" s="28">
        <v>44805</v>
      </c>
      <c r="F36" s="29"/>
      <c r="G36" s="2"/>
      <c r="H36" s="30">
        <v>44805</v>
      </c>
      <c r="I36" s="31"/>
      <c r="J36" s="299"/>
      <c r="K36" s="301"/>
      <c r="L36" s="80"/>
      <c r="M36" s="32">
        <v>0</v>
      </c>
      <c r="N36" s="33">
        <v>0</v>
      </c>
      <c r="P36" s="34">
        <v>0</v>
      </c>
      <c r="Q36" s="13">
        <f t="shared" si="2"/>
        <v>0</v>
      </c>
      <c r="R36" s="9"/>
    </row>
    <row r="37" spans="1:18" ht="18" thickBot="1" x14ac:dyDescent="0.35">
      <c r="A37" s="24"/>
      <c r="B37" s="25">
        <v>44806</v>
      </c>
      <c r="C37" s="26">
        <v>0</v>
      </c>
      <c r="D37" s="78"/>
      <c r="E37" s="28">
        <v>44806</v>
      </c>
      <c r="F37" s="29"/>
      <c r="G37" s="2"/>
      <c r="H37" s="30">
        <v>44806</v>
      </c>
      <c r="I37" s="31"/>
      <c r="J37" s="73"/>
      <c r="K37" s="300"/>
      <c r="L37" s="80"/>
      <c r="M37" s="32">
        <v>0</v>
      </c>
      <c r="N37" s="33">
        <v>0</v>
      </c>
      <c r="P37" s="34">
        <v>0</v>
      </c>
      <c r="Q37" s="13">
        <f t="shared" si="0"/>
        <v>0</v>
      </c>
    </row>
    <row r="38" spans="1:18" ht="18" hidden="1" thickBot="1" x14ac:dyDescent="0.35">
      <c r="A38" s="24"/>
      <c r="B38" s="25">
        <v>44807</v>
      </c>
      <c r="C38" s="26">
        <v>0</v>
      </c>
      <c r="D38" s="79"/>
      <c r="E38" s="28">
        <v>44807</v>
      </c>
      <c r="F38" s="29"/>
      <c r="G38" s="2"/>
      <c r="H38" s="30">
        <v>44807</v>
      </c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0"/>
        <v>0</v>
      </c>
    </row>
    <row r="39" spans="1:18" ht="18" thickBot="1" x14ac:dyDescent="0.35">
      <c r="A39" s="24"/>
      <c r="B39" s="25">
        <v>44808</v>
      </c>
      <c r="C39" s="26">
        <v>0</v>
      </c>
      <c r="D39" s="79"/>
      <c r="E39" s="28">
        <v>44808</v>
      </c>
      <c r="F39" s="85"/>
      <c r="G39" s="2"/>
      <c r="H39" s="30">
        <v>44808</v>
      </c>
      <c r="I39" s="31"/>
      <c r="J39" s="73"/>
      <c r="K39" s="276"/>
      <c r="L39" s="75"/>
      <c r="M39" s="32">
        <v>0</v>
      </c>
      <c r="N39" s="33">
        <v>0</v>
      </c>
      <c r="P39" s="34">
        <f t="shared" si="1"/>
        <v>0</v>
      </c>
      <c r="Q39" s="13">
        <f t="shared" si="0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4">
        <f>SUM(M5:M39)</f>
        <v>1829201</v>
      </c>
      <c r="N40" s="326">
        <f>SUM(N5:N39)</f>
        <v>46195</v>
      </c>
      <c r="P40" s="34">
        <f t="shared" si="1"/>
        <v>1875396</v>
      </c>
      <c r="Q40" s="294">
        <f>SUM(Q5:Q39)</f>
        <v>-61796</v>
      </c>
      <c r="R40" s="295">
        <f>SUM(R5:R39)</f>
        <v>55374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5"/>
      <c r="N41" s="327"/>
      <c r="P41" s="34"/>
      <c r="Q41" s="9"/>
    </row>
    <row r="42" spans="1:18" ht="17.25" hidden="1" customHeight="1" x14ac:dyDescent="0.3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73055</v>
      </c>
      <c r="D51" s="107"/>
      <c r="E51" s="108" t="s">
        <v>9</v>
      </c>
      <c r="F51" s="109">
        <f>SUM(F5:F50)</f>
        <v>1987311</v>
      </c>
      <c r="G51" s="107"/>
      <c r="H51" s="110" t="s">
        <v>10</v>
      </c>
      <c r="I51" s="111">
        <f>SUM(I5:I50)</f>
        <v>2938</v>
      </c>
      <c r="J51" s="112"/>
      <c r="K51" s="113" t="s">
        <v>11</v>
      </c>
      <c r="L51" s="114">
        <f>SUM(L5:L50)</f>
        <v>29500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32438</v>
      </c>
      <c r="L53" s="331"/>
      <c r="M53" s="332">
        <f>N40+M40</f>
        <v>1875396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1881818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0</v>
      </c>
      <c r="I55" s="336" t="s">
        <v>15</v>
      </c>
      <c r="J55" s="337"/>
      <c r="K55" s="338">
        <f>F57+F58+F59</f>
        <v>1881818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1881818</v>
      </c>
      <c r="H57" s="24"/>
      <c r="I57" s="129" t="s">
        <v>17</v>
      </c>
      <c r="J57" s="130"/>
      <c r="K57" s="340">
        <f>-C4</f>
        <v>-273736.42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317" t="s">
        <v>20</v>
      </c>
      <c r="E59" s="318"/>
      <c r="F59" s="134">
        <v>0</v>
      </c>
      <c r="I59" s="319" t="s">
        <v>325</v>
      </c>
      <c r="J59" s="320"/>
      <c r="K59" s="321">
        <f>K55+K57</f>
        <v>1608081.58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7" workbookViewId="0">
      <selection activeCell="B29" sqref="B29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44774</v>
      </c>
      <c r="B3" s="265" t="s">
        <v>428</v>
      </c>
      <c r="C3" s="266">
        <v>91101.64</v>
      </c>
      <c r="D3" s="312">
        <v>44778</v>
      </c>
      <c r="E3" s="313">
        <v>91101.64</v>
      </c>
      <c r="F3" s="158">
        <f>C3-E3</f>
        <v>0</v>
      </c>
      <c r="J3" s="132"/>
    </row>
    <row r="4" spans="1:10" ht="15.75" x14ac:dyDescent="0.25">
      <c r="A4" s="267">
        <v>44775</v>
      </c>
      <c r="B4" s="268" t="s">
        <v>429</v>
      </c>
      <c r="C4" s="132">
        <v>11743.2</v>
      </c>
      <c r="D4" s="312">
        <v>44778</v>
      </c>
      <c r="E4" s="304">
        <v>11743.2</v>
      </c>
      <c r="F4" s="196">
        <f>C4-E4+F3</f>
        <v>0</v>
      </c>
      <c r="J4" s="266"/>
    </row>
    <row r="5" spans="1:10" s="35" customFormat="1" ht="15.75" x14ac:dyDescent="0.25">
      <c r="A5" s="267">
        <v>44776</v>
      </c>
      <c r="B5" s="268" t="s">
        <v>430</v>
      </c>
      <c r="C5" s="132">
        <v>106066.52</v>
      </c>
      <c r="D5" s="312">
        <v>44778</v>
      </c>
      <c r="E5" s="304">
        <v>106066.52</v>
      </c>
      <c r="F5" s="196">
        <f t="shared" ref="F5:F68" si="0">C5-E5+F4</f>
        <v>0</v>
      </c>
      <c r="J5" s="132"/>
    </row>
    <row r="6" spans="1:10" ht="18.75" x14ac:dyDescent="0.3">
      <c r="A6" s="267">
        <v>44776</v>
      </c>
      <c r="B6" s="268" t="s">
        <v>431</v>
      </c>
      <c r="C6" s="132">
        <v>22321.599999999999</v>
      </c>
      <c r="D6" s="312">
        <v>44778</v>
      </c>
      <c r="E6" s="304">
        <v>22321.599999999999</v>
      </c>
      <c r="F6" s="196">
        <f t="shared" si="0"/>
        <v>0</v>
      </c>
      <c r="G6" s="162"/>
      <c r="J6" s="132"/>
    </row>
    <row r="7" spans="1:10" ht="15.75" x14ac:dyDescent="0.25">
      <c r="A7" s="267">
        <v>44777</v>
      </c>
      <c r="B7" s="268" t="s">
        <v>432</v>
      </c>
      <c r="C7" s="132">
        <v>94909.4</v>
      </c>
      <c r="D7" s="312">
        <v>44778</v>
      </c>
      <c r="E7" s="304">
        <v>94909.4</v>
      </c>
      <c r="F7" s="196">
        <f t="shared" si="0"/>
        <v>0</v>
      </c>
      <c r="J7" s="132"/>
    </row>
    <row r="8" spans="1:10" ht="15.75" x14ac:dyDescent="0.25">
      <c r="A8" s="267">
        <v>44778</v>
      </c>
      <c r="B8" s="268" t="s">
        <v>433</v>
      </c>
      <c r="C8" s="132">
        <v>156187.41</v>
      </c>
      <c r="D8" s="312">
        <v>44778</v>
      </c>
      <c r="E8" s="304">
        <v>156187.41</v>
      </c>
      <c r="F8" s="196">
        <f t="shared" si="0"/>
        <v>0</v>
      </c>
      <c r="J8" s="132"/>
    </row>
    <row r="9" spans="1:10" ht="15.75" x14ac:dyDescent="0.25">
      <c r="A9" s="267">
        <v>44779</v>
      </c>
      <c r="B9" s="268" t="s">
        <v>434</v>
      </c>
      <c r="C9" s="132">
        <v>133227.72</v>
      </c>
      <c r="D9" s="286">
        <v>44785</v>
      </c>
      <c r="E9" s="287">
        <v>133227.72</v>
      </c>
      <c r="F9" s="196">
        <f t="shared" si="0"/>
        <v>0</v>
      </c>
      <c r="J9" s="132"/>
    </row>
    <row r="10" spans="1:10" ht="15.75" x14ac:dyDescent="0.25">
      <c r="A10" s="267">
        <v>44780</v>
      </c>
      <c r="B10" s="268" t="s">
        <v>435</v>
      </c>
      <c r="C10" s="132">
        <v>11673.2</v>
      </c>
      <c r="D10" s="286">
        <v>44785</v>
      </c>
      <c r="E10" s="287">
        <v>11673.2</v>
      </c>
      <c r="F10" s="196">
        <f t="shared" si="0"/>
        <v>0</v>
      </c>
      <c r="J10" s="117">
        <v>0</v>
      </c>
    </row>
    <row r="11" spans="1:10" ht="15.75" x14ac:dyDescent="0.25">
      <c r="A11" s="267">
        <v>44781</v>
      </c>
      <c r="B11" s="268" t="s">
        <v>436</v>
      </c>
      <c r="C11" s="132">
        <v>96756.18</v>
      </c>
      <c r="D11" s="286">
        <v>44785</v>
      </c>
      <c r="E11" s="287">
        <v>96756.18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44781</v>
      </c>
      <c r="B12" s="268" t="s">
        <v>437</v>
      </c>
      <c r="C12" s="132">
        <v>9469.6</v>
      </c>
      <c r="D12" s="286">
        <v>44785</v>
      </c>
      <c r="E12" s="287">
        <v>9469.6</v>
      </c>
      <c r="F12" s="196">
        <f t="shared" si="0"/>
        <v>0</v>
      </c>
      <c r="G12" s="162"/>
    </row>
    <row r="13" spans="1:10" ht="15.75" x14ac:dyDescent="0.25">
      <c r="A13" s="267">
        <v>44782</v>
      </c>
      <c r="B13" s="268" t="s">
        <v>438</v>
      </c>
      <c r="C13" s="132">
        <v>19882.8</v>
      </c>
      <c r="D13" s="286">
        <v>44785</v>
      </c>
      <c r="E13" s="287">
        <v>19882.8</v>
      </c>
      <c r="F13" s="196">
        <f t="shared" si="0"/>
        <v>0</v>
      </c>
    </row>
    <row r="14" spans="1:10" ht="15.75" x14ac:dyDescent="0.25">
      <c r="A14" s="267">
        <v>44783</v>
      </c>
      <c r="B14" s="268" t="s">
        <v>439</v>
      </c>
      <c r="C14" s="132">
        <v>135477.76000000001</v>
      </c>
      <c r="D14" s="286">
        <v>44785</v>
      </c>
      <c r="E14" s="287">
        <v>135477.76000000001</v>
      </c>
      <c r="F14" s="196">
        <f t="shared" si="0"/>
        <v>0</v>
      </c>
    </row>
    <row r="15" spans="1:10" ht="15.75" x14ac:dyDescent="0.25">
      <c r="A15" s="267">
        <v>44783</v>
      </c>
      <c r="B15" s="268" t="s">
        <v>440</v>
      </c>
      <c r="C15" s="132">
        <v>17886.400000000001</v>
      </c>
      <c r="D15" s="286">
        <v>44785</v>
      </c>
      <c r="E15" s="287">
        <v>17886.400000000001</v>
      </c>
      <c r="F15" s="196">
        <f t="shared" si="0"/>
        <v>0</v>
      </c>
    </row>
    <row r="16" spans="1:10" ht="15.75" x14ac:dyDescent="0.25">
      <c r="A16" s="267">
        <v>44784</v>
      </c>
      <c r="B16" s="268" t="s">
        <v>441</v>
      </c>
      <c r="C16" s="132">
        <v>100230.24</v>
      </c>
      <c r="D16" s="286">
        <v>44785</v>
      </c>
      <c r="E16" s="287">
        <v>100230.24</v>
      </c>
      <c r="F16" s="196">
        <f t="shared" si="0"/>
        <v>0</v>
      </c>
    </row>
    <row r="17" spans="1:7" ht="15.75" x14ac:dyDescent="0.25">
      <c r="A17" s="267">
        <v>44785</v>
      </c>
      <c r="B17" s="268" t="s">
        <v>442</v>
      </c>
      <c r="C17" s="132">
        <v>37154</v>
      </c>
      <c r="D17" s="286">
        <v>44785</v>
      </c>
      <c r="E17" s="287">
        <v>37154</v>
      </c>
      <c r="F17" s="196">
        <f t="shared" si="0"/>
        <v>0</v>
      </c>
    </row>
    <row r="18" spans="1:7" ht="15.75" x14ac:dyDescent="0.25">
      <c r="A18" s="267">
        <v>44786</v>
      </c>
      <c r="B18" s="268" t="s">
        <v>443</v>
      </c>
      <c r="C18" s="132">
        <v>160037.66</v>
      </c>
      <c r="D18" s="314">
        <v>44792</v>
      </c>
      <c r="E18" s="284">
        <v>160037.66</v>
      </c>
      <c r="F18" s="196">
        <f t="shared" si="0"/>
        <v>0</v>
      </c>
    </row>
    <row r="19" spans="1:7" ht="15.75" x14ac:dyDescent="0.25">
      <c r="A19" s="267">
        <v>44788</v>
      </c>
      <c r="B19" s="268" t="s">
        <v>444</v>
      </c>
      <c r="C19" s="132">
        <v>76183.64</v>
      </c>
      <c r="D19" s="314">
        <v>44792</v>
      </c>
      <c r="E19" s="284">
        <v>76183.64</v>
      </c>
      <c r="F19" s="196">
        <f t="shared" si="0"/>
        <v>0</v>
      </c>
    </row>
    <row r="20" spans="1:7" ht="15.75" x14ac:dyDescent="0.25">
      <c r="A20" s="267">
        <v>44788</v>
      </c>
      <c r="B20" s="268" t="s">
        <v>445</v>
      </c>
      <c r="C20" s="132">
        <v>9526.5</v>
      </c>
      <c r="D20" s="314">
        <v>44792</v>
      </c>
      <c r="E20" s="284">
        <v>9526.5</v>
      </c>
      <c r="F20" s="196">
        <f t="shared" si="0"/>
        <v>0</v>
      </c>
    </row>
    <row r="21" spans="1:7" ht="15.75" x14ac:dyDescent="0.25">
      <c r="A21" s="267">
        <v>44789</v>
      </c>
      <c r="B21" s="268" t="s">
        <v>446</v>
      </c>
      <c r="C21" s="132">
        <v>81325.56</v>
      </c>
      <c r="D21" s="314">
        <v>44792</v>
      </c>
      <c r="E21" s="284">
        <v>81325.56</v>
      </c>
      <c r="F21" s="196">
        <f t="shared" si="0"/>
        <v>0</v>
      </c>
    </row>
    <row r="22" spans="1:7" ht="15.75" x14ac:dyDescent="0.25">
      <c r="A22" s="267">
        <v>44790</v>
      </c>
      <c r="B22" s="268" t="s">
        <v>447</v>
      </c>
      <c r="C22" s="132">
        <v>17944.2</v>
      </c>
      <c r="D22" s="314">
        <v>44792</v>
      </c>
      <c r="E22" s="284">
        <v>17944.2</v>
      </c>
      <c r="F22" s="196">
        <f t="shared" si="0"/>
        <v>0</v>
      </c>
    </row>
    <row r="23" spans="1:7" ht="15.75" x14ac:dyDescent="0.25">
      <c r="A23" s="267">
        <v>44791</v>
      </c>
      <c r="B23" s="268" t="s">
        <v>448</v>
      </c>
      <c r="C23" s="132">
        <v>139269.35999999999</v>
      </c>
      <c r="D23" s="314">
        <v>44792</v>
      </c>
      <c r="E23" s="284">
        <v>139269.35999999999</v>
      </c>
      <c r="F23" s="196">
        <f t="shared" si="0"/>
        <v>0</v>
      </c>
    </row>
    <row r="24" spans="1:7" ht="18.75" x14ac:dyDescent="0.3">
      <c r="A24" s="267">
        <v>44792</v>
      </c>
      <c r="B24" s="268" t="s">
        <v>449</v>
      </c>
      <c r="C24" s="132">
        <v>152813.51999999999</v>
      </c>
      <c r="D24" s="314">
        <v>44792</v>
      </c>
      <c r="E24" s="284">
        <v>152813.51999999999</v>
      </c>
      <c r="F24" s="196">
        <f t="shared" si="0"/>
        <v>0</v>
      </c>
      <c r="G24" s="162"/>
    </row>
    <row r="25" spans="1:7" ht="15.75" x14ac:dyDescent="0.25">
      <c r="A25" s="267">
        <v>44792</v>
      </c>
      <c r="B25" s="268" t="s">
        <v>450</v>
      </c>
      <c r="C25" s="132">
        <v>1251.8</v>
      </c>
      <c r="D25" s="314">
        <v>44792</v>
      </c>
      <c r="E25" s="284">
        <v>1251.8</v>
      </c>
      <c r="F25" s="196">
        <f t="shared" si="0"/>
        <v>0</v>
      </c>
    </row>
    <row r="26" spans="1:7" ht="15.75" x14ac:dyDescent="0.25">
      <c r="A26" s="267">
        <v>44793</v>
      </c>
      <c r="B26" s="268" t="s">
        <v>451</v>
      </c>
      <c r="C26" s="132">
        <v>135851.88</v>
      </c>
      <c r="D26" s="269"/>
      <c r="E26" s="132"/>
      <c r="F26" s="196">
        <f t="shared" si="0"/>
        <v>135851.88</v>
      </c>
    </row>
    <row r="27" spans="1:7" ht="18.75" customHeight="1" x14ac:dyDescent="0.25">
      <c r="A27" s="267">
        <v>44795</v>
      </c>
      <c r="B27" s="268" t="s">
        <v>452</v>
      </c>
      <c r="C27" s="132">
        <v>68026.320000000007</v>
      </c>
      <c r="D27" s="269"/>
      <c r="E27" s="132"/>
      <c r="F27" s="196">
        <f t="shared" si="0"/>
        <v>203878.2</v>
      </c>
    </row>
    <row r="28" spans="1:7" ht="18.75" customHeight="1" x14ac:dyDescent="0.25">
      <c r="A28" s="267">
        <v>44795</v>
      </c>
      <c r="B28" s="268" t="s">
        <v>453</v>
      </c>
      <c r="C28" s="132">
        <v>1920</v>
      </c>
      <c r="D28" s="269"/>
      <c r="E28" s="132"/>
      <c r="F28" s="196">
        <f t="shared" si="0"/>
        <v>205798.2</v>
      </c>
    </row>
    <row r="29" spans="1:7" ht="18.75" customHeight="1" x14ac:dyDescent="0.25">
      <c r="A29" s="267"/>
      <c r="B29" s="268"/>
      <c r="C29" s="132"/>
      <c r="D29" s="269"/>
      <c r="E29" s="132"/>
      <c r="F29" s="196">
        <f t="shared" si="0"/>
        <v>205798.2</v>
      </c>
    </row>
    <row r="30" spans="1:7" ht="18.75" customHeight="1" x14ac:dyDescent="0.25">
      <c r="A30" s="267"/>
      <c r="B30" s="268"/>
      <c r="C30" s="132"/>
      <c r="D30" s="267"/>
      <c r="E30" s="132"/>
      <c r="F30" s="196">
        <f t="shared" si="0"/>
        <v>205798.2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205798.2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205798.2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205798.2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205798.2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205798.2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205798.2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205798.2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205798.2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205798.2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205798.2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205798.2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205798.2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205798.2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205798.2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205798.2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205798.2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205798.2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205798.2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205798.2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205798.2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205798.2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205798.2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205798.2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205798.2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205798.2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205798.2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205798.2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205798.2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205798.2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205798.2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205798.2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205798.2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205798.2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205798.2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205798.2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205798.2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205798.2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205798.2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205798.2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205798.2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205798.2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205798.2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205798.2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205798.2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205798.2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205798.2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205798.2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205798.2</v>
      </c>
    </row>
    <row r="79" spans="1:6" ht="19.5" thickBot="1" x14ac:dyDescent="0.35">
      <c r="A79" s="212"/>
      <c r="B79" s="232"/>
      <c r="C79" s="250">
        <f>SUM(C3:C78)</f>
        <v>1888238.11</v>
      </c>
      <c r="D79" s="189"/>
      <c r="E79" s="178">
        <f>SUM(E3:E78)</f>
        <v>1682439.91</v>
      </c>
      <c r="F79" s="179">
        <f>F78</f>
        <v>205798.2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42"/>
      <c r="C1" s="344" t="s">
        <v>125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53">
        <f>SUM(M5:M39)</f>
        <v>1636108</v>
      </c>
      <c r="N40" s="326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25"/>
      <c r="N41" s="32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45634.280000000006</v>
      </c>
      <c r="L53" s="331"/>
      <c r="M53" s="332">
        <f>N40+M40</f>
        <v>1691783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-1631962.77</v>
      </c>
      <c r="I55" s="336" t="s">
        <v>15</v>
      </c>
      <c r="J55" s="337"/>
      <c r="K55" s="338">
        <f>F57+F58+F59</f>
        <v>238822.13999999996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40">
        <f>-C4</f>
        <v>-154314.51999999999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17" t="s">
        <v>20</v>
      </c>
      <c r="E59" s="318"/>
      <c r="F59" s="134">
        <v>184342.19</v>
      </c>
      <c r="I59" s="319" t="s">
        <v>168</v>
      </c>
      <c r="J59" s="320"/>
      <c r="K59" s="321">
        <f>K55+K57</f>
        <v>84507.619999999966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42"/>
      <c r="C1" s="344" t="s">
        <v>135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24">
        <f>SUM(M5:M39)</f>
        <v>1793435</v>
      </c>
      <c r="N40" s="326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25"/>
      <c r="N41" s="327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28" t="s">
        <v>12</v>
      </c>
      <c r="I49" s="329"/>
      <c r="J49" s="119"/>
      <c r="K49" s="330">
        <f>I47+L47</f>
        <v>90434.03</v>
      </c>
      <c r="L49" s="331"/>
      <c r="M49" s="332">
        <f>N40+M40</f>
        <v>1857430</v>
      </c>
      <c r="N49" s="333"/>
      <c r="P49" s="34"/>
      <c r="Q49" s="9"/>
    </row>
    <row r="50" spans="1:17" ht="15.75" x14ac:dyDescent="0.25">
      <c r="D50" s="334" t="s">
        <v>13</v>
      </c>
      <c r="E50" s="334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35" t="s">
        <v>14</v>
      </c>
      <c r="E51" s="335"/>
      <c r="F51" s="115">
        <v>-1848136.64</v>
      </c>
      <c r="I51" s="336" t="s">
        <v>15</v>
      </c>
      <c r="J51" s="337"/>
      <c r="K51" s="338">
        <f>F53+F54+F55</f>
        <v>195541.70000000007</v>
      </c>
      <c r="L51" s="339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40">
        <f>-C4</f>
        <v>-184342.19</v>
      </c>
      <c r="L53" s="341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17" t="s">
        <v>20</v>
      </c>
      <c r="E55" s="318"/>
      <c r="F55" s="134">
        <v>219417.37</v>
      </c>
      <c r="I55" s="319" t="s">
        <v>226</v>
      </c>
      <c r="J55" s="320"/>
      <c r="K55" s="321">
        <f>K51+K53</f>
        <v>11199.510000000068</v>
      </c>
      <c r="L55" s="321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42"/>
      <c r="C1" s="344" t="s">
        <v>225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24">
        <f>SUM(M5:M39)</f>
        <v>2146671</v>
      </c>
      <c r="N40" s="326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25"/>
      <c r="N41" s="327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91272.77</v>
      </c>
      <c r="L53" s="331"/>
      <c r="M53" s="332">
        <f>N40+M40</f>
        <v>2215261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-2227493.48</v>
      </c>
      <c r="I55" s="336" t="s">
        <v>15</v>
      </c>
      <c r="J55" s="337"/>
      <c r="K55" s="338">
        <f>F57+F58+F59</f>
        <v>261521.34000000003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40">
        <f>-C4</f>
        <v>-219417.37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17" t="s">
        <v>20</v>
      </c>
      <c r="E59" s="318"/>
      <c r="F59" s="134">
        <v>297874.59000000003</v>
      </c>
      <c r="I59" s="319" t="s">
        <v>168</v>
      </c>
      <c r="J59" s="320"/>
      <c r="K59" s="321">
        <f>K55+K57</f>
        <v>42103.97000000003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42"/>
      <c r="C1" s="344" t="s">
        <v>277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4">
        <f>SUM(M5:M39)</f>
        <v>2144215</v>
      </c>
      <c r="N40" s="326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5"/>
      <c r="N41" s="327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51231.42</v>
      </c>
      <c r="L53" s="331"/>
      <c r="M53" s="332">
        <f>N40+M40</f>
        <v>2206740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-2251924.65</v>
      </c>
      <c r="I55" s="336" t="s">
        <v>15</v>
      </c>
      <c r="J55" s="337"/>
      <c r="K55" s="338">
        <f>F57+F58+F59</f>
        <v>112552.74000000017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40">
        <f>-C4</f>
        <v>-297874.59000000003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17" t="s">
        <v>20</v>
      </c>
      <c r="E59" s="318"/>
      <c r="F59" s="134">
        <v>149938.81</v>
      </c>
      <c r="I59" s="319" t="s">
        <v>325</v>
      </c>
      <c r="J59" s="320"/>
      <c r="K59" s="321">
        <f>K55+K57</f>
        <v>-185321.84999999986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2022-09-03T20:52:07Z</dcterms:modified>
</cp:coreProperties>
</file>