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0" yWindow="0" windowWidth="21135" windowHeight="11715" firstSheet="14" activeTab="16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    S E P T I E M B R E    2023" sheetId="18" r:id="rId17"/>
    <sheet name="COMPRAS SEPTIEMBRE 2023" sheetId="19" r:id="rId18"/>
    <sheet name="Hoja3" sheetId="20" r:id="rId19"/>
    <sheet name="Hoja4" sheetId="21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8" l="1"/>
  <c r="M10" i="18"/>
  <c r="M9" i="18"/>
  <c r="Q8" i="18" l="1"/>
  <c r="M8" i="18"/>
  <c r="Q6" i="18"/>
  <c r="Q5" i="18"/>
  <c r="Q7" i="18"/>
  <c r="M7" i="18"/>
  <c r="L40" i="16" l="1"/>
  <c r="C40" i="16"/>
  <c r="C39" i="16"/>
  <c r="C38" i="16"/>
  <c r="Q12" i="18"/>
  <c r="Q13" i="18"/>
  <c r="Q14" i="18"/>
  <c r="Q15" i="18"/>
  <c r="Q16" i="18"/>
  <c r="M5" i="18" l="1"/>
  <c r="F69" i="19" l="1"/>
  <c r="D69" i="19"/>
  <c r="G68" i="19"/>
  <c r="G67" i="19"/>
  <c r="G66" i="19"/>
  <c r="N65" i="19"/>
  <c r="M65" i="19"/>
  <c r="K65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N3" i="19"/>
  <c r="N4" i="19" s="1"/>
  <c r="N5" i="19" s="1"/>
  <c r="N6" i="19" s="1"/>
  <c r="N7" i="19" s="1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G3" i="19"/>
  <c r="Q28" i="18"/>
  <c r="Q29" i="18"/>
  <c r="Q30" i="18"/>
  <c r="Q31" i="18"/>
  <c r="Q32" i="18"/>
  <c r="Q33" i="18"/>
  <c r="Q34" i="18"/>
  <c r="Q42" i="18"/>
  <c r="Q43" i="18"/>
  <c r="K85" i="18"/>
  <c r="I79" i="18"/>
  <c r="F79" i="18"/>
  <c r="C79" i="18"/>
  <c r="R50" i="18"/>
  <c r="N49" i="18"/>
  <c r="Q47" i="18"/>
  <c r="Q46" i="18"/>
  <c r="Q45" i="18"/>
  <c r="Q44" i="18"/>
  <c r="Q41" i="18"/>
  <c r="Q40" i="18"/>
  <c r="Q39" i="18"/>
  <c r="Q38" i="18"/>
  <c r="Q37" i="18"/>
  <c r="Q36" i="18"/>
  <c r="Q35" i="18"/>
  <c r="P33" i="18"/>
  <c r="P32" i="18"/>
  <c r="P31" i="18"/>
  <c r="P30" i="18"/>
  <c r="P29" i="18"/>
  <c r="P28" i="18"/>
  <c r="P27" i="18"/>
  <c r="Q27" i="18" s="1"/>
  <c r="P26" i="18"/>
  <c r="Q26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Q19" i="18" s="1"/>
  <c r="P18" i="18"/>
  <c r="Q18" i="18" s="1"/>
  <c r="P17" i="18"/>
  <c r="Q17" i="18" s="1"/>
  <c r="P16" i="18"/>
  <c r="P15" i="18"/>
  <c r="P14" i="18"/>
  <c r="P13" i="18"/>
  <c r="P12" i="18"/>
  <c r="P11" i="18"/>
  <c r="Q11" i="18" s="1"/>
  <c r="P10" i="18"/>
  <c r="Q10" i="18" s="1"/>
  <c r="P9" i="18"/>
  <c r="Q9" i="18" s="1"/>
  <c r="P8" i="18"/>
  <c r="P7" i="18"/>
  <c r="P6" i="18"/>
  <c r="P5" i="18"/>
  <c r="L79" i="18"/>
  <c r="G69" i="19" l="1"/>
  <c r="Q49" i="18"/>
  <c r="K81" i="18"/>
  <c r="F82" i="18" s="1"/>
  <c r="F85" i="18" s="1"/>
  <c r="K83" i="18" s="1"/>
  <c r="K87" i="18" s="1"/>
  <c r="P49" i="18"/>
  <c r="M49" i="18"/>
  <c r="M53" i="18" s="1"/>
  <c r="C79" i="16"/>
  <c r="F69" i="17" l="1"/>
  <c r="D69" i="17"/>
  <c r="G64" i="17"/>
  <c r="G65" i="17"/>
  <c r="G66" i="17"/>
  <c r="G67" i="17"/>
  <c r="G68" i="17"/>
  <c r="P40" i="16" l="1"/>
  <c r="Q40" i="16" s="1"/>
  <c r="P41" i="16"/>
  <c r="Q41" i="16" s="1"/>
  <c r="M40" i="16"/>
  <c r="M39" i="16" l="1"/>
  <c r="M37" i="16" l="1"/>
  <c r="P37" i="16" s="1"/>
  <c r="P36" i="16"/>
  <c r="P38" i="16"/>
  <c r="P39" i="16"/>
  <c r="M36" i="16"/>
  <c r="M35" i="16"/>
  <c r="P34" i="16" l="1"/>
  <c r="P35" i="16"/>
  <c r="M28" i="16"/>
  <c r="M30" i="16" l="1"/>
  <c r="M27" i="16" l="1"/>
  <c r="M26" i="16"/>
  <c r="M25" i="16" l="1"/>
  <c r="M24" i="16"/>
  <c r="M23" i="16"/>
  <c r="M22" i="16"/>
  <c r="M21" i="16"/>
  <c r="M20" i="16"/>
  <c r="M19" i="16" l="1"/>
  <c r="M17" i="16"/>
  <c r="M16" i="16" l="1"/>
  <c r="M15" i="16"/>
  <c r="M14" i="16"/>
  <c r="M11" i="16" l="1"/>
  <c r="M9" i="16"/>
  <c r="M8" i="16" l="1"/>
  <c r="M7" i="16"/>
  <c r="Q34" i="16"/>
  <c r="Q35" i="16"/>
  <c r="Q36" i="16"/>
  <c r="Q37" i="16"/>
  <c r="Q38" i="16"/>
  <c r="Q39" i="16"/>
  <c r="M5" i="16"/>
  <c r="L5" i="16"/>
  <c r="N65" i="17" l="1"/>
  <c r="M65" i="17"/>
  <c r="K65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N3" i="17"/>
  <c r="N4" i="17" s="1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G3" i="17"/>
  <c r="K85" i="16"/>
  <c r="I79" i="16"/>
  <c r="F79" i="16"/>
  <c r="R50" i="16"/>
  <c r="N49" i="16"/>
  <c r="Q47" i="16"/>
  <c r="Q46" i="16"/>
  <c r="Q45" i="16"/>
  <c r="Q44" i="16"/>
  <c r="Q43" i="16"/>
  <c r="Q42" i="16"/>
  <c r="P33" i="16"/>
  <c r="Q33" i="16" s="1"/>
  <c r="P32" i="16"/>
  <c r="Q32" i="16" s="1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Q26" i="16" s="1"/>
  <c r="L79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G69" i="17" l="1"/>
  <c r="M53" i="16"/>
  <c r="K81" i="16"/>
  <c r="F82" i="16" s="1"/>
  <c r="F85" i="16" s="1"/>
  <c r="P5" i="16"/>
  <c r="M30" i="13"/>
  <c r="M29" i="13"/>
  <c r="K83" i="16" l="1"/>
  <c r="K87" i="16" s="1"/>
  <c r="P49" i="16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<sst xmlns="http://schemas.openxmlformats.org/spreadsheetml/2006/main" count="2028" uniqueCount="1117">
  <si>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</si>
  <si>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</si>
  <si>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</si>
  <si>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</si>
  <si>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</si>
  <si>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</si>
  <si>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</si>
  <si>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</si>
  <si>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</si>
  <si>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</si>
  <si>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</si>
  <si>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</si>
  <si>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</si>
  <si>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</si>
  <si>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</si>
  <si>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</si>
  <si>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</si>
  <si>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</si>
  <si>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</si>
  <si>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</si>
  <si>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</si>
  <si>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</si>
  <si>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</si>
  <si>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</si>
  <si>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</si>
  <si>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</si>
  <si>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</si>
  <si>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</si>
  <si>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</si>
  <si>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</si>
  <si>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</si>
  <si>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</si>
  <si>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</si>
  <si>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</si>
  <si>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</si>
  <si>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</si>
  <si>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</si>
  <si>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</si>
  <si>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</si>
  <si>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</si>
  <si>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</si>
  <si>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</si>
  <si>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</si>
  <si>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</si>
  <si>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</si>
  <si>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</si>
  <si>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</si>
  <si>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</si>
  <si>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</si>
  <si>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</si>
  <si>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</si>
  <si>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</si>
  <si>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</si>
  <si>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</si>
  <si>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</si>
  <si>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</si>
  <si>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</si>
  <si>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</si>
  <si>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</si>
  <si>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</si>
  <si>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</si>
  <si>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</si>
  <si>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</si>
  <si>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</si>
  <si>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</si>
  <si>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</si>
  <si>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</si>
  <si>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</si>
  <si>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</si>
  <si>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</si>
  <si>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</si>
  <si>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</si>
  <si>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</si>
  <si>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</si>
  <si>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</si>
  <si>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</si>
  <si>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</si>
  <si>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</si>
  <si>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</si>
  <si>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</si>
  <si>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</si>
  <si>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</si>
  <si>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</si>
  <si>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</si>
  <si>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</si>
  <si>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</si>
  <si>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</si>
  <si>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</si>
  <si>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</si>
  <si>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</si>
  <si>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</si>
  <si>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</si>
  <si>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</si>
  <si>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</si>
  <si>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</si>
  <si>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</si>
  <si>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</si>
  <si>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</si>
  <si>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</si>
  <si>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</si>
  <si>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</si>
  <si>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</si>
  <si>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</si>
  <si>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</si>
  <si>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</si>
  <si>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</si>
  <si>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</si>
  <si>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</si>
  <si>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</si>
  <si>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</si>
  <si>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</si>
  <si>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</si>
  <si>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</si>
  <si>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</si>
  <si>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</si>
  <si>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</si>
  <si>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</si>
  <si>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</si>
  <si>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</si>
  <si>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</si>
  <si>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</si>
  <si>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</si>
  <si>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</si>
  <si>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</si>
  <si>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</si>
  <si>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</si>
  <si>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</si>
  <si>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</si>
  <si>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</si>
  <si>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</si>
  <si>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</si>
  <si>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</si>
  <si>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</si>
  <si>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</si>
  <si>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</si>
  <si>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</si>
  <si>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</si>
  <si>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</si>
  <si>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</si>
  <si>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</si>
  <si>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</si>
  <si>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</si>
  <si>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</si>
  <si>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</si>
  <si>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</si>
  <si>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</si>
  <si>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</si>
  <si>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</si>
  <si>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</si>
  <si>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</si>
  <si>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</si>
  <si>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</si>
  <si>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</si>
  <si>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</si>
  <si>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</si>
  <si>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</si>
  <si>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</si>
  <si>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</si>
  <si>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</si>
  <si>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</si>
  <si>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</si>
  <si>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</si>
  <si>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</si>
  <si>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</si>
  <si>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</si>
  <si>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</si>
  <si>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</si>
  <si>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</si>
  <si>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</si>
  <si>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</si>
  <si>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</si>
  <si>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</si>
  <si>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</si>
  <si>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</si>
  <si>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</si>
  <si>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</si>
  <si>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</si>
  <si>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</si>
  <si>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</si>
  <si>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</si>
  <si>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</si>
  <si>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</si>
  <si>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</si>
  <si>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</si>
  <si>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</si>
  <si>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</si>
  <si>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</si>
  <si>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</si>
  <si>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</si>
  <si>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</si>
  <si>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</si>
  <si>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</si>
  <si>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</si>
  <si>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</si>
  <si>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</si>
  <si>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</si>
  <si>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</si>
  <si>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</si>
  <si>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</si>
  <si>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</si>
  <si>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</si>
  <si>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</si>
  <si>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</si>
  <si>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</si>
  <si>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</si>
  <si>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</si>
  <si>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</si>
  <si>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</si>
  <si>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</si>
  <si>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</si>
  <si>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</si>
  <si>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</si>
  <si>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</si>
  <si>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</si>
  <si>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</si>
  <si>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</si>
  <si>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</si>
  <si>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</si>
  <si>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</si>
  <si>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</si>
  <si>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</si>
  <si>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</si>
  <si>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</si>
  <si>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</si>
  <si>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</si>
  <si>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</si>
  <si>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</si>
  <si>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</si>
  <si>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</si>
  <si>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</si>
  <si>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</si>
  <si>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</si>
  <si>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</si>
  <si>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</si>
  <si>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</si>
  <si>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</si>
  <si>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</si>
  <si>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</si>
  <si>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</si>
  <si>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</si>
  <si>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</si>
  <si>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</si>
  <si>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</si>
  <si>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</si>
  <si>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</si>
  <si>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</si>
  <si>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</si>
  <si>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</si>
  <si>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</si>
  <si>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</si>
  <si>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</si>
  <si>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</si>
  <si>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</si>
  <si>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</si>
  <si>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</si>
  <si>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</si>
  <si>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</si>
  <si>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</si>
  <si>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</si>
  <si>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</si>
  <si>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</si>
  <si>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</si>
  <si>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</si>
  <si>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</si>
  <si>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</si>
  <si>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</si>
  <si>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</si>
  <si>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</si>
  <si>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</si>
  <si>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</si>
  <si>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</si>
  <si>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</si>
  <si>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</si>
  <si>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</si>
  <si>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</si>
  <si>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</si>
  <si>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</si>
  <si>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</si>
  <si>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</si>
  <si>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</si>
  <si>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</si>
  <si>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</si>
  <si>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</si>
  <si>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</si>
  <si>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</si>
  <si>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</si>
  <si>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</si>
  <si>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</si>
  <si>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</si>
  <si>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</si>
  <si>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</si>
  <si>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</si>
  <si>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</si>
  <si>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</si>
  <si>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</si>
  <si>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</si>
  <si>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</si>
  <si>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</si>
  <si>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</si>
  <si>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</si>
  <si>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</si>
  <si>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</si>
  <si>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</si>
  <si>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</si>
  <si>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</si>
  <si>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</si>
  <si>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</si>
  <si>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</si>
  <si>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</si>
  <si>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</si>
  <si>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</si>
  <si>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</si>
  <si>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</si>
  <si>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</si>
  <si>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</si>
  <si>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</si>
  <si>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</si>
  <si>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</si>
  <si>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</si>
  <si>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</si>
  <si>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</si>
  <si>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</si>
  <si>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</si>
  <si>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</si>
  <si>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</si>
  <si>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</si>
  <si>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</si>
  <si>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</si>
  <si>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</si>
  <si>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</si>
  <si>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</si>
  <si>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</si>
  <si>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</si>
  <si>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</si>
  <si>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</si>
  <si>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</si>
  <si>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</si>
  <si>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</si>
  <si>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</si>
  <si>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</si>
  <si>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</si>
  <si>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</si>
  <si>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</si>
  <si>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</si>
  <si>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</si>
  <si>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</si>
  <si>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</si>
  <si>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</si>
  <si>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</si>
  <si>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</si>
  <si>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</si>
  <si>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</si>
  <si>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</si>
  <si>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</si>
  <si>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</si>
  <si>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</si>
  <si>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</si>
  <si>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</si>
  <si>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</si>
  <si>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</si>
  <si>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</si>
  <si>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</si>
  <si>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</si>
  <si>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</si>
  <si>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</si>
  <si>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</si>
  <si>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</si>
  <si>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</si>
  <si>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</si>
  <si>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</si>
  <si>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</si>
  <si>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</si>
  <si>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</si>
  <si>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</si>
  <si>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</si>
  <si>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</si>
  <si>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</si>
  <si>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</si>
  <si>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</si>
  <si>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</si>
  <si>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</si>
  <si>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</si>
  <si>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</si>
  <si>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</si>
  <si>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</si>
  <si>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</si>
  <si>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</si>
  <si>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</si>
  <si>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</si>
  <si>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</si>
  <si>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</si>
  <si>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</si>
  <si>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</si>
  <si>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</si>
  <si>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</si>
  <si>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</si>
  <si>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</si>
  <si>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</si>
  <si>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</si>
  <si>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</si>
  <si>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</si>
  <si>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</si>
  <si>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</si>
  <si>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</si>
  <si>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</si>
  <si>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</si>
  <si>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</si>
  <si>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</si>
  <si>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</si>
  <si>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</si>
  <si>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</si>
  <si>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</si>
  <si>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</si>
  <si>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</si>
  <si>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</si>
  <si>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</si>
  <si>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</si>
  <si>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</si>
  <si>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</si>
  <si>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</si>
  <si>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</si>
  <si>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</si>
  <si>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</si>
  <si>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</si>
  <si>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</si>
  <si>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</si>
  <si>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</si>
  <si>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</si>
  <si>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</si>
  <si>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</si>
  <si>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</si>
  <si>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</si>
  <si>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</si>
  <si>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</si>
  <si>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</si>
  <si>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</si>
  <si>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</si>
  <si>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</si>
  <si>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</si>
  <si>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</si>
  <si>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</si>
  <si>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</si>
  <si>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</si>
  <si>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</si>
  <si>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</si>
  <si>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</si>
  <si>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</si>
  <si>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</si>
  <si>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</si>
  <si>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</si>
  <si>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</si>
  <si>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</si>
  <si>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</si>
  <si>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</si>
  <si>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</si>
  <si>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</si>
  <si>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</si>
  <si>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</si>
  <si>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</si>
  <si>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</si>
  <si>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</si>
  <si>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</si>
  <si>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</si>
  <si>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</si>
  <si>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</si>
  <si>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</si>
  <si>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</si>
  <si>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</si>
  <si>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</si>
  <si>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</si>
  <si>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</si>
  <si>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</si>
  <si>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</si>
  <si>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</si>
  <si>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</si>
  <si>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</si>
  <si>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</si>
  <si>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</si>
  <si>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</si>
  <si>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</si>
  <si>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</si>
  <si>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</si>
  <si>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</si>
  <si>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</si>
  <si>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</si>
  <si>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</si>
  <si>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</si>
  <si>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</si>
  <si>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</si>
  <si>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</si>
  <si>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</si>
  <si>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</si>
  <si>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</si>
  <si>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</si>
  <si>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</si>
  <si>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</si>
  <si>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</si>
  <si>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</si>
  <si>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</si>
  <si>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</si>
  <si>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</si>
  <si>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</si>
  <si>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</si>
  <si>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</si>
  <si>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</si>
  <si>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</si>
  <si>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</si>
  <si>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</si>
  <si>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</si>
  <si>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</si>
  <si>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</si>
  <si>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</si>
  <si>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</si>
  <si>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</si>
  <si>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</si>
  <si>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</si>
  <si>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</si>
  <si>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</si>
  <si>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</si>
  <si>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</si>
  <si>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</si>
  <si>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</si>
  <si>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</si>
  <si>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</si>
  <si>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</si>
  <si>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</si>
  <si>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</si>
  <si>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</si>
  <si>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</si>
  <si>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</si>
  <si>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</si>
  <si>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</si>
  <si>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</si>
  <si>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</si>
  <si>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</si>
  <si>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</si>
  <si>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</si>
  <si>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</si>
  <si>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</si>
  <si>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</si>
  <si>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</si>
  <si>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</si>
  <si>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</si>
  <si>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</si>
  <si>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</si>
  <si>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</si>
  <si>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</si>
  <si>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</si>
  <si>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</si>
  <si>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</si>
  <si>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</si>
  <si>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</si>
  <si>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</si>
  <si>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</si>
  <si>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</si>
  <si>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</si>
  <si>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</si>
  <si>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</si>
  <si>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</si>
  <si>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</si>
  <si>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</si>
  <si>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</si>
  <si>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</si>
  <si>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</si>
  <si>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</si>
  <si>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</si>
  <si>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</si>
  <si>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</si>
  <si>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</si>
  <si>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</si>
  <si>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</si>
  <si>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</si>
  <si>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</si>
  <si>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</si>
  <si>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</si>
  <si>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</si>
  <si>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</si>
  <si>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</si>
  <si>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</si>
  <si>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</si>
  <si>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</si>
  <si>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</si>
  <si>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</si>
  <si>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</si>
  <si>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</si>
  <si>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</si>
  <si>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</si>
  <si>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</si>
  <si>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</si>
  <si>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</si>
  <si>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</si>
  <si>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</si>
  <si>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</si>
  <si>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</si>
  <si>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</si>
  <si>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</si>
  <si>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</si>
  <si>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</si>
  <si>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</si>
  <si>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</si>
  <si>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</si>
  <si>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</si>
  <si>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</si>
  <si>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</si>
  <si>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</si>
  <si>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</si>
  <si>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</si>
  <si>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</si>
  <si>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</si>
  <si>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</si>
  <si>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</si>
  <si>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</si>
  <si>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</si>
  <si>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</si>
  <si>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</si>
  <si>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</si>
  <si>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</si>
  <si>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</si>
  <si>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</si>
  <si>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</si>
  <si>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</si>
  <si>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</si>
  <si>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</si>
  <si>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</si>
  <si>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</si>
  <si>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</si>
  <si>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</si>
  <si>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</si>
  <si>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</si>
  <si>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</si>
  <si>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</si>
  <si>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</si>
  <si>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</si>
  <si>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</si>
  <si>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</si>
  <si>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</si>
  <si>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</si>
  <si>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</si>
  <si>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</si>
  <si>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</si>
  <si>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</si>
  <si>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</si>
  <si>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</si>
  <si>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</si>
  <si>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</si>
  <si>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</si>
  <si>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</si>
  <si>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</si>
  <si>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</si>
  <si>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</si>
  <si>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</si>
  <si>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</si>
  <si>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</si>
  <si>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</si>
  <si>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</si>
  <si>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</si>
  <si>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</si>
  <si>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</si>
  <si>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</si>
  <si>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</si>
  <si>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</si>
  <si>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</si>
  <si>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</si>
  <si>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</si>
  <si>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</si>
  <si>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</si>
  <si>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</si>
  <si>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</si>
  <si>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</si>
  <si>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</si>
  <si>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</si>
  <si>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</si>
  <si>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</si>
  <si>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</si>
  <si>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</si>
  <si>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</si>
  <si>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</si>
  <si>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</si>
  <si>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</si>
  <si>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</si>
  <si>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</si>
  <si>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</si>
  <si>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</si>
  <si>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</si>
  <si>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</si>
  <si>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</si>
  <si>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</si>
  <si>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</si>
  <si>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</si>
  <si>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</si>
  <si>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</si>
  <si>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</si>
  <si>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</si>
  <si>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</si>
  <si>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</si>
  <si>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</si>
  <si>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</si>
  <si>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</si>
  <si>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</si>
  <si>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</si>
  <si>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</si>
  <si>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</si>
  <si>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</si>
  <si>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</si>
  <si>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</si>
  <si>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</si>
  <si>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</si>
  <si>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</si>
  <si>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</si>
  <si>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</si>
  <si>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</si>
  <si>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</si>
  <si>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</si>
  <si>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</si>
  <si>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</si>
  <si>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</si>
  <si>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</si>
  <si>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</si>
  <si>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</si>
  <si>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</si>
  <si>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</si>
  <si>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</si>
  <si>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</si>
  <si>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</si>
  <si>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</si>
  <si>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</si>
  <si>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</si>
  <si>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</si>
  <si>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</si>
  <si>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</si>
  <si>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</si>
  <si>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</si>
  <si>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</si>
  <si>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</si>
  <si>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</si>
  <si>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</si>
  <si>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</si>
  <si>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</si>
  <si>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</si>
  <si>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</si>
  <si>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</si>
  <si>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</si>
  <si>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</si>
  <si>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</si>
  <si>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</si>
  <si>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</si>
  <si>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</si>
  <si>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</si>
  <si>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</si>
  <si>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</si>
  <si>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</si>
  <si>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</si>
  <si>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</si>
  <si>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</si>
  <si>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</si>
  <si>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</si>
  <si>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</si>
  <si>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</si>
  <si>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</si>
  <si>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</si>
  <si>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</si>
  <si>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</si>
  <si>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</si>
  <si>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</si>
  <si>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</si>
  <si>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</si>
  <si>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</si>
  <si>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</si>
  <si>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</si>
  <si>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</si>
  <si>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</si>
  <si>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</si>
  <si>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</si>
  <si>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</si>
  <si>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</si>
  <si>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</si>
  <si>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</si>
  <si>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</si>
  <si>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</si>
  <si>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</si>
  <si>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</si>
  <si>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</si>
  <si>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</si>
  <si>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</si>
  <si>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</si>
  <si>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</si>
  <si>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</si>
  <si>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</si>
  <si>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</si>
  <si>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</si>
  <si>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</si>
  <si>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</si>
  <si>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</si>
  <si>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</si>
  <si>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</si>
  <si>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</si>
  <si>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</si>
  <si>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</si>
  <si>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</si>
  <si>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</si>
  <si>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</si>
  <si>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</si>
  <si>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</si>
  <si>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</si>
  <si>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</si>
  <si>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</si>
  <si>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</si>
  <si>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</si>
  <si>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</si>
  <si>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</si>
  <si>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</si>
  <si>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</si>
  <si>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</si>
  <si>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</si>
  <si>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</si>
  <si>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</si>
  <si>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</si>
  <si>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</si>
  <si>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</si>
  <si>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</si>
  <si>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</si>
  <si>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</si>
  <si>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</si>
  <si>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</si>
  <si>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</si>
  <si>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</si>
  <si>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</si>
  <si>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</si>
  <si>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</si>
  <si>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</si>
  <si>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</si>
  <si>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</si>
  <si>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</si>
  <si>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</si>
  <si>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</si>
  <si>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</si>
  <si>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</si>
  <si>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</si>
  <si>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</si>
  <si>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</si>
  <si>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</si>
  <si>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</si>
  <si>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</si>
  <si>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</si>
  <si>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</si>
  <si>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</si>
  <si>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</si>
  <si>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</si>
  <si>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</si>
  <si>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</si>
  <si>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</si>
  <si>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</si>
  <si>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</si>
  <si>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</si>
  <si>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</si>
  <si>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</si>
  <si>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</si>
  <si>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</si>
  <si>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</si>
  <si>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</si>
  <si>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</si>
  <si>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</si>
  <si>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</si>
  <si>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</si>
  <si>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</si>
  <si>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</si>
  <si>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</si>
  <si>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</si>
  <si>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</si>
  <si>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</si>
  <si>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</si>
  <si>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</si>
  <si>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</si>
  <si>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</si>
  <si>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</si>
  <si>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</si>
  <si>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</si>
  <si>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</si>
  <si>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</si>
  <si>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</si>
  <si>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</si>
  <si>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</si>
  <si>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</si>
  <si>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</si>
  <si>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</si>
  <si>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</si>
  <si>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</si>
  <si>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</si>
  <si>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</si>
  <si>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</si>
  <si>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</si>
  <si>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</si>
  <si>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</si>
  <si>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</si>
  <si>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</si>
  <si>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</si>
  <si>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</si>
  <si>
    <t>QUESOS-JAMON-CHORIZO</t>
  </si>
  <si>
    <t>Lomos-Jamones-Quesos-Pollo-Salsas-Longaniza-Pastor-arabe- verduras</t>
  </si>
  <si>
    <t>Jamon-Quesos-Pollo-Salchicha-Aros cebolla-Salchicha-Bimbo</t>
  </si>
  <si>
    <t>Jamon-queso pco-quesos-pollo-salsas</t>
  </si>
  <si>
    <t>PASTOR-QUESOS-POLLO-POSTRES</t>
  </si>
  <si>
    <t xml:space="preserve">POLLO-QUESO   </t>
  </si>
  <si>
    <t>PASTOR-JAMON-QUESOS-POLLO-CREMA-MANTEQUILLA</t>
  </si>
  <si>
    <t>NOMINA # 32</t>
  </si>
  <si>
    <t>Nomina # 32</t>
  </si>
  <si>
    <t>QUESOS-CHORIZO</t>
  </si>
  <si>
    <t>ARABE-QUESOS-SANCHICHA-POLLO-DEDOS QSO-CHISTORRA-POSTRES</t>
  </si>
  <si>
    <t>BIMBO-QUESOS-POLLO-SALSAS-LONGANIZA</t>
  </si>
  <si>
    <t>TOSTADAS-QUESOS-POLLO</t>
  </si>
  <si>
    <t>MOLE-POLLO-PASTOR-SALCHICHA</t>
  </si>
  <si>
    <t>POLLO-CREMA-QUESOS-MAIZ</t>
  </si>
  <si>
    <t>FLETE-POLLO-JAMON-CHORIZO-MAIZ-QUESOS-SLCHICHA</t>
  </si>
  <si>
    <t>Nomina # 33</t>
  </si>
  <si>
    <t>Aceite-CHORIZO-QUESOS-CHISTORRA-JAMON-TOCINO-</t>
  </si>
  <si>
    <t>SALCHICHA-JAMON-POLLO-QUESOS-POSTRES-CHISTORRA-RIBYE</t>
  </si>
  <si>
    <t>JAMON-POLLO-QUESOS-SALCHICHA</t>
  </si>
  <si>
    <t>DESCANSOS TRABAJADOS</t>
  </si>
  <si>
    <t>ARABE-VERDURA-POLLO-QUESOS-SALCHICHA</t>
  </si>
  <si>
    <t>pollo</t>
  </si>
  <si>
    <t>POLLO-JAMON-CHIMICHURRI-PASTOR</t>
  </si>
  <si>
    <t>Noimina  # 34</t>
  </si>
  <si>
    <t>Nomina # 34</t>
  </si>
  <si>
    <t>CHORIZO-QUESOS-CHISTORRA *TOCINETA</t>
  </si>
  <si>
    <t>QUESOS-CHISTORRA-ROAS BEFF-JAMON-SALCHICHA-POLLO-CHORIZO</t>
  </si>
  <si>
    <t>VACACIONES Julio</t>
  </si>
  <si>
    <t>BIMBO-SALCHICHA-PIMIENTA-QUESOS-POLLO</t>
  </si>
  <si>
    <t>POLLO-JAMON-CHORIZO-MAIZ-QUESOS</t>
  </si>
  <si>
    <t>NOTA 2404 ALBICIA</t>
  </si>
  <si>
    <t>NOTA 2667 ALBICIA</t>
  </si>
  <si>
    <t>NOTA 2940 ALBICIA</t>
  </si>
  <si>
    <t>NOTA 3268 ALBICIA</t>
  </si>
  <si>
    <t>NOTA 3491 ALBICIA</t>
  </si>
  <si>
    <t>NOTA 3747 ALBICIA</t>
  </si>
  <si>
    <t>NOTA 4176 ALBICIA</t>
  </si>
  <si>
    <t>CUENTA CENTRAL</t>
  </si>
  <si>
    <t>NOMINA # 35</t>
  </si>
  <si>
    <t>1-ago-2023</t>
  </si>
  <si>
    <t>E-18268</t>
  </si>
  <si>
    <t>E-18269</t>
  </si>
  <si>
    <t>E-18293</t>
  </si>
  <si>
    <t>E-18298</t>
  </si>
  <si>
    <t>2-ago-2023</t>
  </si>
  <si>
    <t>E-18338</t>
  </si>
  <si>
    <t>3-ago-2023</t>
  </si>
  <si>
    <t>E-18487</t>
  </si>
  <si>
    <t>4-ago-2023</t>
  </si>
  <si>
    <t>E-18573</t>
  </si>
  <si>
    <t>5-ago-2023</t>
  </si>
  <si>
    <t>E-18676</t>
  </si>
  <si>
    <t>E-18680</t>
  </si>
  <si>
    <t>E-18719</t>
  </si>
  <si>
    <t>7-ago-2023</t>
  </si>
  <si>
    <t>E-18789</t>
  </si>
  <si>
    <t>8-ago-2023</t>
  </si>
  <si>
    <t>E-18894</t>
  </si>
  <si>
    <t>E-18943</t>
  </si>
  <si>
    <t>9-ago-2023</t>
  </si>
  <si>
    <t>E-19013</t>
  </si>
  <si>
    <t>10-ago-2023</t>
  </si>
  <si>
    <t>E-19145</t>
  </si>
  <si>
    <t>E-19146</t>
  </si>
  <si>
    <t>E-19161</t>
  </si>
  <si>
    <t>E-19172</t>
  </si>
  <si>
    <t>E-19176</t>
  </si>
  <si>
    <t>12-ago-2023</t>
  </si>
  <si>
    <t>E-19373</t>
  </si>
  <si>
    <t>E-19387</t>
  </si>
  <si>
    <t>E-19388</t>
  </si>
  <si>
    <t>E-19404</t>
  </si>
  <si>
    <t>14-ago-2023</t>
  </si>
  <si>
    <t>E-19514</t>
  </si>
  <si>
    <t>15-ago-2023</t>
  </si>
  <si>
    <t>E-19631</t>
  </si>
  <si>
    <t>16-ago-2023</t>
  </si>
  <si>
    <t>E-19652</t>
  </si>
  <si>
    <t>E-19657</t>
  </si>
  <si>
    <t>E-19701</t>
  </si>
  <si>
    <t>E-19705</t>
  </si>
  <si>
    <t>E-19706</t>
  </si>
  <si>
    <t>E-19715</t>
  </si>
  <si>
    <t>17-ago-2023</t>
  </si>
  <si>
    <t>E-19811</t>
  </si>
  <si>
    <t>18-ago-2023</t>
  </si>
  <si>
    <t>E-19915</t>
  </si>
  <si>
    <t>E-19971</t>
  </si>
  <si>
    <t>19-ago-2023</t>
  </si>
  <si>
    <t>E-20052</t>
  </si>
  <si>
    <t>21-ago-2023</t>
  </si>
  <si>
    <t>E-20126</t>
  </si>
  <si>
    <t>E-20127</t>
  </si>
  <si>
    <t>E-20172</t>
  </si>
  <si>
    <t>22-ago-2023</t>
  </si>
  <si>
    <t>E-20294</t>
  </si>
  <si>
    <t>23-ago-2023</t>
  </si>
  <si>
    <t>E-20320</t>
  </si>
  <si>
    <t>24-ago-2023</t>
  </si>
  <si>
    <t>E-20475</t>
  </si>
  <si>
    <t>25-ago-2023</t>
  </si>
  <si>
    <t>E-20577</t>
  </si>
  <si>
    <t>E-20602</t>
  </si>
  <si>
    <t>E-20605</t>
  </si>
  <si>
    <t>E-20606</t>
  </si>
  <si>
    <t>26-ago-2023</t>
  </si>
  <si>
    <t>E-20608</t>
  </si>
  <si>
    <t>E-20615</t>
  </si>
  <si>
    <t>E-20737</t>
  </si>
  <si>
    <t>28-ago-2023</t>
  </si>
  <si>
    <t>E-20792</t>
  </si>
  <si>
    <t>E-20793</t>
  </si>
  <si>
    <t>E-20797</t>
  </si>
  <si>
    <t>29-ago-2023</t>
  </si>
  <si>
    <t>E-20916</t>
  </si>
  <si>
    <t>E-20926</t>
  </si>
  <si>
    <t>E-20927</t>
  </si>
  <si>
    <t>E-20944</t>
  </si>
  <si>
    <t>30-ago-2023</t>
  </si>
  <si>
    <t>E-20990</t>
  </si>
  <si>
    <t>31-ago-2023</t>
  </si>
  <si>
    <t>E-21117</t>
  </si>
  <si>
    <t>E-21118</t>
  </si>
  <si>
    <t>E-21145</t>
  </si>
  <si>
    <t>29-jul-2023</t>
  </si>
  <si>
    <t>E-18021</t>
  </si>
  <si>
    <t>E-18024</t>
  </si>
  <si>
    <t>E-18077</t>
  </si>
  <si>
    <t>31-jul-2023</t>
  </si>
  <si>
    <t>E-18157</t>
  </si>
  <si>
    <t>11-ago-2023</t>
  </si>
  <si>
    <t>1-sep-2023</t>
  </si>
  <si>
    <t>2-sep-2023</t>
  </si>
  <si>
    <t>E-21208</t>
  </si>
  <si>
    <t>E-21377</t>
  </si>
  <si>
    <t>CHORIZOS</t>
  </si>
  <si>
    <t>CHORIZO--ROASBEEF</t>
  </si>
  <si>
    <t>RES-PULPA RES, HUESO BLANCO</t>
  </si>
  <si>
    <t>FLETE  RES</t>
  </si>
  <si>
    <t>Servicio Camaras</t>
  </si>
  <si>
    <t>PULPA RES</t>
  </si>
  <si>
    <t>PECHUGA PAVO</t>
  </si>
  <si>
    <t>ANALISIS AGUA</t>
  </si>
  <si>
    <t>CHORIZO ESPAÑOL</t>
  </si>
  <si>
    <t xml:space="preserve">MANDILES </t>
  </si>
  <si>
    <t>SEGURO AUDI</t>
  </si>
  <si>
    <t>SEGURO TORNADO</t>
  </si>
  <si>
    <t>COMISION BANCO</t>
  </si>
  <si>
    <t>Baltas traser Tornado</t>
  </si>
  <si>
    <t>Vigilante</t>
  </si>
  <si>
    <t>FLETE RES 2-ago</t>
  </si>
  <si>
    <t>Limpieza trampa grasa</t>
  </si>
  <si>
    <t xml:space="preserve">gestion agua </t>
  </si>
  <si>
    <t>RES  anticipo</t>
  </si>
  <si>
    <t xml:space="preserve">Basura </t>
  </si>
  <si>
    <t xml:space="preserve">Serv Bascula </t>
  </si>
  <si>
    <t>Carbon Anticipo</t>
  </si>
  <si>
    <t>CHORIZO</t>
  </si>
  <si>
    <t>SALSAS Oaxaca</t>
  </si>
  <si>
    <t>Pulpa RES</t>
  </si>
  <si>
    <t>Cintas Sierra</t>
  </si>
  <si>
    <t xml:space="preserve">RIB EYE </t>
  </si>
  <si>
    <t>ROAS BEFF-CHORIZO</t>
  </si>
  <si>
    <t>Serv TORNADO</t>
  </si>
  <si>
    <t>RES-PULPA--HUESO</t>
  </si>
  <si>
    <t>ADUANA ACCESE23-06</t>
  </si>
  <si>
    <t>FLETE RES 23-Ago</t>
  </si>
  <si>
    <t>FLETE ACCESE23-06</t>
  </si>
  <si>
    <t>BOLSAS EN ROLLO</t>
  </si>
  <si>
    <t>ADUANA ACCESE23-07</t>
  </si>
  <si>
    <t>ADT SEGURITY</t>
  </si>
  <si>
    <t>SEGUROS CARGAS JULIO</t>
  </si>
  <si>
    <t>SEGUROS CARGAS  JULIO</t>
  </si>
  <si>
    <t>FLETE ACCESE23-07</t>
  </si>
  <si>
    <t>CAMARA VIDEOVIGILANCIA</t>
  </si>
  <si>
    <t>ACCSE23-02</t>
  </si>
  <si>
    <t>FLETE ACCSE23-02</t>
  </si>
  <si>
    <t>ACCSE23-04</t>
  </si>
  <si>
    <t>ADUANA ACCE23-02</t>
  </si>
  <si>
    <t>ACCSE23-07</t>
  </si>
  <si>
    <t>FLETE ACCSE23-04</t>
  </si>
  <si>
    <t>ADUANA ACCSE23-04</t>
  </si>
  <si>
    <t>ACCSE23-06</t>
  </si>
  <si>
    <t>?????????</t>
  </si>
  <si>
    <t>BALANCE      ABASTO 4 CARNES    Z A V A L E T A     SEPTIEMBRE           2 0 2 3</t>
  </si>
  <si>
    <t>RES-PULPA RES</t>
  </si>
  <si>
    <t>Limpieza Trampa</t>
  </si>
  <si>
    <t xml:space="preserve">DESECHABLES </t>
  </si>
  <si>
    <t xml:space="preserve">BASURA </t>
  </si>
  <si>
    <t>SALMON--ATUN</t>
  </si>
  <si>
    <t>ALMOHADILLAS</t>
  </si>
  <si>
    <t>ADUANA ACCSE23-05</t>
  </si>
  <si>
    <t>RES-PULPA RES-COLAS RES</t>
  </si>
  <si>
    <t>FLETE ACCSE23-05</t>
  </si>
  <si>
    <t>CALENDARIOS</t>
  </si>
  <si>
    <t>FLETE RES 13-Sept</t>
  </si>
  <si>
    <t>ROASBEEF-CHORIZOS</t>
  </si>
  <si>
    <t>ACCSE23-11</t>
  </si>
  <si>
    <t>Balatas Tornado</t>
  </si>
  <si>
    <t>RES anticipo</t>
  </si>
  <si>
    <t>RES--Anticipo</t>
  </si>
  <si>
    <t>Aduana ACCSE23-11</t>
  </si>
  <si>
    <t>FLETE ACCSE23-11</t>
  </si>
  <si>
    <t>FLETE RES 27-Sept</t>
  </si>
  <si>
    <t>QUESO MANCHEGO</t>
  </si>
  <si>
    <t>CHORIZO-QUESOS</t>
  </si>
  <si>
    <t>FALTANTE DE ERIKA POR DUPLICAR GASTO</t>
  </si>
  <si>
    <t xml:space="preserve">POLLO-QUESOS--Pagos Central </t>
  </si>
  <si>
    <t>JAMON-QUESOS-POLLO-SALCHICHA-CHISTORRA</t>
  </si>
  <si>
    <t>Acumulado 5 Y 6</t>
  </si>
  <si>
    <t xml:space="preserve">PAGOS A CENTRAL </t>
  </si>
  <si>
    <t xml:space="preserve">POLLO-QUESO </t>
  </si>
  <si>
    <t>QUESOS-POLLO-PASTOR-ARAB</t>
  </si>
  <si>
    <t xml:space="preserve">NOMINA # 35 Y PAGOS CENTRAL </t>
  </si>
  <si>
    <t>PASTOR-QUESOS-POLLO-JAMON-CHORIZO-BIMBO</t>
  </si>
  <si>
    <t>Aculumado 4-y---6</t>
  </si>
  <si>
    <t>POSTRES-POLLO</t>
  </si>
  <si>
    <t>PEREJIL-JAMON-POLLO-SALSAS-QUESOS-CEREAL-PASTOR-</t>
  </si>
  <si>
    <t>NOMINA #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</si>
</sst>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  <fill>
      <patternFill patternType="solid">
        <fgColor rgb="FFFFCC00"/>
        <bgColor indexed="64"/>
      </patternFill>
    </fill>
    <fill>
      <patternFill patternType="solid">
        <fgColor rgb="FF00FF00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7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4" fontId="2" fillId="7" borderId="27" xfId="1" applyFont="1" applyFill="1" applyBorder="1" applyAlignment="1">
      <alignment horizontal="center"/>
    </xf>
    <xf numFmtId="16" fontId="23" fillId="0" borderId="83" xfId="0" applyNumberFormat="1" applyFont="1" applyFill="1" applyBorder="1" applyAlignment="1">
      <alignment horizontal="left"/>
    </xf>
    <xf numFmtId="44" fontId="3" fillId="12" borderId="26" xfId="1" applyFont="1" applyFill="1" applyBorder="1"/>
    <xf numFmtId="44" fontId="4" fillId="0" borderId="0" xfId="1" applyFont="1" applyFill="1" applyAlignment="1">
      <alignment horizontal="center"/>
    </xf>
    <xf numFmtId="0" fontId="3" fillId="0" borderId="69" xfId="0" applyFont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1" fontId="50" fillId="0" borderId="28" xfId="0" applyNumberFormat="1" applyFont="1" applyFill="1" applyBorder="1" applyAlignment="1">
      <alignment horizontal="center"/>
    </xf>
    <xf numFmtId="1" fontId="50" fillId="0" borderId="77" xfId="0" applyNumberFormat="1" applyFont="1" applyFill="1" applyBorder="1" applyAlignment="1">
      <alignment horizontal="center"/>
    </xf>
    <xf numFmtId="1" fontId="50" fillId="0" borderId="78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4" fontId="5" fillId="8" borderId="16" xfId="1" applyFont="1" applyFill="1" applyBorder="1"/>
    <xf numFmtId="44" fontId="3" fillId="0" borderId="6" xfId="1" applyFont="1" applyFill="1" applyBorder="1"/>
    <xf numFmtId="44" fontId="3" fillId="0" borderId="0" xfId="1" applyFont="1" applyBorder="1"/>
    <xf numFmtId="44" fontId="5" fillId="0" borderId="0" xfId="1" applyFont="1" applyFill="1" applyBorder="1"/>
    <xf numFmtId="0" fontId="5" fillId="0" borderId="0" xfId="0" applyFont="1" applyFill="1" applyBorder="1"/>
    <xf numFmtId="0" fontId="5" fillId="0" borderId="0" xfId="0" applyFont="1"/>
    <xf numFmtId="44" fontId="5" fillId="0" borderId="0" xfId="1" applyFont="1"/>
    <xf numFmtId="44" fontId="15" fillId="13" borderId="0" xfId="1" applyFont="1" applyFill="1"/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44" fontId="2" fillId="7" borderId="39" xfId="1" applyFont="1" applyFill="1" applyBorder="1"/>
    <xf numFmtId="166" fontId="14" fillId="7" borderId="0" xfId="0" applyNumberFormat="1" applyFont="1" applyFill="1" applyBorder="1"/>
    <xf numFmtId="166" fontId="4" fillId="0" borderId="38" xfId="0" applyNumberFormat="1" applyFont="1" applyFill="1" applyBorder="1"/>
    <xf numFmtId="0" fontId="24" fillId="0" borderId="28" xfId="0" applyFont="1" applyFill="1" applyBorder="1" applyAlignment="1">
      <alignment horizontal="left"/>
    </xf>
    <xf numFmtId="44" fontId="2" fillId="7" borderId="51" xfId="1" applyFont="1" applyFill="1" applyBorder="1"/>
    <xf numFmtId="166" fontId="4" fillId="7" borderId="0" xfId="0" applyNumberFormat="1" applyFont="1" applyFill="1" applyAlignment="1">
      <alignment horizontal="left"/>
    </xf>
    <xf numFmtId="164" fontId="2" fillId="0" borderId="18" xfId="0" applyNumberFormat="1" applyFont="1" applyBorder="1" applyAlignment="1">
      <alignment horizontal="center"/>
    </xf>
    <xf numFmtId="165" fontId="2" fillId="0" borderId="18" xfId="1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44" fontId="2" fillId="7" borderId="39" xfId="1" applyFont="1" applyFill="1" applyBorder="1" applyAlignment="1">
      <alignment horizontal="left"/>
    </xf>
    <xf numFmtId="44" fontId="2" fillId="0" borderId="29" xfId="1" applyFont="1" applyFill="1" applyBorder="1"/>
    <xf numFmtId="166" fontId="18" fillId="7" borderId="0" xfId="0" applyNumberFormat="1" applyFont="1" applyFill="1" applyAlignment="1">
      <alignment horizontal="left"/>
    </xf>
    <xf numFmtId="44" fontId="18" fillId="7" borderId="0" xfId="1" applyFont="1" applyFill="1" applyBorder="1"/>
    <xf numFmtId="165" fontId="2" fillId="0" borderId="76" xfId="0" applyNumberFormat="1" applyFont="1" applyFill="1" applyBorder="1" applyAlignment="1">
      <alignment horizontal="center"/>
    </xf>
    <xf numFmtId="166" fontId="4" fillId="0" borderId="26" xfId="0" applyNumberFormat="1" applyFont="1" applyFill="1" applyBorder="1"/>
    <xf numFmtId="44" fontId="2" fillId="23" borderId="39" xfId="1" applyFont="1" applyFill="1" applyBorder="1"/>
    <xf numFmtId="166" fontId="14" fillId="23" borderId="0" xfId="0" applyNumberFormat="1" applyFont="1" applyFill="1" applyBorder="1"/>
    <xf numFmtId="166" fontId="14" fillId="23" borderId="38" xfId="0" applyNumberFormat="1" applyFont="1" applyFill="1" applyBorder="1"/>
    <xf numFmtId="44" fontId="2" fillId="23" borderId="51" xfId="1" applyFont="1" applyFill="1" applyBorder="1"/>
    <xf numFmtId="166" fontId="4" fillId="23" borderId="0" xfId="0" applyNumberFormat="1" applyFont="1" applyFill="1" applyAlignment="1">
      <alignment horizontal="left"/>
    </xf>
    <xf numFmtId="166" fontId="21" fillId="7" borderId="0" xfId="0" applyNumberFormat="1" applyFont="1" applyFill="1" applyBorder="1"/>
    <xf numFmtId="44" fontId="2" fillId="24" borderId="39" xfId="1" applyFont="1" applyFill="1" applyBorder="1"/>
    <xf numFmtId="166" fontId="14" fillId="24" borderId="0" xfId="0" applyNumberFormat="1" applyFont="1" applyFill="1" applyBorder="1"/>
    <xf numFmtId="166" fontId="14" fillId="0" borderId="38" xfId="0" applyNumberFormat="1" applyFont="1" applyFill="1" applyBorder="1"/>
    <xf numFmtId="0" fontId="18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 wrapText="1"/>
    </xf>
    <xf numFmtId="16" fontId="4" fillId="0" borderId="29" xfId="0" applyNumberFormat="1" applyFont="1" applyFill="1" applyBorder="1" applyAlignment="1">
      <alignment horizontal="left"/>
    </xf>
    <xf numFmtId="0" fontId="21" fillId="0" borderId="29" xfId="0" applyFont="1" applyFill="1" applyBorder="1" applyAlignment="1">
      <alignment horizontal="left"/>
    </xf>
    <xf numFmtId="0" fontId="21" fillId="0" borderId="29" xfId="0" applyFont="1" applyFill="1" applyBorder="1" applyAlignment="1">
      <alignment horizontal="left" wrapText="1"/>
    </xf>
    <xf numFmtId="165" fontId="2" fillId="19" borderId="26" xfId="1" applyNumberFormat="1" applyFont="1" applyFill="1" applyBorder="1" applyAlignment="1">
      <alignment horizontal="center"/>
    </xf>
    <xf numFmtId="0" fontId="23" fillId="19" borderId="29" xfId="0" applyFont="1" applyFill="1" applyBorder="1" applyAlignment="1">
      <alignment horizontal="left" wrapText="1"/>
    </xf>
    <xf numFmtId="44" fontId="2" fillId="19" borderId="26" xfId="1" applyFont="1" applyFill="1" applyBorder="1"/>
    <xf numFmtId="0" fontId="15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166" fontId="21" fillId="0" borderId="38" xfId="0" applyNumberFormat="1" applyFont="1" applyFill="1" applyBorder="1" applyAlignment="1">
      <alignment wrapText="1"/>
    </xf>
    <xf numFmtId="0" fontId="4" fillId="4" borderId="0" xfId="0" applyFont="1" applyFill="1" applyAlignment="1">
      <alignment horizontal="center"/>
    </xf>
    <xf numFmtId="0" fontId="18" fillId="0" borderId="29" xfId="0" applyFont="1" applyFill="1" applyBorder="1" applyAlignment="1"/>
    <xf numFmtId="0" fontId="23" fillId="19" borderId="29" xfId="0" applyFont="1" applyFill="1" applyBorder="1" applyAlignment="1">
      <alignment horizontal="center" wrapText="1"/>
    </xf>
    <xf numFmtId="44" fontId="2" fillId="19" borderId="0" xfId="1" applyFont="1" applyFill="1"/>
    <xf numFmtId="44" fontId="19" fillId="4" borderId="24" xfId="1" applyFont="1" applyFill="1" applyBorder="1"/>
    <xf numFmtId="44" fontId="51" fillId="19" borderId="26" xfId="1" applyFont="1" applyFill="1" applyBorder="1"/>
    <xf numFmtId="44" fontId="16" fillId="19" borderId="26" xfId="1" applyFont="1" applyFill="1" applyBorder="1"/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0" fontId="22" fillId="19" borderId="29" xfId="0" applyFont="1" applyFill="1" applyBorder="1" applyAlignment="1">
      <alignment horizontal="lef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CC99FF"/>
      <color rgb="FF00FF00"/>
      <color rgb="FFFFCC00"/>
      <color rgb="FFCC9900"/>
      <color rgb="FF66FF66"/>
      <color rgb="FF990099"/>
      <color rgb="FF80008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1209675</xdr:colOff>
      <xdr:row>38</xdr:row>
      <xdr:rowOff>161925</xdr:rowOff>
    </xdr:from>
    <xdr:to>
      <xdr:col>19</xdr:col>
      <xdr:colOff>95250</xdr:colOff>
      <xdr:row>38</xdr:row>
      <xdr:rowOff>333375</xdr:rowOff>
    </xdr:to>
    <xdr:cxnSp macro="">
      <xdr:nvCxnSpPr>
        <xdr:cNvPr id="10" name="Conector recto de flecha 9"/>
        <xdr:cNvCxnSpPr/>
      </xdr:nvCxnSpPr>
      <xdr:spPr>
        <a:xfrm>
          <a:off x="16259175" y="9477375"/>
          <a:ext cx="2085975" cy="171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80879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80689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74259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91523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92786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37"/>
      <c r="C1" s="639" t="s">
        <v>26</v>
      </c>
      <c r="D1" s="640"/>
      <c r="E1" s="640"/>
      <c r="F1" s="640"/>
      <c r="G1" s="640"/>
      <c r="H1" s="640"/>
      <c r="I1" s="640"/>
      <c r="J1" s="640"/>
      <c r="K1" s="640"/>
      <c r="L1" s="640"/>
      <c r="M1" s="640"/>
    </row>
    <row r="2" spans="1:18" ht="16.5" thickBot="1" x14ac:dyDescent="0.3">
      <c r="B2" s="63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41" t="s">
        <v>0</v>
      </c>
      <c r="C3" s="642"/>
      <c r="D3" s="14"/>
      <c r="E3" s="15"/>
      <c r="F3" s="16"/>
      <c r="H3" s="643" t="s">
        <v>1</v>
      </c>
      <c r="I3" s="643"/>
      <c r="K3" s="18"/>
      <c r="L3" s="19"/>
      <c r="M3" s="20"/>
      <c r="P3" s="635" t="s">
        <v>2</v>
      </c>
      <c r="R3" s="608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610" t="s">
        <v>5</v>
      </c>
      <c r="F4" s="611"/>
      <c r="H4" s="612" t="s">
        <v>6</v>
      </c>
      <c r="I4" s="613"/>
      <c r="J4" s="25"/>
      <c r="K4" s="26"/>
      <c r="L4" s="27"/>
      <c r="M4" s="28" t="s">
        <v>7</v>
      </c>
      <c r="N4" s="29" t="s">
        <v>8</v>
      </c>
      <c r="P4" s="636"/>
      <c r="Q4" s="30" t="s">
        <v>9</v>
      </c>
      <c r="R4" s="609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619">
        <f>SUM(M5:M40)</f>
        <v>1399609.5</v>
      </c>
      <c r="N49" s="619">
        <f>SUM(N5:N40)</f>
        <v>910600</v>
      </c>
      <c r="P49" s="111">
        <f>SUM(P5:P40)</f>
        <v>3236981.46</v>
      </c>
      <c r="Q49" s="631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620"/>
      <c r="N50" s="620"/>
      <c r="P50" s="44"/>
      <c r="Q50" s="632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633">
        <f>M49+N49</f>
        <v>2310209.5</v>
      </c>
      <c r="N53" s="634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27" t="s">
        <v>15</v>
      </c>
      <c r="I77" s="628"/>
      <c r="J77" s="154"/>
      <c r="K77" s="629">
        <f>I75+L75</f>
        <v>1552957.04</v>
      </c>
      <c r="L77" s="630"/>
      <c r="M77" s="155"/>
      <c r="N77" s="155"/>
      <c r="P77" s="44"/>
      <c r="Q77" s="19"/>
    </row>
    <row r="78" spans="1:17" x14ac:dyDescent="0.25">
      <c r="D78" s="621" t="s">
        <v>16</v>
      </c>
      <c r="E78" s="621"/>
      <c r="F78" s="156">
        <f>F75-K77-C75</f>
        <v>-123007.98000000021</v>
      </c>
      <c r="I78" s="157"/>
      <c r="J78" s="158"/>
    </row>
    <row r="79" spans="1:17" ht="18.75" x14ac:dyDescent="0.3">
      <c r="D79" s="622" t="s">
        <v>17</v>
      </c>
      <c r="E79" s="622"/>
      <c r="F79" s="101">
        <v>-1513561.68</v>
      </c>
      <c r="I79" s="623" t="s">
        <v>18</v>
      </c>
      <c r="J79" s="624"/>
      <c r="K79" s="625">
        <f>F81+F82+F83</f>
        <v>1950142.8099999996</v>
      </c>
      <c r="L79" s="62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626">
        <f>-C4</f>
        <v>-3445405.07</v>
      </c>
      <c r="L81" s="625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614" t="s">
        <v>24</v>
      </c>
      <c r="E83" s="615"/>
      <c r="F83" s="173">
        <v>3504178.07</v>
      </c>
      <c r="I83" s="616" t="s">
        <v>220</v>
      </c>
      <c r="J83" s="617"/>
      <c r="K83" s="618">
        <f>K79+K81</f>
        <v>-1495262.2600000002</v>
      </c>
      <c r="L83" s="61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47" t="s">
        <v>35</v>
      </c>
      <c r="J37" s="648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49"/>
      <c r="J38" s="650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51"/>
      <c r="J39" s="652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653" t="s">
        <v>35</v>
      </c>
      <c r="J67" s="654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57" t="s">
        <v>36</v>
      </c>
      <c r="I68" s="662"/>
      <c r="J68" s="66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5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13" workbookViewId="0">
      <selection activeCell="M32" sqref="M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637"/>
      <c r="C1" s="639" t="s">
        <v>642</v>
      </c>
      <c r="D1" s="640"/>
      <c r="E1" s="640"/>
      <c r="F1" s="640"/>
      <c r="G1" s="640"/>
      <c r="H1" s="640"/>
      <c r="I1" s="640"/>
      <c r="J1" s="640"/>
      <c r="K1" s="640"/>
      <c r="L1" s="640"/>
      <c r="M1" s="640"/>
    </row>
    <row r="2" spans="1:21" ht="16.5" thickBot="1" x14ac:dyDescent="0.3">
      <c r="B2" s="638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641" t="s">
        <v>0</v>
      </c>
      <c r="C3" s="642"/>
      <c r="D3" s="14"/>
      <c r="E3" s="15"/>
      <c r="F3" s="16"/>
      <c r="H3" s="643" t="s">
        <v>1</v>
      </c>
      <c r="I3" s="643"/>
      <c r="K3" s="18"/>
      <c r="L3" s="19"/>
      <c r="M3" s="20"/>
      <c r="P3" s="635" t="s">
        <v>2</v>
      </c>
      <c r="Q3" s="467" t="s">
        <v>509</v>
      </c>
      <c r="R3" s="664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610" t="s">
        <v>5</v>
      </c>
      <c r="F4" s="611"/>
      <c r="H4" s="612" t="s">
        <v>6</v>
      </c>
      <c r="I4" s="613"/>
      <c r="J4" s="25"/>
      <c r="K4" s="26"/>
      <c r="L4" s="27"/>
      <c r="M4" s="28" t="s">
        <v>7</v>
      </c>
      <c r="N4" s="29" t="s">
        <v>8</v>
      </c>
      <c r="P4" s="636"/>
      <c r="Q4" s="30" t="s">
        <v>9</v>
      </c>
      <c r="R4" s="665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619">
        <f>SUM(M5:M40)</f>
        <v>1601794.8800000001</v>
      </c>
      <c r="N49" s="619">
        <f>SUM(N5:N40)</f>
        <v>1523056</v>
      </c>
      <c r="P49" s="111">
        <f>SUM(P5:P40)</f>
        <v>3794729.3800000004</v>
      </c>
      <c r="Q49" s="631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620"/>
      <c r="N50" s="620"/>
      <c r="P50" s="44"/>
      <c r="Q50" s="632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633">
        <f>M49+N49</f>
        <v>3124850.88</v>
      </c>
      <c r="N53" s="63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27" t="s">
        <v>15</v>
      </c>
      <c r="I69" s="628"/>
      <c r="J69" s="154"/>
      <c r="K69" s="629">
        <f>I67+L67</f>
        <v>513056.63999999996</v>
      </c>
      <c r="L69" s="630"/>
      <c r="M69" s="155"/>
      <c r="N69" s="155"/>
      <c r="P69" s="44"/>
      <c r="Q69" s="19"/>
    </row>
    <row r="70" spans="1:17" x14ac:dyDescent="0.25">
      <c r="D70" s="621" t="s">
        <v>16</v>
      </c>
      <c r="E70" s="621"/>
      <c r="F70" s="156">
        <f>F67-K69-C67</f>
        <v>1446986.8899999997</v>
      </c>
      <c r="I70" s="157"/>
      <c r="J70" s="158"/>
    </row>
    <row r="71" spans="1:17" ht="18.75" x14ac:dyDescent="0.3">
      <c r="D71" s="622" t="s">
        <v>17</v>
      </c>
      <c r="E71" s="622"/>
      <c r="F71" s="101">
        <f>-'   COMPRAS     JUNIO     2023  '!G67</f>
        <v>-1585182.9300000004</v>
      </c>
      <c r="I71" s="623" t="s">
        <v>18</v>
      </c>
      <c r="J71" s="624"/>
      <c r="K71" s="625">
        <f>F73+F74+F75</f>
        <v>3054589.7999999993</v>
      </c>
      <c r="L71" s="625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626">
        <f>-C4</f>
        <v>-3897967.53</v>
      </c>
      <c r="L73" s="625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614" t="s">
        <v>24</v>
      </c>
      <c r="E75" s="615"/>
      <c r="F75" s="173">
        <v>3131387.04</v>
      </c>
      <c r="I75" s="616" t="s">
        <v>764</v>
      </c>
      <c r="J75" s="617"/>
      <c r="K75" s="618">
        <f>K71+K73</f>
        <v>-843377.73000000045</v>
      </c>
      <c r="L75" s="618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47" t="s">
        <v>35</v>
      </c>
      <c r="J37" s="648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49"/>
      <c r="J38" s="650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51"/>
      <c r="J39" s="652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653" t="s">
        <v>35</v>
      </c>
      <c r="J67" s="654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57" t="s">
        <v>36</v>
      </c>
      <c r="I68" s="662"/>
      <c r="J68" s="66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5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7" workbookViewId="0">
      <selection activeCell="K25" sqref="K2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37"/>
      <c r="C1" s="639" t="s">
        <v>765</v>
      </c>
      <c r="D1" s="640"/>
      <c r="E1" s="640"/>
      <c r="F1" s="640"/>
      <c r="G1" s="640"/>
      <c r="H1" s="640"/>
      <c r="I1" s="640"/>
      <c r="J1" s="640"/>
      <c r="K1" s="640"/>
      <c r="L1" s="640"/>
      <c r="M1" s="640"/>
    </row>
    <row r="2" spans="1:22" ht="16.5" thickBot="1" x14ac:dyDescent="0.3">
      <c r="B2" s="638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41" t="s">
        <v>0</v>
      </c>
      <c r="C3" s="642"/>
      <c r="D3" s="14"/>
      <c r="E3" s="15"/>
      <c r="F3" s="16"/>
      <c r="H3" s="643" t="s">
        <v>1</v>
      </c>
      <c r="I3" s="643"/>
      <c r="K3" s="18"/>
      <c r="L3" s="19"/>
      <c r="M3" s="20"/>
      <c r="P3" s="635" t="s">
        <v>2</v>
      </c>
      <c r="Q3" s="533"/>
      <c r="R3" s="664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610" t="s">
        <v>5</v>
      </c>
      <c r="F4" s="611"/>
      <c r="H4" s="612" t="s">
        <v>6</v>
      </c>
      <c r="I4" s="613"/>
      <c r="J4" s="25"/>
      <c r="K4" s="26"/>
      <c r="L4" s="27"/>
      <c r="M4" s="28" t="s">
        <v>7</v>
      </c>
      <c r="N4" s="29" t="s">
        <v>8</v>
      </c>
      <c r="P4" s="636"/>
      <c r="Q4" s="30" t="s">
        <v>9</v>
      </c>
      <c r="R4" s="665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603" t="s">
        <v>784</v>
      </c>
      <c r="L16" s="604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34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45108</v>
      </c>
      <c r="C39" s="93">
        <v>8611.6</v>
      </c>
      <c r="D39" s="567" t="s">
        <v>1033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45108</v>
      </c>
      <c r="C40" s="93">
        <v>7509.6</v>
      </c>
      <c r="D40" s="567" t="s">
        <v>1034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45111</v>
      </c>
      <c r="C41" s="93">
        <v>34165.4</v>
      </c>
      <c r="D41" s="102" t="s">
        <v>1035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45114</v>
      </c>
      <c r="C42" s="93">
        <v>70000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45115</v>
      </c>
      <c r="C43" s="93">
        <v>27000</v>
      </c>
      <c r="D43" s="102" t="s">
        <v>612</v>
      </c>
      <c r="E43" s="35"/>
      <c r="F43" s="97"/>
      <c r="G43" s="37"/>
      <c r="H43" s="38"/>
      <c r="I43" s="103"/>
      <c r="J43" s="338">
        <v>45112</v>
      </c>
      <c r="K43" s="349" t="s">
        <v>216</v>
      </c>
      <c r="L43" s="49">
        <v>7755.5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45117</v>
      </c>
      <c r="C44" s="565">
        <v>768600</v>
      </c>
      <c r="D44" s="566" t="s">
        <v>1073</v>
      </c>
      <c r="E44" s="35"/>
      <c r="F44" s="97"/>
      <c r="G44" s="37"/>
      <c r="H44" s="38"/>
      <c r="I44" s="103"/>
      <c r="J44" s="338">
        <v>45113</v>
      </c>
      <c r="K44" s="343" t="s">
        <v>806</v>
      </c>
      <c r="L44" s="49">
        <v>4908.49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45117</v>
      </c>
      <c r="C45" s="93">
        <v>3562.55</v>
      </c>
      <c r="D45" s="114" t="s">
        <v>613</v>
      </c>
      <c r="E45" s="35"/>
      <c r="F45" s="97"/>
      <c r="G45" s="37"/>
      <c r="H45" s="38"/>
      <c r="I45" s="103"/>
      <c r="J45" s="338">
        <v>45113</v>
      </c>
      <c r="K45" s="471" t="s">
        <v>807</v>
      </c>
      <c r="L45" s="49">
        <v>850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45118</v>
      </c>
      <c r="C46" s="93">
        <v>15786.4</v>
      </c>
      <c r="D46" s="114" t="s">
        <v>1038</v>
      </c>
      <c r="E46" s="35"/>
      <c r="F46" s="97"/>
      <c r="G46" s="37"/>
      <c r="H46" s="38"/>
      <c r="I46" s="103"/>
      <c r="J46" s="338">
        <v>45113</v>
      </c>
      <c r="K46" s="349" t="s">
        <v>1036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45121</v>
      </c>
      <c r="C47" s="93">
        <v>2784</v>
      </c>
      <c r="D47" s="102" t="s">
        <v>810</v>
      </c>
      <c r="E47" s="104"/>
      <c r="F47" s="105"/>
      <c r="G47" s="37"/>
      <c r="H47" s="106"/>
      <c r="I47" s="103"/>
      <c r="J47" s="338">
        <v>45115</v>
      </c>
      <c r="K47" s="343" t="s">
        <v>1037</v>
      </c>
      <c r="L47" s="49">
        <v>20648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45124</v>
      </c>
      <c r="C48" s="93">
        <v>100000</v>
      </c>
      <c r="D48" s="94" t="s">
        <v>232</v>
      </c>
      <c r="E48" s="104"/>
      <c r="F48" s="105"/>
      <c r="G48" s="37"/>
      <c r="H48" s="106"/>
      <c r="I48" s="103"/>
      <c r="J48" s="338">
        <v>45117</v>
      </c>
      <c r="K48" s="343" t="s">
        <v>216</v>
      </c>
      <c r="L48" s="49">
        <v>5006.47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571">
        <v>45124</v>
      </c>
      <c r="C49" s="565">
        <v>12434</v>
      </c>
      <c r="D49" s="576" t="s">
        <v>1076</v>
      </c>
      <c r="E49" s="104"/>
      <c r="F49" s="110"/>
      <c r="G49" s="37"/>
      <c r="H49" s="106"/>
      <c r="I49" s="103"/>
      <c r="J49" s="338">
        <v>45118</v>
      </c>
      <c r="K49" s="343" t="s">
        <v>216</v>
      </c>
      <c r="L49" s="49">
        <v>5250</v>
      </c>
      <c r="M49" s="619">
        <f>SUM(M5:M40)</f>
        <v>2422108.7600000002</v>
      </c>
      <c r="N49" s="619">
        <f>SUM(N5:N40)</f>
        <v>1603736</v>
      </c>
      <c r="P49" s="111">
        <f>SUM(P5:P40)</f>
        <v>4927758.76</v>
      </c>
      <c r="Q49" s="631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45125</v>
      </c>
      <c r="C50" s="93">
        <v>122545</v>
      </c>
      <c r="D50" s="114" t="s">
        <v>1038</v>
      </c>
      <c r="E50" s="104"/>
      <c r="F50" s="110"/>
      <c r="G50" s="37"/>
      <c r="H50" s="106"/>
      <c r="I50" s="103"/>
      <c r="J50" s="87">
        <v>45120</v>
      </c>
      <c r="K50" s="343" t="s">
        <v>809</v>
      </c>
      <c r="L50" s="89">
        <v>3420</v>
      </c>
      <c r="M50" s="620"/>
      <c r="N50" s="620"/>
      <c r="P50" s="44"/>
      <c r="Q50" s="632"/>
      <c r="R50" s="112">
        <f>SUM(R5:R49)</f>
        <v>440369</v>
      </c>
    </row>
    <row r="51" spans="1:18" ht="18" thickBot="1" x14ac:dyDescent="0.35">
      <c r="A51" s="31"/>
      <c r="B51" s="32">
        <v>45125</v>
      </c>
      <c r="C51" s="93">
        <v>10690.8</v>
      </c>
      <c r="D51" s="114" t="s">
        <v>1039</v>
      </c>
      <c r="E51" s="104"/>
      <c r="F51" s="110"/>
      <c r="G51" s="37"/>
      <c r="H51" s="106"/>
      <c r="I51" s="103"/>
      <c r="J51" s="338">
        <v>45122</v>
      </c>
      <c r="K51" s="343" t="s">
        <v>1040</v>
      </c>
      <c r="L51" s="49">
        <v>5395.16</v>
      </c>
      <c r="M51" s="113"/>
      <c r="N51" s="113"/>
      <c r="P51" s="44"/>
      <c r="Q51" s="19"/>
    </row>
    <row r="52" spans="1:18" ht="18" thickBot="1" x14ac:dyDescent="0.35">
      <c r="A52" s="31"/>
      <c r="B52" s="572">
        <v>45125</v>
      </c>
      <c r="C52" s="574">
        <v>37120</v>
      </c>
      <c r="D52" s="577" t="s">
        <v>1074</v>
      </c>
      <c r="E52" s="104"/>
      <c r="F52" s="110"/>
      <c r="G52" s="37"/>
      <c r="H52" s="106"/>
      <c r="I52" s="103"/>
      <c r="J52" s="338">
        <v>45128</v>
      </c>
      <c r="K52" s="343" t="s">
        <v>1036</v>
      </c>
      <c r="L52" s="49">
        <v>28000</v>
      </c>
      <c r="M52" s="113"/>
      <c r="N52" s="113"/>
      <c r="P52" s="44"/>
      <c r="Q52" s="19"/>
    </row>
    <row r="53" spans="1:18" ht="18" thickBot="1" x14ac:dyDescent="0.35">
      <c r="A53" s="31"/>
      <c r="B53" s="32">
        <v>45126</v>
      </c>
      <c r="C53" s="93">
        <v>49350</v>
      </c>
      <c r="D53" s="114" t="s">
        <v>612</v>
      </c>
      <c r="E53" s="104"/>
      <c r="F53" s="110"/>
      <c r="G53" s="37"/>
      <c r="H53" s="106"/>
      <c r="I53" s="103"/>
      <c r="J53" s="338">
        <v>45131</v>
      </c>
      <c r="K53" s="349" t="s">
        <v>216</v>
      </c>
      <c r="L53" s="49">
        <v>8015.92</v>
      </c>
      <c r="M53" s="633">
        <f>M49+N49</f>
        <v>4025844.7600000002</v>
      </c>
      <c r="N53" s="634"/>
      <c r="P53" s="44"/>
      <c r="Q53" s="19"/>
    </row>
    <row r="54" spans="1:18" ht="18" thickBot="1" x14ac:dyDescent="0.35">
      <c r="A54" s="31"/>
      <c r="B54" s="32">
        <v>45128</v>
      </c>
      <c r="C54" s="93">
        <v>100000</v>
      </c>
      <c r="D54" s="102" t="s">
        <v>808</v>
      </c>
      <c r="E54" s="104"/>
      <c r="F54" s="110"/>
      <c r="G54" s="37"/>
      <c r="H54" s="106"/>
      <c r="I54" s="103"/>
      <c r="J54" s="338">
        <v>45135</v>
      </c>
      <c r="K54" s="349" t="s">
        <v>812</v>
      </c>
      <c r="L54" s="49">
        <v>1298.04</v>
      </c>
      <c r="M54" s="113"/>
      <c r="N54" s="113"/>
      <c r="P54" s="44"/>
      <c r="Q54" s="19"/>
    </row>
    <row r="55" spans="1:18" ht="18" thickBot="1" x14ac:dyDescent="0.35">
      <c r="A55" s="31"/>
      <c r="B55" s="32">
        <v>45128</v>
      </c>
      <c r="C55" s="93">
        <v>5280</v>
      </c>
      <c r="D55" s="102" t="s">
        <v>890</v>
      </c>
      <c r="E55" s="104"/>
      <c r="F55" s="110"/>
      <c r="G55" s="37"/>
      <c r="H55" s="106"/>
      <c r="I55" s="103"/>
      <c r="J55" s="338">
        <v>45135</v>
      </c>
      <c r="K55" s="343" t="s">
        <v>1042</v>
      </c>
      <c r="L55" s="49">
        <v>3786.75</v>
      </c>
      <c r="M55" s="113"/>
      <c r="N55" s="113"/>
      <c r="P55" s="44"/>
      <c r="Q55" s="19"/>
    </row>
    <row r="56" spans="1:18" ht="18" thickBot="1" x14ac:dyDescent="0.35">
      <c r="A56" s="31"/>
      <c r="B56" s="32">
        <v>45128</v>
      </c>
      <c r="C56" s="93">
        <v>13441</v>
      </c>
      <c r="D56" s="102" t="s">
        <v>891</v>
      </c>
      <c r="E56" s="104"/>
      <c r="F56" s="110"/>
      <c r="G56" s="37"/>
      <c r="H56" s="106"/>
      <c r="I56" s="103"/>
      <c r="J56" s="341">
        <v>45135</v>
      </c>
      <c r="K56" s="343" t="s">
        <v>1043</v>
      </c>
      <c r="L56" s="84">
        <v>6531.7</v>
      </c>
      <c r="M56" s="113"/>
      <c r="N56" s="113"/>
      <c r="P56" s="44"/>
      <c r="Q56" s="19"/>
    </row>
    <row r="57" spans="1:18" ht="18" thickBot="1" x14ac:dyDescent="0.35">
      <c r="A57" s="31"/>
      <c r="B57" s="32">
        <v>45128</v>
      </c>
      <c r="C57" s="93">
        <v>9580</v>
      </c>
      <c r="D57" s="102" t="s">
        <v>892</v>
      </c>
      <c r="E57" s="104"/>
      <c r="F57" s="110"/>
      <c r="G57" s="37"/>
      <c r="H57" s="106"/>
      <c r="I57" s="103"/>
      <c r="J57" s="341">
        <v>45135</v>
      </c>
      <c r="K57" s="349" t="s">
        <v>1044</v>
      </c>
      <c r="L57" s="84">
        <v>6170.82</v>
      </c>
      <c r="M57" s="113"/>
      <c r="N57" s="113"/>
      <c r="P57" s="44"/>
      <c r="Q57" s="19"/>
    </row>
    <row r="58" spans="1:18" ht="18" thickBot="1" x14ac:dyDescent="0.35">
      <c r="A58" s="31"/>
      <c r="B58" s="32">
        <v>45128</v>
      </c>
      <c r="C58" s="93">
        <v>5321</v>
      </c>
      <c r="D58" s="102" t="s">
        <v>893</v>
      </c>
      <c r="E58" s="104"/>
      <c r="F58" s="110"/>
      <c r="G58" s="37"/>
      <c r="H58" s="106"/>
      <c r="I58" s="103"/>
      <c r="J58" s="341">
        <v>45135</v>
      </c>
      <c r="K58" s="350" t="s">
        <v>1045</v>
      </c>
      <c r="L58" s="84">
        <v>42299.360000000001</v>
      </c>
      <c r="M58" s="113"/>
      <c r="N58" s="113"/>
      <c r="P58" s="44"/>
      <c r="Q58" s="19"/>
    </row>
    <row r="59" spans="1:18" ht="18" thickBot="1" x14ac:dyDescent="0.35">
      <c r="A59" s="31"/>
      <c r="B59" s="32">
        <v>45128</v>
      </c>
      <c r="C59" s="93">
        <v>7806.4</v>
      </c>
      <c r="D59" s="114" t="s">
        <v>1041</v>
      </c>
      <c r="E59" s="104"/>
      <c r="F59" s="110"/>
      <c r="G59" s="37"/>
      <c r="H59" s="106"/>
      <c r="I59" s="103"/>
      <c r="J59" s="341">
        <v>45153</v>
      </c>
      <c r="K59" s="349" t="s">
        <v>1070</v>
      </c>
      <c r="L59" s="84">
        <v>9744</v>
      </c>
      <c r="M59" s="113"/>
      <c r="N59" s="113"/>
      <c r="P59" s="44"/>
      <c r="Q59" s="19"/>
    </row>
    <row r="60" spans="1:18" ht="18" thickBot="1" x14ac:dyDescent="0.35">
      <c r="A60" s="31"/>
      <c r="B60" s="32">
        <v>45131</v>
      </c>
      <c r="C60" s="565">
        <v>792561</v>
      </c>
      <c r="D60" s="566" t="s">
        <v>1075</v>
      </c>
      <c r="E60" s="104"/>
      <c r="F60" s="110"/>
      <c r="G60" s="37"/>
      <c r="H60" s="106"/>
      <c r="I60" s="103"/>
      <c r="J60" s="475">
        <v>45167</v>
      </c>
      <c r="K60" s="350" t="s">
        <v>1069</v>
      </c>
      <c r="L60" s="84">
        <v>21634</v>
      </c>
      <c r="M60" s="113"/>
      <c r="N60" s="113"/>
      <c r="P60" s="44"/>
      <c r="Q60" s="19"/>
    </row>
    <row r="61" spans="1:18" ht="18" thickBot="1" x14ac:dyDescent="0.35">
      <c r="A61" s="31"/>
      <c r="B61" s="573">
        <v>45132</v>
      </c>
      <c r="C61" s="575">
        <v>119630.7</v>
      </c>
      <c r="D61" s="579" t="s">
        <v>811</v>
      </c>
      <c r="E61" s="104"/>
      <c r="F61" s="110"/>
      <c r="G61" s="37"/>
      <c r="H61" s="106"/>
      <c r="I61" s="103"/>
      <c r="J61" s="578"/>
      <c r="K61" s="349"/>
      <c r="L61" s="68"/>
      <c r="M61" s="113"/>
      <c r="N61" s="113"/>
      <c r="P61" s="44"/>
      <c r="Q61" s="19"/>
    </row>
    <row r="62" spans="1:18" ht="16.5" thickBot="1" x14ac:dyDescent="0.3">
      <c r="A62" s="31"/>
      <c r="B62" s="130">
        <v>45135</v>
      </c>
      <c r="C62" s="131">
        <v>100000</v>
      </c>
      <c r="D62" s="403" t="s">
        <v>808</v>
      </c>
      <c r="E62" s="136"/>
      <c r="F62" s="44"/>
      <c r="H62" s="137"/>
      <c r="I62" s="44"/>
      <c r="J62" s="74"/>
      <c r="K62" s="121"/>
      <c r="L62" s="84"/>
      <c r="M62" s="44"/>
      <c r="N62" s="44"/>
      <c r="P62" s="44"/>
      <c r="Q62" s="19"/>
    </row>
    <row r="63" spans="1:18" ht="16.5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2796341.45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732167.90999999992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27" t="s">
        <v>15</v>
      </c>
      <c r="I69" s="628"/>
      <c r="J69" s="154"/>
      <c r="K69" s="629">
        <f>I67+L67</f>
        <v>792651.90999999992</v>
      </c>
      <c r="L69" s="630"/>
      <c r="M69" s="155"/>
      <c r="N69" s="155"/>
      <c r="P69" s="44"/>
      <c r="Q69" s="19"/>
    </row>
    <row r="70" spans="1:17" x14ac:dyDescent="0.25">
      <c r="D70" s="621" t="s">
        <v>16</v>
      </c>
      <c r="E70" s="621"/>
      <c r="F70" s="156">
        <f>F67-K69-C67</f>
        <v>896993.63999999966</v>
      </c>
      <c r="I70" s="157"/>
      <c r="J70" s="158"/>
    </row>
    <row r="71" spans="1:17" ht="18.75" x14ac:dyDescent="0.3">
      <c r="D71" s="622" t="s">
        <v>17</v>
      </c>
      <c r="E71" s="622"/>
      <c r="F71" s="101">
        <v>-931631.77</v>
      </c>
      <c r="I71" s="623" t="s">
        <v>18</v>
      </c>
      <c r="J71" s="624"/>
      <c r="K71" s="625">
        <f>F73+F74+F75</f>
        <v>2818686.5799999996</v>
      </c>
      <c r="L71" s="625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-157181.73000000036</v>
      </c>
      <c r="H73" s="168"/>
      <c r="I73" s="169" t="s">
        <v>21</v>
      </c>
      <c r="J73" s="170"/>
      <c r="K73" s="626">
        <f>-C4</f>
        <v>-3131387.04</v>
      </c>
      <c r="L73" s="625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614" t="s">
        <v>24</v>
      </c>
      <c r="E75" s="615"/>
      <c r="F75" s="173">
        <v>2820551.31</v>
      </c>
      <c r="I75" s="616" t="s">
        <v>220</v>
      </c>
      <c r="J75" s="617"/>
      <c r="K75" s="618">
        <f>K71+K73</f>
        <v>-312700.46000000043</v>
      </c>
      <c r="L75" s="618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J40:L62">
    <sortCondition ref="J40:J62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13" workbookViewId="0">
      <selection activeCell="F19" sqref="F1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409">
        <v>45173</v>
      </c>
      <c r="M12" s="410">
        <v>2360</v>
      </c>
      <c r="N12" s="227">
        <f t="shared" si="1"/>
        <v>43229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409">
        <v>45173</v>
      </c>
      <c r="M13" s="410">
        <v>3000</v>
      </c>
      <c r="N13" s="227">
        <f t="shared" si="1"/>
        <v>43229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409">
        <v>45173</v>
      </c>
      <c r="M14" s="410">
        <v>720</v>
      </c>
      <c r="N14" s="227">
        <f t="shared" si="1"/>
        <v>43229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409">
        <v>45173</v>
      </c>
      <c r="M15" s="410">
        <v>2470</v>
      </c>
      <c r="N15" s="227">
        <f t="shared" si="1"/>
        <v>43229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409">
        <v>45173</v>
      </c>
      <c r="M16" s="410">
        <v>360</v>
      </c>
      <c r="N16" s="227">
        <f t="shared" si="1"/>
        <v>43229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409">
        <v>45173</v>
      </c>
      <c r="M17" s="410">
        <v>600</v>
      </c>
      <c r="N17" s="227">
        <f t="shared" si="1"/>
        <v>43229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409">
        <v>45173</v>
      </c>
      <c r="M18" s="410">
        <v>12260</v>
      </c>
      <c r="N18" s="227">
        <f t="shared" si="1"/>
        <v>43229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 t="s">
        <v>10</v>
      </c>
      <c r="G19" s="225" t="e">
        <f t="shared" si="0"/>
        <v>#VALUE!</v>
      </c>
      <c r="I19" s="235" t="s">
        <v>848</v>
      </c>
      <c r="J19" s="236">
        <v>12915</v>
      </c>
      <c r="K19" s="237">
        <v>600</v>
      </c>
      <c r="L19" s="409">
        <v>45173</v>
      </c>
      <c r="M19" s="410">
        <v>600</v>
      </c>
      <c r="N19" s="227">
        <f t="shared" si="1"/>
        <v>43229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409">
        <v>45173</v>
      </c>
      <c r="M20" s="410">
        <v>720</v>
      </c>
      <c r="N20" s="227">
        <f t="shared" si="1"/>
        <v>43229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409">
        <v>45173</v>
      </c>
      <c r="M21" s="410">
        <v>6120</v>
      </c>
      <c r="N21" s="227">
        <f t="shared" si="1"/>
        <v>43229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409">
        <v>45173</v>
      </c>
      <c r="M22" s="410">
        <v>480</v>
      </c>
      <c r="N22" s="227">
        <f t="shared" si="1"/>
        <v>43229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409">
        <v>45173</v>
      </c>
      <c r="M23" s="410">
        <v>4680</v>
      </c>
      <c r="N23" s="227">
        <f t="shared" si="1"/>
        <v>43229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409">
        <v>45173</v>
      </c>
      <c r="M24" s="410">
        <v>17443</v>
      </c>
      <c r="N24" s="227">
        <f t="shared" si="1"/>
        <v>43229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409">
        <v>45173</v>
      </c>
      <c r="M25" s="410">
        <v>840</v>
      </c>
      <c r="N25" s="227">
        <f t="shared" si="1"/>
        <v>43229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409">
        <v>45173</v>
      </c>
      <c r="M26" s="410">
        <v>3780</v>
      </c>
      <c r="N26" s="227">
        <f t="shared" si="1"/>
        <v>43229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409">
        <v>45173</v>
      </c>
      <c r="M27" s="410">
        <v>9832</v>
      </c>
      <c r="N27" s="227">
        <f t="shared" si="1"/>
        <v>43229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409">
        <v>45173</v>
      </c>
      <c r="M28" s="410">
        <v>11249.6</v>
      </c>
      <c r="N28" s="227">
        <f t="shared" si="1"/>
        <v>43229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409">
        <v>45173</v>
      </c>
      <c r="M29" s="410">
        <v>600</v>
      </c>
      <c r="N29" s="227">
        <f t="shared" si="1"/>
        <v>43229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409">
        <v>45173</v>
      </c>
      <c r="M30" s="410">
        <v>600</v>
      </c>
      <c r="N30" s="227">
        <f t="shared" si="1"/>
        <v>43229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409">
        <v>45173</v>
      </c>
      <c r="M31" s="410">
        <v>600</v>
      </c>
      <c r="N31" s="227">
        <f t="shared" si="1"/>
        <v>43229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43229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43229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43229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43229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43229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647" t="s">
        <v>35</v>
      </c>
      <c r="J37" s="648"/>
      <c r="K37" s="491"/>
      <c r="L37" s="491"/>
      <c r="M37" s="101"/>
      <c r="N37" s="227">
        <f t="shared" si="1"/>
        <v>43229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649"/>
      <c r="J38" s="650"/>
      <c r="K38" s="490"/>
      <c r="L38" s="218"/>
      <c r="M38" s="101"/>
      <c r="N38" s="227">
        <f t="shared" si="1"/>
        <v>43229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651"/>
      <c r="J39" s="652"/>
      <c r="K39" s="84"/>
      <c r="L39" s="238"/>
      <c r="M39" s="84"/>
      <c r="N39" s="227">
        <f t="shared" si="1"/>
        <v>43229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43229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43229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43229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43229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43229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43229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43229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43229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43229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43229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43229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43229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43229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43229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43229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43229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43229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43229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43229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43229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43229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43229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43229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43229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43229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43229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 t="e">
        <f>SUM(G3:G66)</f>
        <v>#VALUE!</v>
      </c>
      <c r="I67" s="653" t="s">
        <v>35</v>
      </c>
      <c r="J67" s="654"/>
      <c r="K67" s="264">
        <f>SUM(K3:K66)</f>
        <v>122543.6</v>
      </c>
      <c r="L67" s="265"/>
      <c r="M67" s="266">
        <f>SUM(M3:M66)</f>
        <v>79314.600000000006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57" t="s">
        <v>36</v>
      </c>
      <c r="I68" s="662"/>
      <c r="J68" s="66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5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X109"/>
  <sheetViews>
    <sheetView topLeftCell="A22" workbookViewId="0">
      <selection activeCell="K40" sqref="K4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37"/>
      <c r="C1" s="639" t="s">
        <v>765</v>
      </c>
      <c r="D1" s="640"/>
      <c r="E1" s="640"/>
      <c r="F1" s="640"/>
      <c r="G1" s="640"/>
      <c r="H1" s="640"/>
      <c r="I1" s="640"/>
      <c r="J1" s="640"/>
      <c r="K1" s="640"/>
      <c r="L1" s="640"/>
      <c r="M1" s="640"/>
    </row>
    <row r="2" spans="1:22" ht="16.5" thickBot="1" x14ac:dyDescent="0.3">
      <c r="B2" s="638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41" t="s">
        <v>0</v>
      </c>
      <c r="C3" s="642"/>
      <c r="D3" s="14"/>
      <c r="E3" s="15"/>
      <c r="F3" s="16"/>
      <c r="H3" s="643" t="s">
        <v>1</v>
      </c>
      <c r="I3" s="643"/>
      <c r="K3" s="18"/>
      <c r="L3" s="19"/>
      <c r="M3" s="20"/>
      <c r="P3" s="635" t="s">
        <v>2</v>
      </c>
      <c r="Q3" s="533"/>
      <c r="R3" s="664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610" t="s">
        <v>5</v>
      </c>
      <c r="F4" s="611"/>
      <c r="H4" s="612" t="s">
        <v>6</v>
      </c>
      <c r="I4" s="613"/>
      <c r="J4" s="25"/>
      <c r="K4" s="26"/>
      <c r="L4" s="27"/>
      <c r="M4" s="28" t="s">
        <v>7</v>
      </c>
      <c r="N4" s="29" t="s">
        <v>8</v>
      </c>
      <c r="P4" s="636"/>
      <c r="Q4" s="30" t="s">
        <v>9</v>
      </c>
      <c r="R4" s="665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41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7:Q41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>
        <v>19252</v>
      </c>
      <c r="D13" s="51" t="s">
        <v>897</v>
      </c>
      <c r="E13" s="35">
        <v>45144</v>
      </c>
      <c r="F13" s="36">
        <v>104305</v>
      </c>
      <c r="G13" s="37"/>
      <c r="H13" s="38">
        <v>45144</v>
      </c>
      <c r="I13" s="39">
        <v>1265.5</v>
      </c>
      <c r="J13" s="40"/>
      <c r="K13" s="343"/>
      <c r="L13" s="49"/>
      <c r="M13" s="42">
        <v>43061.5</v>
      </c>
      <c r="N13" s="43">
        <v>40726</v>
      </c>
      <c r="O13" s="192"/>
      <c r="P13" s="49">
        <f>N13+M13+L13+I13+C13</f>
        <v>104305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>
        <v>39840</v>
      </c>
      <c r="D14" s="50" t="s">
        <v>898</v>
      </c>
      <c r="E14" s="35">
        <v>45145</v>
      </c>
      <c r="F14" s="36">
        <v>207595</v>
      </c>
      <c r="G14" s="37"/>
      <c r="H14" s="38">
        <v>45145</v>
      </c>
      <c r="I14" s="39">
        <v>1816</v>
      </c>
      <c r="J14" s="40"/>
      <c r="K14" s="65"/>
      <c r="L14" s="49"/>
      <c r="M14" s="42">
        <f>87614+1430</f>
        <v>89044</v>
      </c>
      <c r="N14" s="43">
        <v>76895</v>
      </c>
      <c r="O14" s="193"/>
      <c r="P14" s="49">
        <f t="shared" si="0"/>
        <v>207595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>
        <v>19759</v>
      </c>
      <c r="D15" s="50" t="s">
        <v>899</v>
      </c>
      <c r="E15" s="35">
        <v>45146</v>
      </c>
      <c r="F15" s="36">
        <v>173547</v>
      </c>
      <c r="G15" s="37"/>
      <c r="H15" s="38">
        <v>45146</v>
      </c>
      <c r="I15" s="39">
        <v>2143</v>
      </c>
      <c r="J15" s="40"/>
      <c r="K15" s="65"/>
      <c r="L15" s="49"/>
      <c r="M15" s="42">
        <f>79794+12191+3456</f>
        <v>95441</v>
      </c>
      <c r="N15" s="43">
        <v>56204</v>
      </c>
      <c r="P15" s="49">
        <f t="shared" si="0"/>
        <v>173547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>
        <v>17177</v>
      </c>
      <c r="D16" s="50" t="s">
        <v>900</v>
      </c>
      <c r="E16" s="35">
        <v>45147</v>
      </c>
      <c r="F16" s="36">
        <v>121787</v>
      </c>
      <c r="G16" s="37"/>
      <c r="H16" s="38">
        <v>45147</v>
      </c>
      <c r="I16" s="39">
        <v>2919</v>
      </c>
      <c r="J16" s="40"/>
      <c r="K16" s="342"/>
      <c r="L16" s="13"/>
      <c r="M16" s="42">
        <f>46373+2307+5507</f>
        <v>54187</v>
      </c>
      <c r="N16" s="43">
        <v>47504</v>
      </c>
      <c r="P16" s="49">
        <f t="shared" si="0"/>
        <v>121787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>
        <v>5345</v>
      </c>
      <c r="D17" s="47" t="s">
        <v>901</v>
      </c>
      <c r="E17" s="35">
        <v>45148</v>
      </c>
      <c r="F17" s="36">
        <v>234342</v>
      </c>
      <c r="G17" s="37"/>
      <c r="H17" s="38">
        <v>45148</v>
      </c>
      <c r="I17" s="39">
        <v>2555</v>
      </c>
      <c r="J17" s="40"/>
      <c r="K17" s="65"/>
      <c r="L17" s="55"/>
      <c r="M17" s="42">
        <f>120207+12818+2165</f>
        <v>135190</v>
      </c>
      <c r="N17" s="43">
        <v>91252</v>
      </c>
      <c r="O17" s="499"/>
      <c r="P17" s="49">
        <f t="shared" si="0"/>
        <v>234342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>
        <v>7541</v>
      </c>
      <c r="D18" s="51" t="s">
        <v>902</v>
      </c>
      <c r="E18" s="35">
        <v>45149</v>
      </c>
      <c r="F18" s="36">
        <v>150157</v>
      </c>
      <c r="G18" s="37"/>
      <c r="H18" s="38">
        <v>45149</v>
      </c>
      <c r="I18" s="39">
        <v>1889</v>
      </c>
      <c r="J18" s="40"/>
      <c r="K18" s="58"/>
      <c r="L18" s="49"/>
      <c r="M18" s="42">
        <v>88736</v>
      </c>
      <c r="N18" s="43">
        <v>51991</v>
      </c>
      <c r="P18" s="49">
        <f t="shared" si="0"/>
        <v>150157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>
        <v>18046</v>
      </c>
      <c r="D19" s="47" t="s">
        <v>903</v>
      </c>
      <c r="E19" s="35">
        <v>45150</v>
      </c>
      <c r="F19" s="36">
        <v>186919</v>
      </c>
      <c r="G19" s="37"/>
      <c r="H19" s="38">
        <v>45150</v>
      </c>
      <c r="I19" s="39">
        <v>5426</v>
      </c>
      <c r="J19" s="40">
        <v>45150</v>
      </c>
      <c r="K19" s="344" t="s">
        <v>904</v>
      </c>
      <c r="L19" s="59">
        <v>33661.81</v>
      </c>
      <c r="M19" s="42">
        <f>58832+500+4094</f>
        <v>63426</v>
      </c>
      <c r="N19" s="43">
        <v>66272</v>
      </c>
      <c r="O19" s="499"/>
      <c r="P19" s="49">
        <f t="shared" si="0"/>
        <v>186831.81</v>
      </c>
      <c r="Q19" s="404">
        <f t="shared" si="1"/>
        <v>-87.190000000002328</v>
      </c>
      <c r="R19" s="46">
        <v>0</v>
      </c>
      <c r="S19" s="233" t="s">
        <v>97</v>
      </c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>
        <v>6175</v>
      </c>
      <c r="D20" s="47" t="s">
        <v>906</v>
      </c>
      <c r="E20" s="35">
        <v>45151</v>
      </c>
      <c r="F20" s="36">
        <v>123390</v>
      </c>
      <c r="G20" s="37"/>
      <c r="H20" s="38">
        <v>45151</v>
      </c>
      <c r="I20" s="39">
        <v>900</v>
      </c>
      <c r="J20" s="40"/>
      <c r="K20" s="60"/>
      <c r="L20" s="55"/>
      <c r="M20" s="42">
        <f>22396+38828</f>
        <v>61224</v>
      </c>
      <c r="N20" s="43">
        <v>55091</v>
      </c>
      <c r="P20" s="49">
        <f t="shared" si="0"/>
        <v>123390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>
        <v>16668</v>
      </c>
      <c r="D21" s="47" t="s">
        <v>907</v>
      </c>
      <c r="E21" s="35">
        <v>45152</v>
      </c>
      <c r="F21" s="36">
        <v>152910</v>
      </c>
      <c r="G21" s="37"/>
      <c r="H21" s="38">
        <v>45152</v>
      </c>
      <c r="I21" s="39">
        <v>2662</v>
      </c>
      <c r="J21" s="40"/>
      <c r="K21" s="402"/>
      <c r="L21" s="55"/>
      <c r="M21" s="42">
        <f>1266.34+86406</f>
        <v>87672.34</v>
      </c>
      <c r="N21" s="43">
        <v>45908</v>
      </c>
      <c r="P21" s="49">
        <f t="shared" si="0"/>
        <v>152910.34</v>
      </c>
      <c r="Q21" s="45">
        <f t="shared" si="1"/>
        <v>0.33999999999650754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>
        <v>27406</v>
      </c>
      <c r="D22" s="47" t="s">
        <v>908</v>
      </c>
      <c r="E22" s="35">
        <v>45153</v>
      </c>
      <c r="F22" s="36">
        <v>266059</v>
      </c>
      <c r="G22" s="37"/>
      <c r="H22" s="38">
        <v>45153</v>
      </c>
      <c r="I22" s="359">
        <v>2428</v>
      </c>
      <c r="J22" s="40"/>
      <c r="K22" s="506"/>
      <c r="L22" s="62"/>
      <c r="M22" s="42">
        <f>146959.5+21581.5+2398+1919</f>
        <v>172858</v>
      </c>
      <c r="N22" s="43">
        <v>63367</v>
      </c>
      <c r="P22" s="49">
        <f t="shared" si="0"/>
        <v>266059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>
        <v>13732</v>
      </c>
      <c r="D23" s="47" t="s">
        <v>909</v>
      </c>
      <c r="E23" s="35">
        <v>45154</v>
      </c>
      <c r="F23" s="36">
        <v>131733</v>
      </c>
      <c r="G23" s="37"/>
      <c r="H23" s="38">
        <v>45154</v>
      </c>
      <c r="I23" s="39">
        <v>1868.5</v>
      </c>
      <c r="J23" s="64"/>
      <c r="K23" s="65"/>
      <c r="L23" s="55"/>
      <c r="M23" s="42">
        <f>58178.5+1869.48+4400</f>
        <v>64447.98</v>
      </c>
      <c r="N23" s="43">
        <v>51694</v>
      </c>
      <c r="P23" s="49">
        <f t="shared" si="0"/>
        <v>131742.48000000001</v>
      </c>
      <c r="Q23" s="45">
        <f t="shared" si="1"/>
        <v>9.4800000000104774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>
        <v>6259</v>
      </c>
      <c r="D24" s="51" t="s">
        <v>910</v>
      </c>
      <c r="E24" s="35">
        <v>45155</v>
      </c>
      <c r="F24" s="36">
        <v>155989</v>
      </c>
      <c r="G24" s="37"/>
      <c r="H24" s="38">
        <v>45155</v>
      </c>
      <c r="I24" s="39">
        <v>1597</v>
      </c>
      <c r="J24" s="66"/>
      <c r="K24" s="65"/>
      <c r="L24" s="67"/>
      <c r="M24" s="42">
        <f>79382+3699.41</f>
        <v>83081.41</v>
      </c>
      <c r="N24" s="43">
        <v>65052</v>
      </c>
      <c r="P24" s="49">
        <f>N24+M24+L24+I24+C24</f>
        <v>155989.41</v>
      </c>
      <c r="Q24" s="45">
        <f t="shared" si="1"/>
        <v>0.41000000000349246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>
        <v>10785</v>
      </c>
      <c r="D25" s="47" t="s">
        <v>911</v>
      </c>
      <c r="E25" s="35">
        <v>45156</v>
      </c>
      <c r="F25" s="36">
        <v>161486</v>
      </c>
      <c r="G25" s="37"/>
      <c r="H25" s="38">
        <v>45156</v>
      </c>
      <c r="I25" s="39">
        <v>2780.5</v>
      </c>
      <c r="J25" s="64"/>
      <c r="K25" s="65"/>
      <c r="L25" s="68"/>
      <c r="M25" s="42">
        <f>88950+3240</f>
        <v>92190</v>
      </c>
      <c r="N25" s="43">
        <v>55732</v>
      </c>
      <c r="P25" s="69">
        <f t="shared" si="0"/>
        <v>161487.5</v>
      </c>
      <c r="Q25" s="45">
        <f t="shared" si="1"/>
        <v>1.5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45157</v>
      </c>
      <c r="C26" s="33">
        <v>14402.5</v>
      </c>
      <c r="D26" s="47" t="s">
        <v>912</v>
      </c>
      <c r="E26" s="35">
        <v>45157</v>
      </c>
      <c r="F26" s="36">
        <v>177834</v>
      </c>
      <c r="G26" s="37"/>
      <c r="H26" s="38">
        <v>45157</v>
      </c>
      <c r="I26" s="39">
        <v>13081</v>
      </c>
      <c r="J26" s="40">
        <v>45157</v>
      </c>
      <c r="K26" s="537" t="s">
        <v>913</v>
      </c>
      <c r="L26" s="71">
        <v>24773</v>
      </c>
      <c r="M26" s="42">
        <f>55730.5+2590</f>
        <v>58320.5</v>
      </c>
      <c r="N26" s="43">
        <v>67257</v>
      </c>
      <c r="O26" s="2" t="s">
        <v>10</v>
      </c>
      <c r="P26" s="69">
        <f t="shared" si="0"/>
        <v>177834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>
        <v>26314</v>
      </c>
      <c r="D27" s="51" t="s">
        <v>914</v>
      </c>
      <c r="E27" s="35">
        <v>45158</v>
      </c>
      <c r="F27" s="36">
        <v>117266</v>
      </c>
      <c r="G27" s="37"/>
      <c r="H27" s="38">
        <v>45158</v>
      </c>
      <c r="I27" s="39">
        <v>913.5</v>
      </c>
      <c r="J27" s="337"/>
      <c r="K27" s="345"/>
      <c r="L27" s="68"/>
      <c r="M27" s="42">
        <f>11703+23317.5</f>
        <v>35020.5</v>
      </c>
      <c r="N27" s="43">
        <v>55018</v>
      </c>
      <c r="P27" s="69">
        <f t="shared" si="0"/>
        <v>117266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>
        <v>65201</v>
      </c>
      <c r="D28" s="51" t="s">
        <v>915</v>
      </c>
      <c r="E28" s="35">
        <v>45159</v>
      </c>
      <c r="F28" s="36">
        <v>229986</v>
      </c>
      <c r="G28" s="37"/>
      <c r="H28" s="38">
        <v>45159</v>
      </c>
      <c r="I28" s="39">
        <v>3872.5</v>
      </c>
      <c r="J28" s="338"/>
      <c r="K28" s="70"/>
      <c r="L28" s="68"/>
      <c r="M28" s="42">
        <f>18114.5+122997+130000</f>
        <v>271111.5</v>
      </c>
      <c r="N28" s="43">
        <v>34139</v>
      </c>
      <c r="P28" s="69">
        <f t="shared" si="0"/>
        <v>374324</v>
      </c>
      <c r="Q28" s="45">
        <f>P28-F28-144338</f>
        <v>0</v>
      </c>
      <c r="R28" s="538">
        <v>144338</v>
      </c>
      <c r="S28" s="233"/>
    </row>
    <row r="29" spans="1:22" ht="18" thickBot="1" x14ac:dyDescent="0.35">
      <c r="A29" s="504" t="s">
        <v>652</v>
      </c>
      <c r="B29" s="32">
        <v>45160</v>
      </c>
      <c r="C29" s="33">
        <v>13817</v>
      </c>
      <c r="D29" s="76" t="s">
        <v>916</v>
      </c>
      <c r="E29" s="35">
        <v>45160</v>
      </c>
      <c r="F29" s="36">
        <v>129901</v>
      </c>
      <c r="G29" s="37"/>
      <c r="H29" s="38">
        <v>45160</v>
      </c>
      <c r="I29" s="39">
        <v>2427</v>
      </c>
      <c r="J29" s="339">
        <v>45160</v>
      </c>
      <c r="K29" s="539" t="s">
        <v>917</v>
      </c>
      <c r="L29" s="68">
        <v>943</v>
      </c>
      <c r="M29" s="42">
        <v>62100</v>
      </c>
      <c r="N29" s="43">
        <v>50617</v>
      </c>
      <c r="P29" s="69">
        <f t="shared" si="0"/>
        <v>129904</v>
      </c>
      <c r="Q29" s="45">
        <f t="shared" si="1"/>
        <v>3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>
        <v>9837</v>
      </c>
      <c r="D30" s="76" t="s">
        <v>918</v>
      </c>
      <c r="E30" s="35">
        <v>45161</v>
      </c>
      <c r="F30" s="36">
        <v>122556</v>
      </c>
      <c r="G30" s="37"/>
      <c r="H30" s="38">
        <v>45161</v>
      </c>
      <c r="I30" s="39">
        <v>3076</v>
      </c>
      <c r="J30" s="338"/>
      <c r="K30" s="65"/>
      <c r="L30" s="49"/>
      <c r="M30" s="42">
        <f>52179+6622+7722</f>
        <v>66523</v>
      </c>
      <c r="N30" s="43">
        <v>43120</v>
      </c>
      <c r="P30" s="69">
        <f t="shared" si="0"/>
        <v>122556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>
        <v>2070</v>
      </c>
      <c r="D31" s="79" t="s">
        <v>919</v>
      </c>
      <c r="E31" s="35">
        <v>45162</v>
      </c>
      <c r="F31" s="36">
        <v>140850</v>
      </c>
      <c r="G31" s="37"/>
      <c r="H31" s="38">
        <v>45162</v>
      </c>
      <c r="I31" s="39">
        <v>1675</v>
      </c>
      <c r="J31" s="338"/>
      <c r="K31" s="347"/>
      <c r="L31" s="68"/>
      <c r="M31" s="42">
        <v>90791</v>
      </c>
      <c r="N31" s="43">
        <v>46314</v>
      </c>
      <c r="P31" s="69">
        <f t="shared" si="0"/>
        <v>140850</v>
      </c>
      <c r="Q31" s="45">
        <f t="shared" si="1"/>
        <v>0</v>
      </c>
      <c r="R31" s="46" t="s">
        <v>10</v>
      </c>
      <c r="S31" s="233"/>
    </row>
    <row r="32" spans="1:22" ht="18" thickBot="1" x14ac:dyDescent="0.35">
      <c r="A32" s="504" t="s">
        <v>655</v>
      </c>
      <c r="B32" s="32">
        <v>45163</v>
      </c>
      <c r="C32" s="33">
        <v>13497</v>
      </c>
      <c r="D32" s="305" t="s">
        <v>920</v>
      </c>
      <c r="E32" s="35">
        <v>45163</v>
      </c>
      <c r="F32" s="36">
        <v>138559</v>
      </c>
      <c r="G32" s="37"/>
      <c r="H32" s="38">
        <v>45163</v>
      </c>
      <c r="I32" s="39">
        <v>3047.5</v>
      </c>
      <c r="J32" s="367"/>
      <c r="K32" s="368"/>
      <c r="L32" s="369"/>
      <c r="M32" s="42">
        <v>74281.5</v>
      </c>
      <c r="N32" s="43">
        <v>47733</v>
      </c>
      <c r="O32" s="2" t="s">
        <v>10</v>
      </c>
      <c r="P32" s="69">
        <f t="shared" si="0"/>
        <v>138559</v>
      </c>
      <c r="Q32" s="45">
        <f t="shared" si="1"/>
        <v>0</v>
      </c>
      <c r="R32" s="46">
        <v>0</v>
      </c>
    </row>
    <row r="33" spans="1:24" ht="18" thickBot="1" x14ac:dyDescent="0.35">
      <c r="A33" s="504" t="s">
        <v>656</v>
      </c>
      <c r="B33" s="32">
        <v>45164</v>
      </c>
      <c r="C33" s="33">
        <v>10391.5</v>
      </c>
      <c r="D33" s="83" t="s">
        <v>122</v>
      </c>
      <c r="E33" s="35">
        <v>45164</v>
      </c>
      <c r="F33" s="36">
        <v>183836</v>
      </c>
      <c r="G33" s="37"/>
      <c r="H33" s="38">
        <v>45164</v>
      </c>
      <c r="I33" s="39">
        <v>3779</v>
      </c>
      <c r="J33" s="338">
        <v>45164</v>
      </c>
      <c r="K33" s="61" t="s">
        <v>921</v>
      </c>
      <c r="L33" s="101">
        <v>24256</v>
      </c>
      <c r="M33" s="42">
        <v>71660.5</v>
      </c>
      <c r="N33" s="43">
        <v>73749</v>
      </c>
      <c r="P33" s="69">
        <f t="shared" si="0"/>
        <v>183836</v>
      </c>
      <c r="Q33" s="45">
        <f t="shared" si="1"/>
        <v>0</v>
      </c>
      <c r="R33" s="46">
        <v>0</v>
      </c>
    </row>
    <row r="34" spans="1:24" ht="18" thickBot="1" x14ac:dyDescent="0.35">
      <c r="A34" s="504" t="s">
        <v>650</v>
      </c>
      <c r="B34" s="32">
        <v>45165</v>
      </c>
      <c r="C34" s="33">
        <v>23416</v>
      </c>
      <c r="D34" s="83" t="s">
        <v>923</v>
      </c>
      <c r="E34" s="35">
        <v>45165</v>
      </c>
      <c r="F34" s="36">
        <v>156871</v>
      </c>
      <c r="G34" s="37"/>
      <c r="H34" s="38">
        <v>45165</v>
      </c>
      <c r="I34" s="39">
        <v>1724</v>
      </c>
      <c r="J34" s="534"/>
      <c r="K34" s="373"/>
      <c r="L34" s="369"/>
      <c r="M34" s="42">
        <v>78590</v>
      </c>
      <c r="N34" s="43">
        <v>53141</v>
      </c>
      <c r="P34" s="69">
        <f t="shared" si="0"/>
        <v>156871</v>
      </c>
      <c r="Q34" s="45">
        <f t="shared" si="1"/>
        <v>0</v>
      </c>
      <c r="R34" s="46">
        <v>0</v>
      </c>
      <c r="S34" t="s">
        <v>10</v>
      </c>
    </row>
    <row r="35" spans="1:24" ht="18" thickBot="1" x14ac:dyDescent="0.35">
      <c r="A35" s="504" t="s">
        <v>651</v>
      </c>
      <c r="B35" s="32">
        <v>45166</v>
      </c>
      <c r="C35" s="86">
        <v>22731</v>
      </c>
      <c r="D35" s="79" t="s">
        <v>924</v>
      </c>
      <c r="E35" s="35">
        <v>45166</v>
      </c>
      <c r="F35" s="36">
        <v>132570</v>
      </c>
      <c r="G35" s="37"/>
      <c r="H35" s="38">
        <v>45166</v>
      </c>
      <c r="I35" s="39">
        <v>4341</v>
      </c>
      <c r="J35" s="374">
        <v>45166</v>
      </c>
      <c r="K35" s="602" t="s">
        <v>925</v>
      </c>
      <c r="L35" s="375">
        <v>4829</v>
      </c>
      <c r="M35" s="42">
        <f>49296+3082</f>
        <v>52378</v>
      </c>
      <c r="N35" s="43">
        <v>48291</v>
      </c>
      <c r="P35" s="69">
        <f t="shared" si="0"/>
        <v>132570</v>
      </c>
      <c r="Q35" s="45">
        <f t="shared" si="1"/>
        <v>0</v>
      </c>
      <c r="R35" s="46">
        <v>0</v>
      </c>
    </row>
    <row r="36" spans="1:24" ht="18" customHeight="1" thickTop="1" thickBot="1" x14ac:dyDescent="0.35">
      <c r="A36" s="504" t="s">
        <v>652</v>
      </c>
      <c r="B36" s="32">
        <v>45167</v>
      </c>
      <c r="C36" s="90">
        <v>22872</v>
      </c>
      <c r="D36" s="94" t="s">
        <v>926</v>
      </c>
      <c r="E36" s="35">
        <v>45167</v>
      </c>
      <c r="F36" s="36">
        <v>128058</v>
      </c>
      <c r="G36" s="92"/>
      <c r="H36" s="38">
        <v>45167</v>
      </c>
      <c r="I36" s="39">
        <v>3101</v>
      </c>
      <c r="J36" s="338"/>
      <c r="K36" s="88"/>
      <c r="L36" s="49"/>
      <c r="M36" s="42">
        <f>42195+6667</f>
        <v>48862</v>
      </c>
      <c r="N36" s="43">
        <v>53223</v>
      </c>
      <c r="P36" s="69">
        <f t="shared" si="0"/>
        <v>128058</v>
      </c>
      <c r="Q36" s="45">
        <f t="shared" si="1"/>
        <v>0</v>
      </c>
      <c r="R36" s="46">
        <v>0</v>
      </c>
    </row>
    <row r="37" spans="1:24" ht="18" customHeight="1" thickBot="1" x14ac:dyDescent="0.35">
      <c r="A37" s="504" t="s">
        <v>653</v>
      </c>
      <c r="B37" s="32">
        <v>45168</v>
      </c>
      <c r="C37" s="93">
        <v>19567</v>
      </c>
      <c r="D37" s="94" t="s">
        <v>927</v>
      </c>
      <c r="E37" s="35">
        <v>45168</v>
      </c>
      <c r="F37" s="36">
        <v>200350</v>
      </c>
      <c r="G37" s="92"/>
      <c r="H37" s="38">
        <v>45168</v>
      </c>
      <c r="I37" s="39">
        <v>2655</v>
      </c>
      <c r="J37" s="338"/>
      <c r="K37" s="350"/>
      <c r="L37" s="49"/>
      <c r="M37" s="42">
        <f>3544+6600+8800+115416</f>
        <v>134360</v>
      </c>
      <c r="N37" s="43">
        <v>43768</v>
      </c>
      <c r="P37" s="69">
        <f t="shared" si="0"/>
        <v>200350</v>
      </c>
      <c r="Q37" s="45">
        <f t="shared" si="1"/>
        <v>0</v>
      </c>
      <c r="R37" s="46">
        <v>0</v>
      </c>
    </row>
    <row r="38" spans="1:24" ht="31.5" customHeight="1" thickBot="1" x14ac:dyDescent="0.35">
      <c r="A38" s="504" t="s">
        <v>654</v>
      </c>
      <c r="B38" s="32">
        <v>45169</v>
      </c>
      <c r="C38" s="93">
        <f>11722</f>
        <v>11722</v>
      </c>
      <c r="D38" s="600" t="s">
        <v>1110</v>
      </c>
      <c r="E38" s="35">
        <v>45169</v>
      </c>
      <c r="F38" s="36">
        <v>229401</v>
      </c>
      <c r="G38" s="92"/>
      <c r="H38" s="38">
        <v>45169</v>
      </c>
      <c r="I38" s="39">
        <v>2648</v>
      </c>
      <c r="J38" s="595">
        <v>45169</v>
      </c>
      <c r="K38" s="596" t="s">
        <v>1108</v>
      </c>
      <c r="L38" s="597">
        <v>170327</v>
      </c>
      <c r="M38" s="42">
        <v>0</v>
      </c>
      <c r="N38" s="43">
        <v>44699</v>
      </c>
      <c r="O38" s="2" t="s">
        <v>935</v>
      </c>
      <c r="P38" s="69">
        <f t="shared" si="0"/>
        <v>229396</v>
      </c>
      <c r="Q38" s="45">
        <f t="shared" si="1"/>
        <v>-5</v>
      </c>
      <c r="R38" s="46">
        <v>0</v>
      </c>
    </row>
    <row r="39" spans="1:24" ht="19.5" thickBot="1" x14ac:dyDescent="0.35">
      <c r="A39" s="504" t="s">
        <v>655</v>
      </c>
      <c r="B39" s="32">
        <v>45170</v>
      </c>
      <c r="C39" s="93">
        <f>3458</f>
        <v>3458</v>
      </c>
      <c r="D39" s="600" t="s">
        <v>1109</v>
      </c>
      <c r="E39" s="35">
        <v>45170</v>
      </c>
      <c r="F39" s="97">
        <v>117570</v>
      </c>
      <c r="G39" s="92"/>
      <c r="H39" s="38">
        <v>45170</v>
      </c>
      <c r="I39" s="98">
        <v>3080.5</v>
      </c>
      <c r="J39" s="595">
        <v>45170</v>
      </c>
      <c r="K39" s="596" t="s">
        <v>1108</v>
      </c>
      <c r="L39" s="597">
        <v>61389.5</v>
      </c>
      <c r="M39" s="42">
        <f>3491</f>
        <v>3491</v>
      </c>
      <c r="N39" s="43">
        <v>45031</v>
      </c>
      <c r="O39" s="2" t="s">
        <v>935</v>
      </c>
      <c r="P39" s="69">
        <f t="shared" si="0"/>
        <v>116450</v>
      </c>
      <c r="Q39" s="540">
        <f t="shared" si="1"/>
        <v>-1120</v>
      </c>
      <c r="R39" s="46">
        <v>0</v>
      </c>
      <c r="T39" s="598" t="s">
        <v>1104</v>
      </c>
      <c r="U39" s="599"/>
      <c r="V39" s="599"/>
      <c r="W39" s="599"/>
      <c r="X39" s="599"/>
    </row>
    <row r="40" spans="1:24" ht="39.75" customHeight="1" thickBot="1" x14ac:dyDescent="0.35">
      <c r="A40" s="504" t="s">
        <v>656</v>
      </c>
      <c r="B40" s="32">
        <v>45171</v>
      </c>
      <c r="C40" s="93">
        <f>10199</f>
        <v>10199</v>
      </c>
      <c r="D40" s="600" t="s">
        <v>1105</v>
      </c>
      <c r="E40" s="35">
        <v>45171</v>
      </c>
      <c r="F40" s="97">
        <v>239641</v>
      </c>
      <c r="G40" s="37"/>
      <c r="H40" s="38">
        <v>45171</v>
      </c>
      <c r="I40" s="98">
        <v>2094</v>
      </c>
      <c r="J40" s="595">
        <v>45171</v>
      </c>
      <c r="K40" s="666" t="s">
        <v>1111</v>
      </c>
      <c r="L40" s="597">
        <f>22683+300+71117</f>
        <v>94100</v>
      </c>
      <c r="M40" s="42">
        <f>46236+4026</f>
        <v>50262</v>
      </c>
      <c r="N40" s="43">
        <v>82986</v>
      </c>
      <c r="O40" s="2" t="s">
        <v>935</v>
      </c>
      <c r="P40" s="69">
        <f t="shared" si="0"/>
        <v>239641</v>
      </c>
      <c r="Q40" s="45">
        <f t="shared" si="1"/>
        <v>0</v>
      </c>
      <c r="R40" s="46">
        <v>0</v>
      </c>
    </row>
    <row r="41" spans="1:24" ht="18" thickBot="1" x14ac:dyDescent="0.35">
      <c r="A41" s="31"/>
      <c r="B41" s="32"/>
      <c r="C41" s="93">
        <v>0</v>
      </c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O41" s="541"/>
      <c r="P41" s="69">
        <f t="shared" si="0"/>
        <v>0</v>
      </c>
      <c r="Q41" s="45">
        <f t="shared" si="1"/>
        <v>0</v>
      </c>
      <c r="R41" s="46">
        <v>0</v>
      </c>
    </row>
    <row r="42" spans="1:24" ht="18" thickBot="1" x14ac:dyDescent="0.35">
      <c r="A42" s="31"/>
      <c r="B42" s="32">
        <v>45138</v>
      </c>
      <c r="C42" s="565">
        <v>11424</v>
      </c>
      <c r="D42" s="585" t="s">
        <v>1079</v>
      </c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ref="Q42:Q47" si="2">P42-F42</f>
        <v>0</v>
      </c>
      <c r="R42" s="46">
        <v>0</v>
      </c>
      <c r="T42" t="s">
        <v>10</v>
      </c>
    </row>
    <row r="43" spans="1:24" ht="18" thickBot="1" x14ac:dyDescent="0.35">
      <c r="A43" s="31"/>
      <c r="B43" s="32">
        <v>45138</v>
      </c>
      <c r="C43" s="586">
        <v>119367.11</v>
      </c>
      <c r="D43" s="587" t="s">
        <v>1081</v>
      </c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24" ht="18" thickBot="1" x14ac:dyDescent="0.35">
      <c r="A44" s="31"/>
      <c r="B44" s="32">
        <v>45139</v>
      </c>
      <c r="C44" s="93">
        <v>118065.8</v>
      </c>
      <c r="D44" s="114" t="s">
        <v>232</v>
      </c>
      <c r="E44" s="35"/>
      <c r="F44" s="97"/>
      <c r="G44" s="37"/>
      <c r="H44" s="38"/>
      <c r="I44" s="103"/>
      <c r="J44" s="338">
        <v>45150</v>
      </c>
      <c r="K44" s="471" t="s">
        <v>905</v>
      </c>
      <c r="L44" s="49">
        <v>18826.84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24" ht="18" thickBot="1" x14ac:dyDescent="0.35">
      <c r="A45" s="31"/>
      <c r="B45" s="32">
        <v>45139</v>
      </c>
      <c r="C45" s="580">
        <v>37120</v>
      </c>
      <c r="D45" s="581" t="s">
        <v>1078</v>
      </c>
      <c r="E45" s="35"/>
      <c r="F45" s="97"/>
      <c r="G45" s="37"/>
      <c r="H45" s="38"/>
      <c r="I45" s="103"/>
      <c r="J45" s="338">
        <v>45157</v>
      </c>
      <c r="K45" s="343" t="s">
        <v>913</v>
      </c>
      <c r="L45" s="49">
        <v>29180.27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24" ht="18" thickBot="1" x14ac:dyDescent="0.35">
      <c r="A46" s="31"/>
      <c r="B46" s="32">
        <v>45140</v>
      </c>
      <c r="C46" s="93">
        <v>28000</v>
      </c>
      <c r="D46" s="114" t="s">
        <v>1048</v>
      </c>
      <c r="E46" s="35"/>
      <c r="F46" s="97"/>
      <c r="G46" s="37"/>
      <c r="H46" s="38"/>
      <c r="I46" s="103"/>
      <c r="J46" s="338">
        <v>45164</v>
      </c>
      <c r="K46" s="343" t="s">
        <v>922</v>
      </c>
      <c r="L46" s="49">
        <v>26378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24" ht="18" thickBot="1" x14ac:dyDescent="0.35">
      <c r="A47" s="31"/>
      <c r="B47" s="32">
        <v>45142</v>
      </c>
      <c r="C47" s="93">
        <v>150000</v>
      </c>
      <c r="D47" s="114" t="s">
        <v>1051</v>
      </c>
      <c r="E47" s="104"/>
      <c r="F47" s="105"/>
      <c r="G47" s="37"/>
      <c r="H47" s="106"/>
      <c r="I47" s="103"/>
      <c r="J47" s="338">
        <v>45171</v>
      </c>
      <c r="K47" s="349" t="s">
        <v>936</v>
      </c>
      <c r="L47" s="49">
        <v>29446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24" ht="18" thickBot="1" x14ac:dyDescent="0.35">
      <c r="A48" s="31"/>
      <c r="B48" s="32">
        <v>45145</v>
      </c>
      <c r="C48" s="580">
        <v>801820</v>
      </c>
      <c r="D48" s="582" t="s">
        <v>1080</v>
      </c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45146</v>
      </c>
      <c r="C49" s="93">
        <v>40500</v>
      </c>
      <c r="D49" s="114" t="s">
        <v>612</v>
      </c>
      <c r="E49" s="104"/>
      <c r="F49" s="110"/>
      <c r="G49" s="37"/>
      <c r="H49" s="106"/>
      <c r="I49" s="103"/>
      <c r="J49" s="338"/>
      <c r="K49" s="349"/>
      <c r="L49" s="49"/>
      <c r="M49" s="619">
        <f>SUM(M5:M40)</f>
        <v>2901103.23</v>
      </c>
      <c r="N49" s="619">
        <f>SUM(N5:N40)</f>
        <v>2054394</v>
      </c>
      <c r="P49" s="111">
        <f>SUM(P5:P40)</f>
        <v>6121324.54</v>
      </c>
      <c r="Q49" s="631">
        <f>SUM(Q5:Q40)</f>
        <v>-1197.4599999999919</v>
      </c>
      <c r="R49" s="46">
        <v>0</v>
      </c>
    </row>
    <row r="50" spans="1:18" ht="18" thickBot="1" x14ac:dyDescent="0.35">
      <c r="A50" s="31"/>
      <c r="B50" s="32">
        <v>45146</v>
      </c>
      <c r="C50" s="93">
        <v>83198.350000000006</v>
      </c>
      <c r="D50" s="114" t="s">
        <v>232</v>
      </c>
      <c r="E50" s="104"/>
      <c r="F50" s="110"/>
      <c r="G50" s="37"/>
      <c r="H50" s="106"/>
      <c r="I50" s="103"/>
      <c r="J50" s="87">
        <v>45139</v>
      </c>
      <c r="K50" s="343" t="s">
        <v>1046</v>
      </c>
      <c r="L50" s="89">
        <v>2958</v>
      </c>
      <c r="M50" s="620"/>
      <c r="N50" s="620"/>
      <c r="P50" s="44"/>
      <c r="Q50" s="632"/>
      <c r="R50" s="112">
        <f>SUM(R5:R49)</f>
        <v>146522</v>
      </c>
    </row>
    <row r="51" spans="1:18" ht="18" thickBot="1" x14ac:dyDescent="0.35">
      <c r="A51" s="31"/>
      <c r="B51" s="32">
        <v>45148</v>
      </c>
      <c r="C51" s="93">
        <v>2735.5</v>
      </c>
      <c r="D51" s="114" t="s">
        <v>1055</v>
      </c>
      <c r="E51" s="104"/>
      <c r="F51" s="110"/>
      <c r="G51" s="37"/>
      <c r="H51" s="106"/>
      <c r="I51" s="103"/>
      <c r="J51" s="338">
        <v>32540</v>
      </c>
      <c r="K51" s="343" t="s">
        <v>1047</v>
      </c>
      <c r="L51" s="49">
        <v>14500</v>
      </c>
      <c r="M51" s="113"/>
      <c r="N51" s="113"/>
      <c r="P51" s="44"/>
      <c r="Q51" s="19"/>
    </row>
    <row r="52" spans="1:18" ht="18" thickBot="1" x14ac:dyDescent="0.35">
      <c r="A52" s="31"/>
      <c r="B52" s="32">
        <v>45148</v>
      </c>
      <c r="C52" s="93">
        <v>5762.7</v>
      </c>
      <c r="D52" s="114" t="s">
        <v>1056</v>
      </c>
      <c r="E52" s="104"/>
      <c r="F52" s="110"/>
      <c r="G52" s="37"/>
      <c r="H52" s="106"/>
      <c r="I52" s="103"/>
      <c r="J52" s="363">
        <v>45141</v>
      </c>
      <c r="K52" s="349" t="s">
        <v>1049</v>
      </c>
      <c r="L52" s="55">
        <v>850</v>
      </c>
      <c r="M52" s="113"/>
      <c r="N52" s="113"/>
      <c r="P52" s="44"/>
      <c r="Q52" s="19"/>
    </row>
    <row r="53" spans="1:18" ht="18" thickBot="1" x14ac:dyDescent="0.35">
      <c r="A53" s="31"/>
      <c r="B53" s="32">
        <v>45149</v>
      </c>
      <c r="C53" s="93">
        <v>100000</v>
      </c>
      <c r="D53" s="114" t="s">
        <v>1057</v>
      </c>
      <c r="E53" s="104"/>
      <c r="F53" s="110"/>
      <c r="G53" s="37"/>
      <c r="H53" s="106"/>
      <c r="I53" s="103"/>
      <c r="J53" s="338">
        <v>45141</v>
      </c>
      <c r="K53" s="343" t="s">
        <v>1050</v>
      </c>
      <c r="L53" s="49">
        <v>1100.01</v>
      </c>
      <c r="M53" s="633">
        <f>M49+N49</f>
        <v>4955497.2300000004</v>
      </c>
      <c r="N53" s="634"/>
      <c r="P53" s="44"/>
      <c r="Q53" s="19"/>
    </row>
    <row r="54" spans="1:18" ht="18" thickBot="1" x14ac:dyDescent="0.35">
      <c r="A54" s="31"/>
      <c r="B54" s="32">
        <v>45152</v>
      </c>
      <c r="C54" s="93">
        <v>9682.81</v>
      </c>
      <c r="D54" s="114" t="s">
        <v>1059</v>
      </c>
      <c r="E54" s="104"/>
      <c r="F54" s="110"/>
      <c r="G54" s="37"/>
      <c r="H54" s="106"/>
      <c r="I54" s="103"/>
      <c r="J54" s="338">
        <v>45145</v>
      </c>
      <c r="K54" s="343" t="s">
        <v>1052</v>
      </c>
      <c r="L54" s="49">
        <v>4908.49</v>
      </c>
      <c r="M54" s="113"/>
      <c r="N54" s="113"/>
      <c r="P54" s="44"/>
      <c r="Q54" s="19"/>
    </row>
    <row r="55" spans="1:18" ht="18" thickBot="1" x14ac:dyDescent="0.35">
      <c r="A55" s="31"/>
      <c r="B55" s="571">
        <v>45153</v>
      </c>
      <c r="C55" s="93">
        <v>8912.9500000000007</v>
      </c>
      <c r="D55" s="135" t="s">
        <v>1057</v>
      </c>
      <c r="E55" s="104"/>
      <c r="F55" s="110"/>
      <c r="G55" s="37"/>
      <c r="H55" s="106"/>
      <c r="I55" s="103"/>
      <c r="J55" s="338">
        <v>45145</v>
      </c>
      <c r="K55" s="343" t="s">
        <v>343</v>
      </c>
      <c r="L55" s="49">
        <v>13940.01</v>
      </c>
      <c r="M55" s="113"/>
      <c r="N55" s="113"/>
      <c r="P55" s="44"/>
      <c r="Q55" s="19"/>
    </row>
    <row r="56" spans="1:18" ht="18" thickBot="1" x14ac:dyDescent="0.35">
      <c r="A56" s="31"/>
      <c r="B56" s="571">
        <v>45156</v>
      </c>
      <c r="C56" s="93">
        <v>100000</v>
      </c>
      <c r="D56" s="135" t="s">
        <v>232</v>
      </c>
      <c r="E56" s="104"/>
      <c r="F56" s="110"/>
      <c r="G56" s="37"/>
      <c r="H56" s="106"/>
      <c r="I56" s="103"/>
      <c r="J56" s="341">
        <v>45147</v>
      </c>
      <c r="K56" s="349" t="s">
        <v>1053</v>
      </c>
      <c r="L56" s="84">
        <v>522</v>
      </c>
      <c r="M56" s="113"/>
      <c r="N56" s="113"/>
      <c r="P56" s="44"/>
      <c r="Q56" s="19"/>
    </row>
    <row r="57" spans="1:18" ht="18" thickBot="1" x14ac:dyDescent="0.35">
      <c r="A57" s="31"/>
      <c r="B57" s="571">
        <v>45156</v>
      </c>
      <c r="C57" s="93">
        <v>13081</v>
      </c>
      <c r="D57" s="135" t="s">
        <v>1060</v>
      </c>
      <c r="E57" s="104"/>
      <c r="F57" s="110"/>
      <c r="G57" s="37"/>
      <c r="H57" s="106"/>
      <c r="I57" s="103"/>
      <c r="J57" s="341">
        <v>45147</v>
      </c>
      <c r="K57" s="343" t="s">
        <v>1054</v>
      </c>
      <c r="L57" s="84">
        <v>1087.5</v>
      </c>
      <c r="M57" s="113"/>
      <c r="N57" s="113"/>
      <c r="P57" s="44"/>
      <c r="Q57" s="19"/>
    </row>
    <row r="58" spans="1:18" ht="18" thickBot="1" x14ac:dyDescent="0.35">
      <c r="A58" s="31"/>
      <c r="B58" s="32">
        <v>45157</v>
      </c>
      <c r="C58" s="93">
        <v>10380</v>
      </c>
      <c r="D58" s="102" t="s">
        <v>928</v>
      </c>
      <c r="E58" s="104"/>
      <c r="F58" s="110"/>
      <c r="G58" s="37"/>
      <c r="H58" s="106"/>
      <c r="I58" s="103"/>
      <c r="J58" s="341">
        <v>45149</v>
      </c>
      <c r="K58" s="343" t="s">
        <v>1058</v>
      </c>
      <c r="L58" s="84">
        <v>13000</v>
      </c>
      <c r="M58" s="113"/>
      <c r="N58" s="113"/>
      <c r="P58" s="44"/>
      <c r="Q58" s="19"/>
    </row>
    <row r="59" spans="1:18" ht="18" thickBot="1" x14ac:dyDescent="0.35">
      <c r="A59" s="31"/>
      <c r="B59" s="32">
        <v>45157</v>
      </c>
      <c r="C59" s="93">
        <v>10704</v>
      </c>
      <c r="D59" s="403" t="s">
        <v>929</v>
      </c>
      <c r="E59" s="104"/>
      <c r="F59" s="110"/>
      <c r="G59" s="37"/>
      <c r="H59" s="106"/>
      <c r="I59" s="103"/>
      <c r="J59" s="341">
        <v>45152</v>
      </c>
      <c r="K59" s="349" t="s">
        <v>343</v>
      </c>
      <c r="L59" s="84">
        <v>5890.42</v>
      </c>
      <c r="M59" s="113"/>
      <c r="N59" s="113"/>
      <c r="P59" s="44"/>
      <c r="Q59" s="19"/>
    </row>
    <row r="60" spans="1:18" ht="18" thickBot="1" x14ac:dyDescent="0.35">
      <c r="A60" s="31"/>
      <c r="B60" s="32">
        <v>45157</v>
      </c>
      <c r="C60" s="93">
        <v>10338</v>
      </c>
      <c r="D60" s="403" t="s">
        <v>930</v>
      </c>
      <c r="E60" s="104"/>
      <c r="F60" s="110"/>
      <c r="G60" s="37"/>
      <c r="H60" s="106"/>
      <c r="I60" s="103"/>
      <c r="J60" s="341">
        <v>45154</v>
      </c>
      <c r="K60" s="350" t="s">
        <v>225</v>
      </c>
      <c r="L60" s="84">
        <v>549</v>
      </c>
      <c r="M60" s="113"/>
      <c r="N60" s="113"/>
      <c r="P60" s="44"/>
      <c r="Q60" s="19"/>
    </row>
    <row r="61" spans="1:18" ht="18" thickBot="1" x14ac:dyDescent="0.35">
      <c r="A61" s="31"/>
      <c r="B61" s="32">
        <v>45157</v>
      </c>
      <c r="C61" s="93">
        <v>10971</v>
      </c>
      <c r="D61" s="102" t="s">
        <v>931</v>
      </c>
      <c r="E61" s="104"/>
      <c r="F61" s="110"/>
      <c r="G61" s="37"/>
      <c r="H61" s="106"/>
      <c r="I61" s="103"/>
      <c r="J61" s="341">
        <v>45155</v>
      </c>
      <c r="K61" s="349" t="s">
        <v>1054</v>
      </c>
      <c r="L61" s="84">
        <v>6081.3</v>
      </c>
      <c r="M61" s="113"/>
      <c r="N61" s="113"/>
      <c r="P61" s="44"/>
      <c r="Q61" s="19"/>
    </row>
    <row r="62" spans="1:18" ht="16.5" thickBot="1" x14ac:dyDescent="0.3">
      <c r="A62" s="31"/>
      <c r="B62" s="130">
        <v>45157</v>
      </c>
      <c r="C62" s="131">
        <v>2459</v>
      </c>
      <c r="D62" s="102" t="s">
        <v>932</v>
      </c>
      <c r="E62" s="136"/>
      <c r="F62" s="44"/>
      <c r="H62" s="137"/>
      <c r="I62" s="44"/>
      <c r="J62" s="133">
        <v>45155</v>
      </c>
      <c r="K62" s="125" t="s">
        <v>593</v>
      </c>
      <c r="L62" s="84">
        <v>2320</v>
      </c>
      <c r="M62" s="44"/>
      <c r="N62" s="44"/>
      <c r="P62" s="44"/>
      <c r="Q62" s="19"/>
    </row>
    <row r="63" spans="1:18" ht="16.5" thickBot="1" x14ac:dyDescent="0.3">
      <c r="A63" s="31"/>
      <c r="B63" s="130">
        <v>45157</v>
      </c>
      <c r="C63" s="131">
        <v>8032</v>
      </c>
      <c r="D63" s="403" t="s">
        <v>933</v>
      </c>
      <c r="E63" s="136"/>
      <c r="F63" s="44"/>
      <c r="H63" s="137"/>
      <c r="I63" s="44"/>
      <c r="J63" s="133">
        <v>45160</v>
      </c>
      <c r="K63" s="125" t="s">
        <v>1061</v>
      </c>
      <c r="L63" s="84">
        <v>2571.7199999999998</v>
      </c>
      <c r="M63" s="44"/>
      <c r="N63" s="44"/>
      <c r="P63" s="44"/>
      <c r="Q63" s="19"/>
    </row>
    <row r="64" spans="1:18" ht="16.5" thickBot="1" x14ac:dyDescent="0.3">
      <c r="A64" s="31"/>
      <c r="B64" s="130">
        <v>45157</v>
      </c>
      <c r="C64" s="131">
        <v>6205</v>
      </c>
      <c r="D64" s="403" t="s">
        <v>934</v>
      </c>
      <c r="E64" s="136"/>
      <c r="F64" s="44"/>
      <c r="H64" s="137"/>
      <c r="I64" s="44"/>
      <c r="J64" s="133">
        <v>45161</v>
      </c>
      <c r="K64" s="125" t="s">
        <v>224</v>
      </c>
      <c r="L64" s="84">
        <v>1856</v>
      </c>
      <c r="M64" s="44"/>
      <c r="N64" s="44"/>
      <c r="P64" s="44"/>
      <c r="Q64" s="19"/>
    </row>
    <row r="65" spans="1:17" ht="16.5" thickBot="1" x14ac:dyDescent="0.3">
      <c r="A65" s="31"/>
      <c r="B65" s="134">
        <v>45159</v>
      </c>
      <c r="C65" s="583">
        <v>732290</v>
      </c>
      <c r="D65" s="584" t="s">
        <v>1077</v>
      </c>
      <c r="E65" s="136"/>
      <c r="F65" s="44"/>
      <c r="H65" s="137"/>
      <c r="I65" s="44"/>
      <c r="J65" s="133">
        <v>45167</v>
      </c>
      <c r="K65" s="125" t="s">
        <v>1066</v>
      </c>
      <c r="L65" s="84">
        <v>6824.86</v>
      </c>
      <c r="M65" s="44"/>
      <c r="N65" s="44"/>
      <c r="P65" s="44"/>
      <c r="Q65" s="19"/>
    </row>
    <row r="66" spans="1:17" ht="16.5" thickBot="1" x14ac:dyDescent="0.3">
      <c r="A66" s="31"/>
      <c r="B66" s="134">
        <v>45160</v>
      </c>
      <c r="C66" s="131">
        <v>40608.1</v>
      </c>
      <c r="D66" s="135" t="s">
        <v>1062</v>
      </c>
      <c r="E66" s="136"/>
      <c r="F66" s="44"/>
      <c r="H66" s="137"/>
      <c r="I66" s="44"/>
      <c r="J66" s="133">
        <v>45167</v>
      </c>
      <c r="K66" s="125" t="s">
        <v>1068</v>
      </c>
      <c r="L66" s="84">
        <v>1298.04</v>
      </c>
      <c r="M66" s="44"/>
      <c r="N66" s="44"/>
      <c r="P66" s="44"/>
      <c r="Q66" s="19"/>
    </row>
    <row r="67" spans="1:17" ht="16.5" thickBot="1" x14ac:dyDescent="0.3">
      <c r="A67" s="31"/>
      <c r="B67" s="134">
        <v>45162</v>
      </c>
      <c r="C67" s="131">
        <v>12424</v>
      </c>
      <c r="D67" s="135" t="s">
        <v>1063</v>
      </c>
      <c r="E67" s="136"/>
      <c r="F67" s="44"/>
      <c r="H67" s="137"/>
      <c r="I67" s="44"/>
      <c r="J67" s="133">
        <v>45169</v>
      </c>
      <c r="K67" s="568" t="s">
        <v>1072</v>
      </c>
      <c r="L67" s="84">
        <v>1160</v>
      </c>
      <c r="M67" s="44"/>
      <c r="N67" s="44"/>
      <c r="P67" s="44"/>
      <c r="Q67" s="19"/>
    </row>
    <row r="68" spans="1:17" ht="16.5" thickBot="1" x14ac:dyDescent="0.3">
      <c r="A68" s="31"/>
      <c r="B68" s="134">
        <v>45162</v>
      </c>
      <c r="C68" s="131">
        <v>28000</v>
      </c>
      <c r="D68" s="135" t="s">
        <v>1064</v>
      </c>
      <c r="E68" s="136"/>
      <c r="F68" s="44"/>
      <c r="H68" s="137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4">
        <v>45163</v>
      </c>
      <c r="C69" s="131">
        <v>200000</v>
      </c>
      <c r="D69" s="135" t="s">
        <v>232</v>
      </c>
      <c r="E69" s="136"/>
      <c r="F69" s="44"/>
      <c r="H69" s="137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4">
        <v>45163</v>
      </c>
      <c r="C70" s="131">
        <v>37120</v>
      </c>
      <c r="D70" s="135" t="s">
        <v>1065</v>
      </c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4">
        <v>45167</v>
      </c>
      <c r="C71" s="131">
        <v>12424</v>
      </c>
      <c r="D71" s="135" t="s">
        <v>1067</v>
      </c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4">
        <v>45168</v>
      </c>
      <c r="C72" s="131">
        <v>2695.35</v>
      </c>
      <c r="D72" s="135" t="s">
        <v>91</v>
      </c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4">
        <v>45168</v>
      </c>
      <c r="C73" s="131">
        <v>104110.55</v>
      </c>
      <c r="D73" s="135" t="s">
        <v>1062</v>
      </c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>
        <v>45168</v>
      </c>
      <c r="C74" s="131">
        <v>37120</v>
      </c>
      <c r="D74" s="135" t="s">
        <v>1071</v>
      </c>
      <c r="E74" s="136"/>
      <c r="F74" s="44"/>
      <c r="H74" s="137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4">
        <v>45170</v>
      </c>
      <c r="C75" s="569">
        <v>19516.2</v>
      </c>
      <c r="D75" s="570" t="s">
        <v>1060</v>
      </c>
      <c r="E75" s="136"/>
      <c r="F75" s="44"/>
      <c r="H75" s="137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4">
        <v>45170</v>
      </c>
      <c r="C76" s="131">
        <v>100000</v>
      </c>
      <c r="D76" s="135" t="s">
        <v>232</v>
      </c>
      <c r="E76" s="136"/>
      <c r="F76" s="44"/>
      <c r="H76" s="137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4">
        <v>45171</v>
      </c>
      <c r="C77" s="131">
        <v>2367.75</v>
      </c>
      <c r="D77" s="135" t="s">
        <v>613</v>
      </c>
      <c r="E77" s="136"/>
      <c r="F77" s="44"/>
      <c r="H77" s="137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SUM(C4:C78)</f>
        <v>6433688.9799999986</v>
      </c>
      <c r="D79" s="520"/>
      <c r="E79" s="521" t="s">
        <v>12</v>
      </c>
      <c r="F79" s="522">
        <f>SUM(F5:F61)</f>
        <v>5976000</v>
      </c>
      <c r="G79" s="523"/>
      <c r="H79" s="521" t="s">
        <v>13</v>
      </c>
      <c r="I79" s="524">
        <f>SUM(I5:I61)</f>
        <v>102120.5</v>
      </c>
      <c r="J79" s="525"/>
      <c r="K79" s="526" t="s">
        <v>14</v>
      </c>
      <c r="L79" s="527">
        <f>SUM(L5:L77)-L26</f>
        <v>676825.37000000011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27" t="s">
        <v>15</v>
      </c>
      <c r="I81" s="628"/>
      <c r="J81" s="154"/>
      <c r="K81" s="629">
        <f>I79+L79</f>
        <v>778945.87000000011</v>
      </c>
      <c r="L81" s="630"/>
      <c r="M81" s="155"/>
      <c r="N81" s="155"/>
      <c r="P81" s="44"/>
      <c r="Q81" s="19"/>
    </row>
    <row r="82" spans="1:17" x14ac:dyDescent="0.25">
      <c r="D82" s="621" t="s">
        <v>16</v>
      </c>
      <c r="E82" s="621"/>
      <c r="F82" s="156">
        <f>F79-K81-C79</f>
        <v>-1236634.8499999987</v>
      </c>
      <c r="I82" s="157"/>
      <c r="J82" s="158"/>
    </row>
    <row r="83" spans="1:17" ht="18.75" x14ac:dyDescent="0.3">
      <c r="D83" s="622" t="s">
        <v>17</v>
      </c>
      <c r="E83" s="622"/>
      <c r="F83" s="101">
        <v>-1249902.31</v>
      </c>
      <c r="I83" s="623" t="s">
        <v>18</v>
      </c>
      <c r="J83" s="624"/>
      <c r="K83" s="625">
        <f>F85+F86+F87</f>
        <v>552770.9000000013</v>
      </c>
      <c r="L83" s="625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-226585.60000000001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-2713122.7599999988</v>
      </c>
      <c r="H85" s="168"/>
      <c r="I85" s="169" t="s">
        <v>21</v>
      </c>
      <c r="J85" s="170"/>
      <c r="K85" s="626">
        <f>-C4</f>
        <v>-2820551.31</v>
      </c>
      <c r="L85" s="625"/>
      <c r="O85" s="536"/>
    </row>
    <row r="86" spans="1:17" ht="16.5" thickBot="1" x14ac:dyDescent="0.3">
      <c r="D86" s="171" t="s">
        <v>22</v>
      </c>
      <c r="E86" s="152" t="s">
        <v>23</v>
      </c>
      <c r="F86" s="101">
        <v>119433</v>
      </c>
    </row>
    <row r="87" spans="1:17" ht="20.25" thickTop="1" thickBot="1" x14ac:dyDescent="0.35">
      <c r="C87" s="172">
        <v>45171</v>
      </c>
      <c r="D87" s="614" t="s">
        <v>24</v>
      </c>
      <c r="E87" s="615"/>
      <c r="F87" s="173">
        <v>3146460.66</v>
      </c>
      <c r="I87" s="616" t="s">
        <v>764</v>
      </c>
      <c r="J87" s="617"/>
      <c r="K87" s="618">
        <f>K83+K85</f>
        <v>-2267780.4099999988</v>
      </c>
      <c r="L87" s="618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sortState ref="B44:D74">
    <sortCondition ref="B44:B7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1"/>
  <sheetViews>
    <sheetView topLeftCell="A34" workbookViewId="0">
      <selection activeCell="K45" sqref="K45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87" t="s">
        <v>1022</v>
      </c>
      <c r="J3" s="542">
        <v>13035</v>
      </c>
      <c r="K3" s="289">
        <v>12283.8</v>
      </c>
      <c r="L3" s="409">
        <v>45173</v>
      </c>
      <c r="M3" s="410">
        <v>12283.8</v>
      </c>
      <c r="N3" s="221">
        <f>K3-M3</f>
        <v>0</v>
      </c>
    </row>
    <row r="4" spans="2:14" ht="18.75" x14ac:dyDescent="0.3">
      <c r="B4" s="235" t="s">
        <v>1022</v>
      </c>
      <c r="C4" s="461" t="s">
        <v>1023</v>
      </c>
      <c r="D4" s="237">
        <v>107803.18</v>
      </c>
      <c r="E4" s="224"/>
      <c r="F4" s="101"/>
      <c r="G4" s="225">
        <f t="shared" ref="G4:G65" si="0">D4-F4</f>
        <v>107803.18</v>
      </c>
      <c r="H4" s="226"/>
      <c r="I4" s="228" t="s">
        <v>1026</v>
      </c>
      <c r="J4" s="229">
        <v>13045</v>
      </c>
      <c r="K4" s="230">
        <v>6682</v>
      </c>
      <c r="L4" s="409">
        <v>45173</v>
      </c>
      <c r="M4" s="412">
        <v>6682</v>
      </c>
      <c r="N4" s="227">
        <f>N3+K4-M4</f>
        <v>0</v>
      </c>
    </row>
    <row r="5" spans="2:14" x14ac:dyDescent="0.25">
      <c r="B5" s="235" t="s">
        <v>1022</v>
      </c>
      <c r="C5" s="461" t="s">
        <v>1024</v>
      </c>
      <c r="D5" s="237">
        <v>14304</v>
      </c>
      <c r="E5" s="224"/>
      <c r="F5" s="101"/>
      <c r="G5" s="225">
        <f t="shared" si="0"/>
        <v>14304</v>
      </c>
      <c r="I5" s="287" t="s">
        <v>1026</v>
      </c>
      <c r="J5" s="542">
        <v>13050</v>
      </c>
      <c r="K5" s="289">
        <v>360</v>
      </c>
      <c r="L5" s="409">
        <v>45173</v>
      </c>
      <c r="M5" s="410">
        <v>360</v>
      </c>
      <c r="N5" s="227">
        <f t="shared" ref="N5:N63" si="1">N4+K5-M5</f>
        <v>0</v>
      </c>
    </row>
    <row r="6" spans="2:14" x14ac:dyDescent="0.25">
      <c r="B6" s="235" t="s">
        <v>1022</v>
      </c>
      <c r="C6" s="461" t="s">
        <v>1025</v>
      </c>
      <c r="D6" s="237">
        <v>6325.8</v>
      </c>
      <c r="E6" s="224"/>
      <c r="F6" s="101"/>
      <c r="G6" s="225">
        <f t="shared" si="0"/>
        <v>6325.8</v>
      </c>
      <c r="I6" s="228" t="s">
        <v>937</v>
      </c>
      <c r="J6" s="229">
        <v>13058</v>
      </c>
      <c r="K6" s="230">
        <v>600</v>
      </c>
      <c r="L6" s="409">
        <v>45173</v>
      </c>
      <c r="M6" s="412">
        <v>600</v>
      </c>
      <c r="N6" s="227">
        <f t="shared" si="1"/>
        <v>0</v>
      </c>
    </row>
    <row r="7" spans="2:14" x14ac:dyDescent="0.25">
      <c r="B7" s="235" t="s">
        <v>1026</v>
      </c>
      <c r="C7" s="461" t="s">
        <v>1027</v>
      </c>
      <c r="D7" s="237">
        <v>8751.6</v>
      </c>
      <c r="E7" s="224"/>
      <c r="F7" s="101"/>
      <c r="G7" s="225">
        <f t="shared" si="0"/>
        <v>8751.6</v>
      </c>
      <c r="I7" s="287" t="s">
        <v>942</v>
      </c>
      <c r="J7" s="542">
        <v>13066</v>
      </c>
      <c r="K7" s="289">
        <v>3961</v>
      </c>
      <c r="L7" s="409">
        <v>45173</v>
      </c>
      <c r="M7" s="410">
        <v>3961</v>
      </c>
      <c r="N7" s="227">
        <f t="shared" si="1"/>
        <v>0</v>
      </c>
    </row>
    <row r="8" spans="2:14" ht="18.75" x14ac:dyDescent="0.3">
      <c r="B8" s="235" t="s">
        <v>937</v>
      </c>
      <c r="C8" s="461" t="s">
        <v>938</v>
      </c>
      <c r="D8" s="237">
        <v>23712</v>
      </c>
      <c r="E8" s="224"/>
      <c r="F8" s="101"/>
      <c r="G8" s="225">
        <f t="shared" si="0"/>
        <v>23712</v>
      </c>
      <c r="H8" s="226"/>
      <c r="I8" s="228" t="s">
        <v>942</v>
      </c>
      <c r="J8" s="229">
        <v>13069</v>
      </c>
      <c r="K8" s="230">
        <v>4160</v>
      </c>
      <c r="L8" s="409">
        <v>45173</v>
      </c>
      <c r="M8" s="412">
        <v>4160</v>
      </c>
      <c r="N8" s="227">
        <f t="shared" si="1"/>
        <v>0</v>
      </c>
    </row>
    <row r="9" spans="2:14" x14ac:dyDescent="0.25">
      <c r="B9" s="235" t="s">
        <v>937</v>
      </c>
      <c r="C9" s="461" t="s">
        <v>939</v>
      </c>
      <c r="D9" s="237">
        <v>0</v>
      </c>
      <c r="E9" s="224"/>
      <c r="F9" s="101"/>
      <c r="G9" s="225">
        <f t="shared" si="0"/>
        <v>0</v>
      </c>
      <c r="I9" s="287" t="s">
        <v>946</v>
      </c>
      <c r="J9" s="542">
        <v>13077</v>
      </c>
      <c r="K9" s="289">
        <v>600</v>
      </c>
      <c r="L9" s="409">
        <v>45173</v>
      </c>
      <c r="M9" s="410">
        <v>600</v>
      </c>
      <c r="N9" s="227">
        <f t="shared" si="1"/>
        <v>0</v>
      </c>
    </row>
    <row r="10" spans="2:14" x14ac:dyDescent="0.25">
      <c r="B10" s="235" t="s">
        <v>937</v>
      </c>
      <c r="C10" s="461" t="s">
        <v>940</v>
      </c>
      <c r="D10" s="237">
        <v>0</v>
      </c>
      <c r="E10" s="224"/>
      <c r="F10" s="101"/>
      <c r="G10" s="225">
        <f t="shared" si="0"/>
        <v>0</v>
      </c>
      <c r="I10" s="287" t="s">
        <v>948</v>
      </c>
      <c r="J10" s="542">
        <v>13080</v>
      </c>
      <c r="K10" s="289">
        <v>3521</v>
      </c>
      <c r="L10" s="409">
        <v>45173</v>
      </c>
      <c r="M10" s="410">
        <v>3521</v>
      </c>
      <c r="N10" s="227">
        <f t="shared" si="1"/>
        <v>0</v>
      </c>
    </row>
    <row r="11" spans="2:14" x14ac:dyDescent="0.25">
      <c r="B11" s="235" t="s">
        <v>937</v>
      </c>
      <c r="C11" s="461" t="s">
        <v>941</v>
      </c>
      <c r="D11" s="237">
        <v>0</v>
      </c>
      <c r="E11" s="224"/>
      <c r="F11" s="101"/>
      <c r="G11" s="225">
        <f t="shared" si="0"/>
        <v>0</v>
      </c>
      <c r="I11" s="287" t="s">
        <v>948</v>
      </c>
      <c r="J11" s="542">
        <v>13084</v>
      </c>
      <c r="K11" s="289">
        <v>600</v>
      </c>
      <c r="L11" s="409">
        <v>45173</v>
      </c>
      <c r="M11" s="410">
        <v>600</v>
      </c>
      <c r="N11" s="227">
        <f t="shared" si="1"/>
        <v>0</v>
      </c>
    </row>
    <row r="12" spans="2:14" x14ac:dyDescent="0.25">
      <c r="B12" s="235" t="s">
        <v>942</v>
      </c>
      <c r="C12" s="461" t="s">
        <v>943</v>
      </c>
      <c r="D12" s="237">
        <v>19595.22</v>
      </c>
      <c r="E12" s="224"/>
      <c r="F12" s="101"/>
      <c r="G12" s="225">
        <f t="shared" si="0"/>
        <v>19595.22</v>
      </c>
      <c r="I12" s="287" t="s">
        <v>952</v>
      </c>
      <c r="J12" s="542">
        <v>13094</v>
      </c>
      <c r="K12" s="289">
        <v>13574.4</v>
      </c>
      <c r="L12" s="409">
        <v>45173</v>
      </c>
      <c r="M12" s="410">
        <v>13574.4</v>
      </c>
      <c r="N12" s="227">
        <f t="shared" si="1"/>
        <v>0</v>
      </c>
    </row>
    <row r="13" spans="2:14" x14ac:dyDescent="0.25">
      <c r="B13" s="235" t="s">
        <v>944</v>
      </c>
      <c r="C13" s="461" t="s">
        <v>945</v>
      </c>
      <c r="D13" s="237">
        <v>26903.66</v>
      </c>
      <c r="E13" s="224"/>
      <c r="F13" s="101"/>
      <c r="G13" s="225">
        <f t="shared" si="0"/>
        <v>26903.66</v>
      </c>
      <c r="I13" s="287" t="s">
        <v>954</v>
      </c>
      <c r="J13" s="542">
        <v>13097</v>
      </c>
      <c r="K13" s="289">
        <v>17782.400000000001</v>
      </c>
      <c r="L13" s="409">
        <v>45173</v>
      </c>
      <c r="M13" s="410">
        <v>17782.400000000001</v>
      </c>
      <c r="N13" s="227">
        <f t="shared" si="1"/>
        <v>0</v>
      </c>
    </row>
    <row r="14" spans="2:14" x14ac:dyDescent="0.25">
      <c r="B14" s="235" t="s">
        <v>946</v>
      </c>
      <c r="C14" s="461" t="s">
        <v>947</v>
      </c>
      <c r="D14" s="237">
        <v>11502.64</v>
      </c>
      <c r="E14" s="224"/>
      <c r="F14" s="101"/>
      <c r="G14" s="225">
        <f t="shared" si="0"/>
        <v>11502.64</v>
      </c>
      <c r="I14" s="287" t="s">
        <v>954</v>
      </c>
      <c r="J14" s="542">
        <v>13098</v>
      </c>
      <c r="K14" s="289">
        <v>1537.4</v>
      </c>
      <c r="L14" s="409">
        <v>45173</v>
      </c>
      <c r="M14" s="410">
        <v>1537.4</v>
      </c>
      <c r="N14" s="227">
        <f t="shared" si="1"/>
        <v>0</v>
      </c>
    </row>
    <row r="15" spans="2:14" x14ac:dyDescent="0.25">
      <c r="B15" s="235" t="s">
        <v>948</v>
      </c>
      <c r="C15" s="461" t="s">
        <v>949</v>
      </c>
      <c r="D15" s="237">
        <v>0</v>
      </c>
      <c r="E15" s="224"/>
      <c r="F15" s="101"/>
      <c r="G15" s="225">
        <f t="shared" si="0"/>
        <v>0</v>
      </c>
      <c r="I15" s="228" t="s">
        <v>957</v>
      </c>
      <c r="J15" s="229">
        <v>13103</v>
      </c>
      <c r="K15" s="230">
        <v>360</v>
      </c>
      <c r="L15" s="409">
        <v>45173</v>
      </c>
      <c r="M15" s="412">
        <v>360</v>
      </c>
      <c r="N15" s="227">
        <f t="shared" si="1"/>
        <v>0</v>
      </c>
    </row>
    <row r="16" spans="2:14" x14ac:dyDescent="0.25">
      <c r="B16" s="235" t="s">
        <v>948</v>
      </c>
      <c r="C16" s="461" t="s">
        <v>950</v>
      </c>
      <c r="D16" s="237">
        <v>32750.2</v>
      </c>
      <c r="E16" s="224"/>
      <c r="F16" s="101"/>
      <c r="G16" s="225">
        <f t="shared" si="0"/>
        <v>32750.2</v>
      </c>
      <c r="I16" s="287" t="s">
        <v>959</v>
      </c>
      <c r="J16" s="542">
        <v>13110</v>
      </c>
      <c r="K16" s="289">
        <v>600</v>
      </c>
      <c r="L16" s="409">
        <v>45173</v>
      </c>
      <c r="M16" s="410">
        <v>600</v>
      </c>
      <c r="N16" s="227">
        <f t="shared" si="1"/>
        <v>0</v>
      </c>
    </row>
    <row r="17" spans="1:14" x14ac:dyDescent="0.25">
      <c r="B17" s="235" t="s">
        <v>948</v>
      </c>
      <c r="C17" s="461" t="s">
        <v>951</v>
      </c>
      <c r="D17" s="237">
        <v>201266.08</v>
      </c>
      <c r="E17" s="224"/>
      <c r="F17" s="101"/>
      <c r="G17" s="225">
        <f t="shared" si="0"/>
        <v>201266.08</v>
      </c>
      <c r="I17" s="228" t="s">
        <v>1028</v>
      </c>
      <c r="J17" s="229">
        <v>13117</v>
      </c>
      <c r="K17" s="230">
        <v>12986.6</v>
      </c>
      <c r="L17" s="409">
        <v>45173</v>
      </c>
      <c r="M17" s="412">
        <v>12986.6</v>
      </c>
      <c r="N17" s="227">
        <f t="shared" si="1"/>
        <v>0</v>
      </c>
    </row>
    <row r="18" spans="1:14" x14ac:dyDescent="0.25">
      <c r="B18" s="235" t="s">
        <v>952</v>
      </c>
      <c r="C18" s="461" t="s">
        <v>953</v>
      </c>
      <c r="D18" s="237">
        <v>13337.6</v>
      </c>
      <c r="E18" s="224"/>
      <c r="F18" s="101"/>
      <c r="G18" s="225">
        <f t="shared" si="0"/>
        <v>13337.6</v>
      </c>
      <c r="I18" s="228" t="s">
        <v>965</v>
      </c>
      <c r="J18" s="229">
        <v>13122</v>
      </c>
      <c r="K18" s="230">
        <v>960</v>
      </c>
      <c r="L18" s="409">
        <v>45173</v>
      </c>
      <c r="M18" s="412">
        <v>960</v>
      </c>
      <c r="N18" s="227">
        <f t="shared" si="1"/>
        <v>0</v>
      </c>
    </row>
    <row r="19" spans="1:14" x14ac:dyDescent="0.25">
      <c r="B19" s="235" t="s">
        <v>954</v>
      </c>
      <c r="C19" s="461" t="s">
        <v>955</v>
      </c>
      <c r="D19" s="237">
        <v>27507.7</v>
      </c>
      <c r="E19" s="224"/>
      <c r="F19" s="101"/>
      <c r="G19" s="225">
        <f t="shared" si="0"/>
        <v>27507.7</v>
      </c>
      <c r="I19" s="228" t="s">
        <v>970</v>
      </c>
      <c r="J19" s="229">
        <v>13133</v>
      </c>
      <c r="K19" s="230">
        <v>4712</v>
      </c>
      <c r="L19" s="409">
        <v>45173</v>
      </c>
      <c r="M19" s="412">
        <v>4712</v>
      </c>
      <c r="N19" s="227">
        <f t="shared" si="1"/>
        <v>0</v>
      </c>
    </row>
    <row r="20" spans="1:14" ht="18.75" x14ac:dyDescent="0.3">
      <c r="B20" s="235" t="s">
        <v>954</v>
      </c>
      <c r="C20" s="461" t="s">
        <v>956</v>
      </c>
      <c r="D20" s="237">
        <v>5092</v>
      </c>
      <c r="E20" s="224"/>
      <c r="F20" s="101"/>
      <c r="G20" s="225">
        <f t="shared" si="0"/>
        <v>5092</v>
      </c>
      <c r="H20" s="232"/>
      <c r="I20" s="228" t="s">
        <v>972</v>
      </c>
      <c r="J20" s="229">
        <v>13139</v>
      </c>
      <c r="K20" s="230">
        <v>3680</v>
      </c>
      <c r="L20" s="409">
        <v>45173</v>
      </c>
      <c r="M20" s="412">
        <v>3680</v>
      </c>
      <c r="N20" s="227">
        <f t="shared" si="1"/>
        <v>0</v>
      </c>
    </row>
    <row r="21" spans="1:14" x14ac:dyDescent="0.25">
      <c r="B21" s="235" t="s">
        <v>957</v>
      </c>
      <c r="C21" s="461" t="s">
        <v>958</v>
      </c>
      <c r="D21" s="237">
        <v>53907.5</v>
      </c>
      <c r="E21" s="224"/>
      <c r="F21" s="101"/>
      <c r="G21" s="225">
        <f t="shared" si="0"/>
        <v>53907.5</v>
      </c>
      <c r="H21" s="233"/>
      <c r="I21" s="287" t="s">
        <v>972</v>
      </c>
      <c r="J21" s="542">
        <v>13140</v>
      </c>
      <c r="K21" s="289">
        <v>2053</v>
      </c>
      <c r="L21" s="409">
        <v>45173</v>
      </c>
      <c r="M21" s="410">
        <v>2053</v>
      </c>
      <c r="N21" s="227">
        <f t="shared" si="1"/>
        <v>0</v>
      </c>
    </row>
    <row r="22" spans="1:14" ht="21" customHeight="1" x14ac:dyDescent="0.25">
      <c r="B22" s="235" t="s">
        <v>959</v>
      </c>
      <c r="C22" s="461" t="s">
        <v>960</v>
      </c>
      <c r="D22" s="237">
        <v>30250.06</v>
      </c>
      <c r="E22" s="224"/>
      <c r="F22" s="101"/>
      <c r="G22" s="225">
        <f t="shared" si="0"/>
        <v>30250.06</v>
      </c>
      <c r="H22" s="233"/>
      <c r="I22" s="228" t="s">
        <v>974</v>
      </c>
      <c r="J22" s="229">
        <v>13145</v>
      </c>
      <c r="K22" s="230">
        <v>360</v>
      </c>
      <c r="L22" s="409">
        <v>45173</v>
      </c>
      <c r="M22" s="412">
        <v>360</v>
      </c>
      <c r="N22" s="227">
        <f t="shared" si="1"/>
        <v>0</v>
      </c>
    </row>
    <row r="23" spans="1:14" x14ac:dyDescent="0.25">
      <c r="B23" s="235" t="s">
        <v>959</v>
      </c>
      <c r="C23" s="461" t="s">
        <v>961</v>
      </c>
      <c r="D23" s="237">
        <v>0</v>
      </c>
      <c r="E23" s="224"/>
      <c r="F23" s="101"/>
      <c r="G23" s="225">
        <f t="shared" si="0"/>
        <v>0</v>
      </c>
      <c r="H23" s="234"/>
      <c r="I23" s="228" t="s">
        <v>981</v>
      </c>
      <c r="J23" s="229">
        <v>13153</v>
      </c>
      <c r="K23" s="230">
        <v>360</v>
      </c>
      <c r="L23" s="409">
        <v>45173</v>
      </c>
      <c r="M23" s="412">
        <v>360</v>
      </c>
      <c r="N23" s="227">
        <f t="shared" si="1"/>
        <v>0</v>
      </c>
    </row>
    <row r="24" spans="1:14" x14ac:dyDescent="0.25">
      <c r="B24" s="235" t="s">
        <v>959</v>
      </c>
      <c r="C24" s="461" t="s">
        <v>962</v>
      </c>
      <c r="D24" s="237">
        <v>2259</v>
      </c>
      <c r="E24" s="224"/>
      <c r="F24" s="101"/>
      <c r="G24" s="225">
        <f t="shared" si="0"/>
        <v>2259</v>
      </c>
      <c r="H24" s="234"/>
      <c r="I24" s="228" t="s">
        <v>983</v>
      </c>
      <c r="J24" s="229">
        <v>13163</v>
      </c>
      <c r="K24" s="230">
        <v>3161</v>
      </c>
      <c r="L24" s="409">
        <v>45173</v>
      </c>
      <c r="M24" s="412">
        <v>3161</v>
      </c>
      <c r="N24" s="227">
        <f t="shared" si="1"/>
        <v>0</v>
      </c>
    </row>
    <row r="25" spans="1:14" x14ac:dyDescent="0.25">
      <c r="B25" s="235" t="s">
        <v>959</v>
      </c>
      <c r="C25" s="461" t="s">
        <v>963</v>
      </c>
      <c r="D25" s="237">
        <v>3361.1</v>
      </c>
      <c r="E25" s="224"/>
      <c r="F25" s="101"/>
      <c r="G25" s="225">
        <f t="shared" si="0"/>
        <v>3361.1</v>
      </c>
      <c r="H25" s="234"/>
      <c r="I25" s="287" t="s">
        <v>986</v>
      </c>
      <c r="J25" s="542">
        <v>13172</v>
      </c>
      <c r="K25" s="289">
        <v>1200</v>
      </c>
      <c r="L25" s="409">
        <v>45173</v>
      </c>
      <c r="M25" s="410">
        <v>1200</v>
      </c>
      <c r="N25" s="227">
        <f t="shared" si="1"/>
        <v>0</v>
      </c>
    </row>
    <row r="26" spans="1:14" x14ac:dyDescent="0.25">
      <c r="B26" s="235" t="s">
        <v>959</v>
      </c>
      <c r="C26" s="461" t="s">
        <v>964</v>
      </c>
      <c r="D26" s="237">
        <v>1734</v>
      </c>
      <c r="E26" s="224"/>
      <c r="F26" s="101"/>
      <c r="G26" s="225">
        <f t="shared" si="0"/>
        <v>1734</v>
      </c>
      <c r="H26" s="234"/>
      <c r="I26" s="228" t="s">
        <v>986</v>
      </c>
      <c r="J26" s="229">
        <v>13173</v>
      </c>
      <c r="K26" s="230">
        <v>6807</v>
      </c>
      <c r="L26" s="409">
        <v>45173</v>
      </c>
      <c r="M26" s="412">
        <v>6807</v>
      </c>
      <c r="N26" s="227">
        <f t="shared" si="1"/>
        <v>0</v>
      </c>
    </row>
    <row r="27" spans="1:14" x14ac:dyDescent="0.25">
      <c r="B27" s="235" t="s">
        <v>965</v>
      </c>
      <c r="C27" s="461" t="s">
        <v>966</v>
      </c>
      <c r="D27" s="237">
        <v>55851.18</v>
      </c>
      <c r="E27" s="224"/>
      <c r="F27" s="101"/>
      <c r="G27" s="225">
        <f t="shared" si="0"/>
        <v>55851.18</v>
      </c>
      <c r="H27" s="234"/>
      <c r="I27" s="287" t="s">
        <v>988</v>
      </c>
      <c r="J27" s="542">
        <v>13188</v>
      </c>
      <c r="K27" s="289">
        <v>20610.8</v>
      </c>
      <c r="L27" s="409">
        <v>45173</v>
      </c>
      <c r="M27" s="410">
        <v>20610.8</v>
      </c>
      <c r="N27" s="227">
        <f t="shared" si="1"/>
        <v>0</v>
      </c>
    </row>
    <row r="28" spans="1:14" x14ac:dyDescent="0.25">
      <c r="A28" s="31"/>
      <c r="B28" s="235" t="s">
        <v>965</v>
      </c>
      <c r="C28" s="461" t="s">
        <v>967</v>
      </c>
      <c r="D28" s="237">
        <v>6180</v>
      </c>
      <c r="E28" s="224"/>
      <c r="F28" s="101"/>
      <c r="G28" s="225">
        <f t="shared" si="0"/>
        <v>6180</v>
      </c>
      <c r="H28" s="234"/>
      <c r="I28" s="287" t="s">
        <v>992</v>
      </c>
      <c r="J28" s="542">
        <v>13194</v>
      </c>
      <c r="K28" s="289">
        <v>8058</v>
      </c>
      <c r="L28" s="409">
        <v>45173</v>
      </c>
      <c r="M28" s="410">
        <v>8058</v>
      </c>
      <c r="N28" s="227">
        <f t="shared" si="1"/>
        <v>0</v>
      </c>
    </row>
    <row r="29" spans="1:14" x14ac:dyDescent="0.25">
      <c r="B29" s="235" t="s">
        <v>965</v>
      </c>
      <c r="C29" s="461" t="s">
        <v>968</v>
      </c>
      <c r="D29" s="237">
        <v>1564</v>
      </c>
      <c r="E29" s="224"/>
      <c r="F29" s="101"/>
      <c r="G29" s="225">
        <f t="shared" si="0"/>
        <v>1564</v>
      </c>
      <c r="H29" s="233"/>
      <c r="I29" s="287" t="s">
        <v>994</v>
      </c>
      <c r="J29" s="542">
        <v>13202</v>
      </c>
      <c r="K29" s="289">
        <v>6742</v>
      </c>
      <c r="L29" s="409">
        <v>45173</v>
      </c>
      <c r="M29" s="410">
        <v>6742</v>
      </c>
      <c r="N29" s="227">
        <f t="shared" si="1"/>
        <v>0</v>
      </c>
    </row>
    <row r="30" spans="1:14" x14ac:dyDescent="0.25">
      <c r="B30" s="235" t="s">
        <v>965</v>
      </c>
      <c r="C30" s="461" t="s">
        <v>969</v>
      </c>
      <c r="D30" s="237">
        <v>5874</v>
      </c>
      <c r="E30" s="224"/>
      <c r="F30" s="101"/>
      <c r="G30" s="225">
        <f t="shared" si="0"/>
        <v>5874</v>
      </c>
      <c r="H30" s="233"/>
      <c r="I30" s="228" t="s">
        <v>996</v>
      </c>
      <c r="J30" s="229">
        <v>13211</v>
      </c>
      <c r="K30" s="230">
        <v>480</v>
      </c>
      <c r="L30" s="409">
        <v>45173</v>
      </c>
      <c r="M30" s="412">
        <v>480</v>
      </c>
      <c r="N30" s="227">
        <f t="shared" si="1"/>
        <v>0</v>
      </c>
    </row>
    <row r="31" spans="1:14" x14ac:dyDescent="0.25">
      <c r="B31" s="235" t="s">
        <v>970</v>
      </c>
      <c r="C31" s="461" t="s">
        <v>971</v>
      </c>
      <c r="D31" s="237">
        <v>3500.4</v>
      </c>
      <c r="E31" s="224"/>
      <c r="F31" s="101"/>
      <c r="G31" s="225">
        <f t="shared" si="0"/>
        <v>3500.4</v>
      </c>
      <c r="I31" s="228" t="s">
        <v>998</v>
      </c>
      <c r="J31" s="229">
        <v>13221</v>
      </c>
      <c r="K31" s="230">
        <v>6061</v>
      </c>
      <c r="L31" s="409">
        <v>45173</v>
      </c>
      <c r="M31" s="412">
        <v>6061</v>
      </c>
      <c r="N31" s="227">
        <f t="shared" si="1"/>
        <v>0</v>
      </c>
    </row>
    <row r="32" spans="1:14" x14ac:dyDescent="0.25">
      <c r="B32" s="235" t="s">
        <v>972</v>
      </c>
      <c r="C32" s="461" t="s">
        <v>973</v>
      </c>
      <c r="D32" s="237">
        <v>0</v>
      </c>
      <c r="E32" s="224"/>
      <c r="F32" s="101"/>
      <c r="G32" s="225">
        <f t="shared" si="0"/>
        <v>0</v>
      </c>
      <c r="I32" s="287" t="s">
        <v>998</v>
      </c>
      <c r="J32" s="542">
        <v>13222</v>
      </c>
      <c r="K32" s="289">
        <v>0</v>
      </c>
      <c r="L32" s="409">
        <v>45173</v>
      </c>
      <c r="M32" s="410">
        <v>0</v>
      </c>
      <c r="N32" s="227">
        <f t="shared" si="1"/>
        <v>0</v>
      </c>
    </row>
    <row r="33" spans="2:14" x14ac:dyDescent="0.25">
      <c r="B33" s="235" t="s">
        <v>974</v>
      </c>
      <c r="C33" s="461" t="s">
        <v>975</v>
      </c>
      <c r="D33" s="237">
        <v>54429.4</v>
      </c>
      <c r="E33" s="224"/>
      <c r="F33" s="101"/>
      <c r="G33" s="225">
        <f t="shared" si="0"/>
        <v>54429.4</v>
      </c>
      <c r="I33" s="228" t="s">
        <v>998</v>
      </c>
      <c r="J33" s="229">
        <v>13223</v>
      </c>
      <c r="K33" s="230">
        <v>0</v>
      </c>
      <c r="L33" s="409">
        <v>45173</v>
      </c>
      <c r="M33" s="412">
        <v>0</v>
      </c>
      <c r="N33" s="227">
        <f t="shared" si="1"/>
        <v>0</v>
      </c>
    </row>
    <row r="34" spans="2:14" ht="15.75" customHeight="1" x14ac:dyDescent="0.25">
      <c r="B34" s="235" t="s">
        <v>974</v>
      </c>
      <c r="C34" s="461" t="s">
        <v>976</v>
      </c>
      <c r="D34" s="237">
        <v>12342</v>
      </c>
      <c r="E34" s="224"/>
      <c r="F34" s="101"/>
      <c r="G34" s="225">
        <f t="shared" si="0"/>
        <v>12342</v>
      </c>
      <c r="I34" s="287" t="s">
        <v>998</v>
      </c>
      <c r="J34" s="542">
        <v>13224</v>
      </c>
      <c r="K34" s="289">
        <v>7002</v>
      </c>
      <c r="L34" s="409">
        <v>45173</v>
      </c>
      <c r="M34" s="410">
        <v>7002</v>
      </c>
      <c r="N34" s="227">
        <f t="shared" si="1"/>
        <v>0</v>
      </c>
    </row>
    <row r="35" spans="2:14" ht="15.75" customHeight="1" x14ac:dyDescent="0.25">
      <c r="B35" s="235" t="s">
        <v>974</v>
      </c>
      <c r="C35" s="461" t="s">
        <v>977</v>
      </c>
      <c r="D35" s="237">
        <v>0</v>
      </c>
      <c r="E35" s="224"/>
      <c r="F35" s="101"/>
      <c r="G35" s="225">
        <f t="shared" si="0"/>
        <v>0</v>
      </c>
      <c r="I35" s="228" t="s">
        <v>1003</v>
      </c>
      <c r="J35" s="229">
        <v>13228</v>
      </c>
      <c r="K35" s="230">
        <v>600</v>
      </c>
      <c r="L35" s="409">
        <v>45173</v>
      </c>
      <c r="M35" s="412">
        <v>600</v>
      </c>
      <c r="N35" s="227">
        <f t="shared" si="1"/>
        <v>0</v>
      </c>
    </row>
    <row r="36" spans="2:14" ht="15.75" customHeight="1" x14ac:dyDescent="0.25">
      <c r="B36" s="235" t="s">
        <v>974</v>
      </c>
      <c r="C36" s="461" t="s">
        <v>978</v>
      </c>
      <c r="D36" s="237">
        <v>0</v>
      </c>
      <c r="E36" s="224"/>
      <c r="F36" s="101"/>
      <c r="G36" s="225">
        <f t="shared" si="0"/>
        <v>0</v>
      </c>
      <c r="I36" s="287" t="s">
        <v>1003</v>
      </c>
      <c r="J36" s="542">
        <v>13229</v>
      </c>
      <c r="K36" s="289">
        <v>1584</v>
      </c>
      <c r="L36" s="409">
        <v>45173</v>
      </c>
      <c r="M36" s="410">
        <v>1584</v>
      </c>
      <c r="N36" s="227">
        <f t="shared" si="1"/>
        <v>0</v>
      </c>
    </row>
    <row r="37" spans="2:14" ht="15.75" customHeight="1" x14ac:dyDescent="0.25">
      <c r="B37" s="235" t="s">
        <v>974</v>
      </c>
      <c r="C37" s="461" t="s">
        <v>979</v>
      </c>
      <c r="D37" s="237">
        <v>9132</v>
      </c>
      <c r="E37" s="238"/>
      <c r="F37" s="84"/>
      <c r="G37" s="101">
        <f t="shared" si="0"/>
        <v>9132</v>
      </c>
      <c r="I37" s="228" t="s">
        <v>1003</v>
      </c>
      <c r="J37" s="229">
        <v>13230</v>
      </c>
      <c r="K37" s="230">
        <v>2505.8000000000002</v>
      </c>
      <c r="L37" s="409">
        <v>45173</v>
      </c>
      <c r="M37" s="412">
        <v>2505.8000000000002</v>
      </c>
      <c r="N37" s="227">
        <f t="shared" si="1"/>
        <v>0</v>
      </c>
    </row>
    <row r="38" spans="2:14" x14ac:dyDescent="0.25">
      <c r="B38" s="235" t="s">
        <v>974</v>
      </c>
      <c r="C38" s="461" t="s">
        <v>980</v>
      </c>
      <c r="D38" s="237">
        <v>0</v>
      </c>
      <c r="E38" s="238"/>
      <c r="F38" s="84"/>
      <c r="G38" s="101">
        <f t="shared" si="0"/>
        <v>0</v>
      </c>
      <c r="I38" s="228" t="s">
        <v>1007</v>
      </c>
      <c r="J38" s="229">
        <v>13238</v>
      </c>
      <c r="K38" s="230">
        <v>600</v>
      </c>
      <c r="L38" s="409">
        <v>45173</v>
      </c>
      <c r="M38" s="412">
        <v>600</v>
      </c>
      <c r="N38" s="227">
        <f t="shared" si="1"/>
        <v>0</v>
      </c>
    </row>
    <row r="39" spans="2:14" x14ac:dyDescent="0.25">
      <c r="B39" s="235" t="s">
        <v>981</v>
      </c>
      <c r="C39" s="461" t="s">
        <v>982</v>
      </c>
      <c r="D39" s="237">
        <v>20773.2</v>
      </c>
      <c r="E39" s="238"/>
      <c r="F39" s="84"/>
      <c r="G39" s="101">
        <f t="shared" si="0"/>
        <v>20773.2</v>
      </c>
      <c r="I39" s="287" t="s">
        <v>1007</v>
      </c>
      <c r="J39" s="542">
        <v>13239</v>
      </c>
      <c r="K39" s="289">
        <v>10729.2</v>
      </c>
      <c r="L39" s="409">
        <v>45173</v>
      </c>
      <c r="M39" s="410">
        <v>10729.2</v>
      </c>
      <c r="N39" s="227">
        <f t="shared" si="1"/>
        <v>0</v>
      </c>
    </row>
    <row r="40" spans="2:14" x14ac:dyDescent="0.25">
      <c r="B40" s="235" t="s">
        <v>983</v>
      </c>
      <c r="C40" s="461" t="s">
        <v>984</v>
      </c>
      <c r="D40" s="237">
        <v>26133.16</v>
      </c>
      <c r="E40" s="238"/>
      <c r="F40" s="84"/>
      <c r="G40" s="101">
        <f t="shared" si="0"/>
        <v>26133.16</v>
      </c>
      <c r="I40" s="287" t="s">
        <v>1011</v>
      </c>
      <c r="J40" s="542">
        <v>13252</v>
      </c>
      <c r="K40" s="289">
        <v>20923.599999999999</v>
      </c>
      <c r="L40" s="409">
        <v>45173</v>
      </c>
      <c r="M40" s="410">
        <v>20923.599999999999</v>
      </c>
      <c r="N40" s="227">
        <f t="shared" si="1"/>
        <v>0</v>
      </c>
    </row>
    <row r="41" spans="2:14" x14ac:dyDescent="0.25">
      <c r="B41" s="235" t="s">
        <v>983</v>
      </c>
      <c r="C41" s="461" t="s">
        <v>985</v>
      </c>
      <c r="D41" s="237">
        <v>14070</v>
      </c>
      <c r="E41" s="238"/>
      <c r="F41" s="84"/>
      <c r="G41" s="101">
        <f t="shared" si="0"/>
        <v>14070</v>
      </c>
      <c r="I41" s="287" t="s">
        <v>1016</v>
      </c>
      <c r="J41" s="542">
        <v>13254</v>
      </c>
      <c r="K41" s="289">
        <v>7619</v>
      </c>
      <c r="L41" s="409">
        <v>45173</v>
      </c>
      <c r="M41" s="410">
        <v>7619</v>
      </c>
      <c r="N41" s="227">
        <f t="shared" si="1"/>
        <v>0</v>
      </c>
    </row>
    <row r="42" spans="2:14" x14ac:dyDescent="0.25">
      <c r="B42" s="235" t="s">
        <v>986</v>
      </c>
      <c r="C42" s="461" t="s">
        <v>987</v>
      </c>
      <c r="D42" s="237">
        <v>32862.800000000003</v>
      </c>
      <c r="E42" s="238"/>
      <c r="F42" s="84"/>
      <c r="G42" s="101">
        <f t="shared" si="0"/>
        <v>32862.800000000003</v>
      </c>
      <c r="I42" s="228" t="s">
        <v>1018</v>
      </c>
      <c r="J42" s="229">
        <v>13264</v>
      </c>
      <c r="K42" s="230">
        <v>23661.599999999999</v>
      </c>
      <c r="L42" s="409">
        <v>45173</v>
      </c>
      <c r="M42" s="412">
        <v>23661.599999999999</v>
      </c>
      <c r="N42" s="227">
        <f t="shared" si="1"/>
        <v>0</v>
      </c>
    </row>
    <row r="43" spans="2:14" x14ac:dyDescent="0.25">
      <c r="B43" s="235" t="s">
        <v>988</v>
      </c>
      <c r="C43" s="461" t="s">
        <v>989</v>
      </c>
      <c r="D43" s="237">
        <v>0</v>
      </c>
      <c r="E43" s="238"/>
      <c r="F43" s="84"/>
      <c r="G43" s="101">
        <f t="shared" si="0"/>
        <v>0</v>
      </c>
      <c r="I43" s="287" t="s">
        <v>1029</v>
      </c>
      <c r="J43" s="542">
        <v>13272</v>
      </c>
      <c r="K43" s="289">
        <v>3440</v>
      </c>
      <c r="L43" s="409">
        <v>45173</v>
      </c>
      <c r="M43" s="410">
        <v>3440</v>
      </c>
      <c r="N43" s="227">
        <f t="shared" si="1"/>
        <v>0</v>
      </c>
    </row>
    <row r="44" spans="2:14" x14ac:dyDescent="0.25">
      <c r="B44" s="235" t="s">
        <v>988</v>
      </c>
      <c r="C44" s="461" t="s">
        <v>990</v>
      </c>
      <c r="D44" s="237">
        <v>4038</v>
      </c>
      <c r="E44" s="238"/>
      <c r="F44" s="84"/>
      <c r="G44" s="101">
        <f t="shared" si="0"/>
        <v>4038</v>
      </c>
      <c r="I44" s="228" t="s">
        <v>1030</v>
      </c>
      <c r="J44" s="229">
        <v>13283</v>
      </c>
      <c r="K44" s="230">
        <v>960</v>
      </c>
      <c r="L44" s="238"/>
      <c r="M44" s="84"/>
      <c r="N44" s="227">
        <f t="shared" si="1"/>
        <v>960</v>
      </c>
    </row>
    <row r="45" spans="2:14" x14ac:dyDescent="0.25">
      <c r="B45" s="235" t="s">
        <v>988</v>
      </c>
      <c r="C45" s="461" t="s">
        <v>991</v>
      </c>
      <c r="D45" s="237">
        <v>101222.46</v>
      </c>
      <c r="E45" s="238"/>
      <c r="F45" s="84"/>
      <c r="G45" s="101">
        <f t="shared" si="0"/>
        <v>101222.46</v>
      </c>
      <c r="I45" s="228" t="s">
        <v>1030</v>
      </c>
      <c r="J45" s="229">
        <v>13285</v>
      </c>
      <c r="K45" s="230">
        <v>2107</v>
      </c>
      <c r="L45" s="238"/>
      <c r="M45" s="84"/>
      <c r="N45" s="227">
        <f t="shared" si="1"/>
        <v>3067</v>
      </c>
    </row>
    <row r="46" spans="2:14" x14ac:dyDescent="0.25">
      <c r="B46" s="235" t="s">
        <v>992</v>
      </c>
      <c r="C46" s="461" t="s">
        <v>993</v>
      </c>
      <c r="D46" s="237">
        <v>22549.200000000001</v>
      </c>
      <c r="E46" s="238"/>
      <c r="F46" s="84"/>
      <c r="G46" s="101">
        <f t="shared" si="0"/>
        <v>22549.200000000001</v>
      </c>
      <c r="I46" s="406"/>
      <c r="J46" s="544"/>
      <c r="K46" s="101"/>
      <c r="L46" s="238"/>
      <c r="M46" s="84"/>
      <c r="N46" s="227">
        <f t="shared" si="1"/>
        <v>3067</v>
      </c>
    </row>
    <row r="47" spans="2:14" x14ac:dyDescent="0.25">
      <c r="B47" s="235" t="s">
        <v>994</v>
      </c>
      <c r="C47" s="461" t="s">
        <v>995</v>
      </c>
      <c r="D47" s="237">
        <v>22185.9</v>
      </c>
      <c r="E47" s="238"/>
      <c r="F47" s="84"/>
      <c r="G47" s="101">
        <f t="shared" si="0"/>
        <v>22185.9</v>
      </c>
      <c r="I47" s="239"/>
      <c r="J47" s="544"/>
      <c r="K47" s="101"/>
      <c r="L47" s="238"/>
      <c r="M47" s="84"/>
      <c r="N47" s="227">
        <f t="shared" si="1"/>
        <v>3067</v>
      </c>
    </row>
    <row r="48" spans="2:14" x14ac:dyDescent="0.25">
      <c r="B48" s="235" t="s">
        <v>996</v>
      </c>
      <c r="C48" s="461" t="s">
        <v>997</v>
      </c>
      <c r="D48" s="237">
        <v>83481</v>
      </c>
      <c r="E48" s="250"/>
      <c r="F48" s="84"/>
      <c r="G48" s="101">
        <f t="shared" si="0"/>
        <v>83481</v>
      </c>
      <c r="I48" s="251"/>
      <c r="J48" s="545"/>
      <c r="K48" s="108"/>
      <c r="L48" s="177"/>
      <c r="M48" s="44"/>
      <c r="N48" s="227">
        <f t="shared" si="1"/>
        <v>3067</v>
      </c>
    </row>
    <row r="49" spans="2:14" x14ac:dyDescent="0.25">
      <c r="B49" s="235" t="s">
        <v>998</v>
      </c>
      <c r="C49" s="461" t="s">
        <v>999</v>
      </c>
      <c r="D49" s="237">
        <v>11880</v>
      </c>
      <c r="E49" s="250"/>
      <c r="F49" s="84"/>
      <c r="G49" s="101">
        <f t="shared" si="0"/>
        <v>11880</v>
      </c>
      <c r="I49" s="647" t="s">
        <v>35</v>
      </c>
      <c r="J49" s="648"/>
      <c r="K49" s="108"/>
      <c r="L49" s="177"/>
      <c r="M49" s="44"/>
      <c r="N49" s="227">
        <f t="shared" si="1"/>
        <v>3067</v>
      </c>
    </row>
    <row r="50" spans="2:14" x14ac:dyDescent="0.25">
      <c r="B50" s="235" t="s">
        <v>998</v>
      </c>
      <c r="C50" s="461" t="s">
        <v>1000</v>
      </c>
      <c r="D50" s="237">
        <v>0</v>
      </c>
      <c r="E50" s="250"/>
      <c r="F50" s="84"/>
      <c r="G50" s="101">
        <f t="shared" si="0"/>
        <v>0</v>
      </c>
      <c r="I50" s="649"/>
      <c r="J50" s="650"/>
      <c r="K50" s="108"/>
      <c r="L50" s="177"/>
      <c r="M50" s="44"/>
      <c r="N50" s="227">
        <f t="shared" si="1"/>
        <v>3067</v>
      </c>
    </row>
    <row r="51" spans="2:14" x14ac:dyDescent="0.25">
      <c r="B51" s="235" t="s">
        <v>998</v>
      </c>
      <c r="C51" s="461" t="s">
        <v>1001</v>
      </c>
      <c r="D51" s="237">
        <v>0</v>
      </c>
      <c r="E51" s="250"/>
      <c r="F51" s="84"/>
      <c r="G51" s="101">
        <f t="shared" si="0"/>
        <v>0</v>
      </c>
      <c r="I51" s="651"/>
      <c r="J51" s="652"/>
      <c r="K51" s="108"/>
      <c r="L51" s="177"/>
      <c r="M51" s="44"/>
      <c r="N51" s="227">
        <f t="shared" si="1"/>
        <v>3067</v>
      </c>
    </row>
    <row r="52" spans="2:14" x14ac:dyDescent="0.25">
      <c r="B52" s="235" t="s">
        <v>998</v>
      </c>
      <c r="C52" s="461" t="s">
        <v>1002</v>
      </c>
      <c r="D52" s="237">
        <v>2850</v>
      </c>
      <c r="E52" s="250"/>
      <c r="F52" s="84"/>
      <c r="G52" s="101">
        <f t="shared" si="0"/>
        <v>2850</v>
      </c>
      <c r="I52" s="251"/>
      <c r="J52" s="545"/>
      <c r="K52" s="108"/>
      <c r="L52" s="177"/>
      <c r="M52" s="44"/>
      <c r="N52" s="227">
        <f t="shared" si="1"/>
        <v>3067</v>
      </c>
    </row>
    <row r="53" spans="2:14" x14ac:dyDescent="0.25">
      <c r="B53" s="235" t="s">
        <v>1003</v>
      </c>
      <c r="C53" s="461" t="s">
        <v>1004</v>
      </c>
      <c r="D53" s="237">
        <v>14514.2</v>
      </c>
      <c r="E53" s="177"/>
      <c r="F53" s="44"/>
      <c r="G53" s="101">
        <f t="shared" si="0"/>
        <v>14514.2</v>
      </c>
      <c r="I53" s="251"/>
      <c r="J53" s="545"/>
      <c r="K53" s="108"/>
      <c r="L53" s="177"/>
      <c r="M53" s="44"/>
      <c r="N53" s="227">
        <f t="shared" si="1"/>
        <v>3067</v>
      </c>
    </row>
    <row r="54" spans="2:14" x14ac:dyDescent="0.25">
      <c r="B54" s="235" t="s">
        <v>1003</v>
      </c>
      <c r="C54" s="461" t="s">
        <v>1005</v>
      </c>
      <c r="D54" s="237">
        <v>4540</v>
      </c>
      <c r="E54" s="250"/>
      <c r="F54" s="84"/>
      <c r="G54" s="101">
        <f t="shared" si="0"/>
        <v>4540</v>
      </c>
      <c r="I54" s="239"/>
      <c r="J54" s="544"/>
      <c r="K54" s="101"/>
      <c r="L54" s="250"/>
      <c r="M54" s="84"/>
      <c r="N54" s="227">
        <f t="shared" si="1"/>
        <v>3067</v>
      </c>
    </row>
    <row r="55" spans="2:14" x14ac:dyDescent="0.25">
      <c r="B55" s="235" t="s">
        <v>1003</v>
      </c>
      <c r="C55" s="461" t="s">
        <v>1006</v>
      </c>
      <c r="D55" s="237">
        <v>7697.63</v>
      </c>
      <c r="E55" s="250"/>
      <c r="F55" s="84"/>
      <c r="G55" s="101">
        <f t="shared" si="0"/>
        <v>7697.63</v>
      </c>
      <c r="I55" s="239"/>
      <c r="J55" s="544"/>
      <c r="K55" s="101"/>
      <c r="L55" s="250"/>
      <c r="M55" s="84"/>
      <c r="N55" s="227">
        <f t="shared" si="1"/>
        <v>3067</v>
      </c>
    </row>
    <row r="56" spans="2:14" x14ac:dyDescent="0.25">
      <c r="B56" s="235" t="s">
        <v>1007</v>
      </c>
      <c r="C56" s="461" t="s">
        <v>1008</v>
      </c>
      <c r="D56" s="237">
        <v>138440.76</v>
      </c>
      <c r="E56" s="250"/>
      <c r="F56" s="84"/>
      <c r="G56" s="101">
        <f t="shared" si="0"/>
        <v>138440.76</v>
      </c>
      <c r="I56" s="239"/>
      <c r="J56" s="544"/>
      <c r="K56" s="101"/>
      <c r="L56" s="250"/>
      <c r="M56" s="84"/>
      <c r="N56" s="227">
        <f t="shared" si="1"/>
        <v>3067</v>
      </c>
    </row>
    <row r="57" spans="2:14" x14ac:dyDescent="0.25">
      <c r="B57" s="235" t="s">
        <v>1007</v>
      </c>
      <c r="C57" s="461" t="s">
        <v>1009</v>
      </c>
      <c r="D57" s="237">
        <v>0</v>
      </c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3067</v>
      </c>
    </row>
    <row r="58" spans="2:14" x14ac:dyDescent="0.25">
      <c r="B58" s="235" t="s">
        <v>1007</v>
      </c>
      <c r="C58" s="461" t="s">
        <v>1010</v>
      </c>
      <c r="D58" s="237">
        <v>2442</v>
      </c>
      <c r="E58" s="250"/>
      <c r="F58" s="84"/>
      <c r="G58" s="101">
        <f t="shared" si="0"/>
        <v>2442</v>
      </c>
      <c r="I58" s="239"/>
      <c r="J58" s="544"/>
      <c r="K58" s="101"/>
      <c r="L58" s="250"/>
      <c r="M58" s="84"/>
      <c r="N58" s="227">
        <f t="shared" si="1"/>
        <v>3067</v>
      </c>
    </row>
    <row r="59" spans="2:14" x14ac:dyDescent="0.25">
      <c r="B59" s="235" t="s">
        <v>1011</v>
      </c>
      <c r="C59" s="461" t="s">
        <v>1012</v>
      </c>
      <c r="D59" s="237">
        <v>2960.6</v>
      </c>
      <c r="E59" s="250"/>
      <c r="F59" s="84"/>
      <c r="G59" s="101">
        <f t="shared" si="0"/>
        <v>2960.6</v>
      </c>
      <c r="I59" s="239"/>
      <c r="J59" s="544"/>
      <c r="K59" s="101"/>
      <c r="L59" s="250"/>
      <c r="M59" s="84"/>
      <c r="N59" s="227">
        <f t="shared" si="1"/>
        <v>3067</v>
      </c>
    </row>
    <row r="60" spans="2:14" x14ac:dyDescent="0.25">
      <c r="B60" s="235" t="s">
        <v>1011</v>
      </c>
      <c r="C60" s="461" t="s">
        <v>1013</v>
      </c>
      <c r="D60" s="237">
        <v>0</v>
      </c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3067</v>
      </c>
    </row>
    <row r="61" spans="2:14" x14ac:dyDescent="0.25">
      <c r="B61" s="235" t="s">
        <v>1011</v>
      </c>
      <c r="C61" s="461" t="s">
        <v>1014</v>
      </c>
      <c r="D61" s="237">
        <v>79545.600000000006</v>
      </c>
      <c r="E61" s="250"/>
      <c r="F61" s="84"/>
      <c r="G61" s="101">
        <f t="shared" si="0"/>
        <v>79545.600000000006</v>
      </c>
      <c r="I61" s="239"/>
      <c r="J61" s="544"/>
      <c r="K61" s="101"/>
      <c r="L61" s="250"/>
      <c r="M61" s="84"/>
      <c r="N61" s="227">
        <f t="shared" si="1"/>
        <v>3067</v>
      </c>
    </row>
    <row r="62" spans="2:14" x14ac:dyDescent="0.25">
      <c r="B62" s="235" t="s">
        <v>1011</v>
      </c>
      <c r="C62" s="461" t="s">
        <v>1015</v>
      </c>
      <c r="D62" s="237">
        <v>1835.2</v>
      </c>
      <c r="E62" s="250"/>
      <c r="F62" s="84"/>
      <c r="G62" s="101">
        <f t="shared" si="0"/>
        <v>1835.2</v>
      </c>
      <c r="I62" s="239"/>
      <c r="J62" s="544"/>
      <c r="K62" s="101"/>
      <c r="L62" s="250"/>
      <c r="M62" s="84"/>
      <c r="N62" s="227">
        <f t="shared" si="1"/>
        <v>3067</v>
      </c>
    </row>
    <row r="63" spans="2:14" x14ac:dyDescent="0.25">
      <c r="B63" s="235" t="s">
        <v>1016</v>
      </c>
      <c r="C63" s="461" t="s">
        <v>1017</v>
      </c>
      <c r="D63" s="237">
        <v>1813</v>
      </c>
      <c r="E63" s="250"/>
      <c r="F63" s="84"/>
      <c r="G63" s="101">
        <f t="shared" si="0"/>
        <v>1813</v>
      </c>
      <c r="I63" s="239"/>
      <c r="J63" s="544"/>
      <c r="K63" s="101"/>
      <c r="L63" s="250"/>
      <c r="M63" s="84"/>
      <c r="N63" s="227">
        <f t="shared" si="1"/>
        <v>3067</v>
      </c>
    </row>
    <row r="64" spans="2:14" ht="16.5" thickBot="1" x14ac:dyDescent="0.3">
      <c r="B64" s="235" t="s">
        <v>1018</v>
      </c>
      <c r="C64" s="461" t="s">
        <v>1019</v>
      </c>
      <c r="D64" s="237">
        <v>25349.7</v>
      </c>
      <c r="E64" s="255"/>
      <c r="F64" s="256"/>
      <c r="G64" s="101">
        <f t="shared" si="0"/>
        <v>25349.7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 t="s">
        <v>1018</v>
      </c>
      <c r="C65" s="461" t="s">
        <v>1020</v>
      </c>
      <c r="D65" s="237">
        <v>0</v>
      </c>
      <c r="G65" s="101">
        <f t="shared" si="0"/>
        <v>0</v>
      </c>
      <c r="I65" s="653" t="s">
        <v>35</v>
      </c>
      <c r="J65" s="654"/>
      <c r="K65" s="560">
        <f>SUM(K3:K64)</f>
        <v>226585.60000000003</v>
      </c>
      <c r="L65" s="265"/>
      <c r="M65" s="266">
        <f>SUM(M3:M64)</f>
        <v>223518.60000000003</v>
      </c>
      <c r="N65" s="263">
        <f>N64</f>
        <v>0</v>
      </c>
    </row>
    <row r="66" spans="2:14" x14ac:dyDescent="0.25">
      <c r="B66" s="235" t="s">
        <v>1018</v>
      </c>
      <c r="C66" s="461" t="s">
        <v>1021</v>
      </c>
      <c r="D66" s="237">
        <v>0</v>
      </c>
      <c r="G66" s="101">
        <f t="shared" ref="G66:G68" si="2">D66-F66</f>
        <v>0</v>
      </c>
      <c r="I66" s="662"/>
      <c r="J66" s="663"/>
      <c r="K66" s="150"/>
      <c r="L66" s="269"/>
      <c r="M66" s="5"/>
      <c r="N66" s="1"/>
    </row>
    <row r="67" spans="2:14" x14ac:dyDescent="0.25">
      <c r="B67" s="563">
        <v>45170</v>
      </c>
      <c r="C67" s="562" t="s">
        <v>1031</v>
      </c>
      <c r="D67" s="150">
        <v>6732.16</v>
      </c>
      <c r="G67" s="101">
        <f t="shared" si="2"/>
        <v>6732.16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>
        <v>45171</v>
      </c>
      <c r="C68" s="561" t="s">
        <v>1032</v>
      </c>
      <c r="D68" s="108">
        <v>11182.4</v>
      </c>
      <c r="F68"/>
      <c r="G68" s="101">
        <f t="shared" si="2"/>
        <v>11182.4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1249902.3099999998</v>
      </c>
      <c r="E69" s="261"/>
      <c r="F69" s="262">
        <f>SUM(F7:F68)</f>
        <v>0</v>
      </c>
      <c r="G69" s="263">
        <f>SUM(G7:G68)</f>
        <v>1249902.3099999998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57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58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65:J66"/>
    <mergeCell ref="G70:G71"/>
    <mergeCell ref="I49:J5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V109"/>
  <sheetViews>
    <sheetView tabSelected="1" workbookViewId="0">
      <pane xSplit="2" ySplit="4" topLeftCell="L5" activePane="bottomRight" state="frozen"/>
      <selection pane="topRight" activeCell="C1" sqref="C1"/>
      <selection pane="bottomLeft" activeCell="A5" sqref="A5"/>
      <selection pane="bottomRight" activeCell="P15" sqref="P1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37"/>
      <c r="C1" s="639" t="s">
        <v>1082</v>
      </c>
      <c r="D1" s="640"/>
      <c r="E1" s="640"/>
      <c r="F1" s="640"/>
      <c r="G1" s="640"/>
      <c r="H1" s="640"/>
      <c r="I1" s="640"/>
      <c r="J1" s="640"/>
      <c r="K1" s="640"/>
      <c r="L1" s="640"/>
      <c r="M1" s="640"/>
    </row>
    <row r="2" spans="1:22" ht="16.5" thickBot="1" x14ac:dyDescent="0.3">
      <c r="B2" s="638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41" t="s">
        <v>0</v>
      </c>
      <c r="C3" s="642"/>
      <c r="D3" s="14"/>
      <c r="E3" s="15"/>
      <c r="F3" s="16"/>
      <c r="H3" s="643" t="s">
        <v>1</v>
      </c>
      <c r="I3" s="643"/>
      <c r="K3" s="18"/>
      <c r="L3" s="19"/>
      <c r="M3" s="20"/>
      <c r="P3" s="635" t="s">
        <v>2</v>
      </c>
      <c r="Q3" s="533"/>
      <c r="R3" s="664" t="s">
        <v>3</v>
      </c>
    </row>
    <row r="4" spans="1:22" ht="32.25" thickTop="1" thickBot="1" x14ac:dyDescent="0.35">
      <c r="A4" s="21" t="s">
        <v>4</v>
      </c>
      <c r="B4" s="22"/>
      <c r="C4" s="23">
        <v>3146460.66</v>
      </c>
      <c r="D4" s="24">
        <v>45171</v>
      </c>
      <c r="E4" s="610" t="s">
        <v>5</v>
      </c>
      <c r="F4" s="611"/>
      <c r="H4" s="612" t="s">
        <v>6</v>
      </c>
      <c r="I4" s="613"/>
      <c r="J4" s="25"/>
      <c r="K4" s="26"/>
      <c r="L4" s="27"/>
      <c r="M4" s="28" t="s">
        <v>7</v>
      </c>
      <c r="N4" s="29" t="s">
        <v>8</v>
      </c>
      <c r="P4" s="636"/>
      <c r="Q4" s="30" t="s">
        <v>9</v>
      </c>
      <c r="R4" s="665"/>
    </row>
    <row r="5" spans="1:22" ht="18" thickBot="1" x14ac:dyDescent="0.35">
      <c r="A5" s="504" t="s">
        <v>650</v>
      </c>
      <c r="B5" s="32">
        <v>45172</v>
      </c>
      <c r="C5" s="33">
        <v>7138</v>
      </c>
      <c r="D5" s="34" t="s">
        <v>1103</v>
      </c>
      <c r="E5" s="35">
        <v>45172</v>
      </c>
      <c r="F5" s="36">
        <v>181650</v>
      </c>
      <c r="G5" s="37"/>
      <c r="H5" s="38">
        <v>45172</v>
      </c>
      <c r="I5" s="39">
        <v>7050</v>
      </c>
      <c r="J5" s="40"/>
      <c r="K5" s="532"/>
      <c r="L5" s="13"/>
      <c r="M5" s="42">
        <f>120284+985</f>
        <v>121269</v>
      </c>
      <c r="N5" s="43">
        <v>46194</v>
      </c>
      <c r="P5" s="44">
        <f t="shared" ref="P5:P41" si="0">N5+M5+L5+I5+C5</f>
        <v>181651</v>
      </c>
      <c r="Q5" s="45">
        <f>P5-F5</f>
        <v>1</v>
      </c>
      <c r="R5" s="390">
        <v>0</v>
      </c>
    </row>
    <row r="6" spans="1:22" ht="19.5" thickBot="1" x14ac:dyDescent="0.35">
      <c r="A6" s="504" t="s">
        <v>651</v>
      </c>
      <c r="B6" s="32">
        <v>45173</v>
      </c>
      <c r="C6" s="33">
        <v>37120</v>
      </c>
      <c r="D6" s="47" t="s">
        <v>1106</v>
      </c>
      <c r="E6" s="35">
        <v>45173</v>
      </c>
      <c r="F6" s="36">
        <v>143594</v>
      </c>
      <c r="G6" s="37" t="s">
        <v>10</v>
      </c>
      <c r="H6" s="38">
        <v>45173</v>
      </c>
      <c r="I6" s="39">
        <v>2967.5</v>
      </c>
      <c r="J6" s="40"/>
      <c r="K6" s="65"/>
      <c r="L6" s="49"/>
      <c r="M6" s="605">
        <v>2641</v>
      </c>
      <c r="N6" s="43">
        <v>57667</v>
      </c>
      <c r="O6" s="601" t="s">
        <v>1107</v>
      </c>
      <c r="P6" s="49">
        <f t="shared" si="0"/>
        <v>100395.5</v>
      </c>
      <c r="Q6" s="606">
        <f>P6-F6-21904</f>
        <v>-65102.5</v>
      </c>
      <c r="R6" s="282">
        <v>21904</v>
      </c>
      <c r="S6" s="535"/>
      <c r="T6" s="233"/>
      <c r="U6" s="233"/>
      <c r="V6" s="233"/>
    </row>
    <row r="7" spans="1:22" ht="19.5" thickBot="1" x14ac:dyDescent="0.35">
      <c r="A7" s="504" t="s">
        <v>652</v>
      </c>
      <c r="B7" s="32">
        <v>45174</v>
      </c>
      <c r="C7" s="33">
        <v>34645</v>
      </c>
      <c r="D7" s="50" t="s">
        <v>1112</v>
      </c>
      <c r="E7" s="35">
        <v>45174</v>
      </c>
      <c r="F7" s="36">
        <v>141635</v>
      </c>
      <c r="G7" s="37"/>
      <c r="H7" s="38">
        <v>45174</v>
      </c>
      <c r="I7" s="39">
        <v>3148</v>
      </c>
      <c r="J7" s="40">
        <v>45174</v>
      </c>
      <c r="K7" s="65" t="s">
        <v>85</v>
      </c>
      <c r="L7" s="49">
        <v>10264</v>
      </c>
      <c r="M7" s="42">
        <f>9588</f>
        <v>9588</v>
      </c>
      <c r="N7" s="43">
        <v>53307</v>
      </c>
      <c r="O7" s="601" t="s">
        <v>1113</v>
      </c>
      <c r="P7" s="49">
        <f t="shared" si="0"/>
        <v>110952</v>
      </c>
      <c r="Q7" s="606">
        <f>P7-F7-4827</f>
        <v>-35510</v>
      </c>
      <c r="R7" s="282">
        <v>4827</v>
      </c>
      <c r="S7" s="233"/>
      <c r="T7" s="233"/>
      <c r="U7" s="233"/>
      <c r="V7" s="233"/>
    </row>
    <row r="8" spans="1:22" ht="19.5" customHeight="1" thickBot="1" x14ac:dyDescent="0.35">
      <c r="A8" s="504" t="s">
        <v>653</v>
      </c>
      <c r="B8" s="32">
        <v>45175</v>
      </c>
      <c r="C8" s="33">
        <v>10631</v>
      </c>
      <c r="D8" s="51" t="s">
        <v>431</v>
      </c>
      <c r="E8" s="35">
        <v>45175</v>
      </c>
      <c r="F8" s="36">
        <v>180179</v>
      </c>
      <c r="G8" s="37"/>
      <c r="H8" s="38">
        <v>45175</v>
      </c>
      <c r="I8" s="39">
        <v>2159</v>
      </c>
      <c r="J8" s="52"/>
      <c r="K8" s="342"/>
      <c r="L8" s="49"/>
      <c r="M8" s="42">
        <f>120000+612+1124+4726+6600+67442</f>
        <v>200504</v>
      </c>
      <c r="N8" s="43">
        <v>77330</v>
      </c>
      <c r="P8" s="49">
        <f t="shared" si="0"/>
        <v>290624</v>
      </c>
      <c r="Q8" s="607">
        <f>P8-F8-9833</f>
        <v>100612</v>
      </c>
      <c r="R8" s="282">
        <v>9833</v>
      </c>
      <c r="S8" s="233"/>
      <c r="T8" s="233"/>
      <c r="U8" s="233"/>
      <c r="V8" s="233"/>
    </row>
    <row r="9" spans="1:22" ht="18" thickBot="1" x14ac:dyDescent="0.35">
      <c r="A9" s="504" t="s">
        <v>654</v>
      </c>
      <c r="B9" s="32">
        <v>45176</v>
      </c>
      <c r="C9" s="33">
        <v>5757</v>
      </c>
      <c r="D9" s="51" t="s">
        <v>1114</v>
      </c>
      <c r="E9" s="35">
        <v>45176</v>
      </c>
      <c r="F9" s="36">
        <v>136059</v>
      </c>
      <c r="G9" s="37"/>
      <c r="H9" s="38">
        <v>45176</v>
      </c>
      <c r="I9" s="39">
        <v>1516</v>
      </c>
      <c r="J9" s="40"/>
      <c r="K9" s="348"/>
      <c r="L9" s="49"/>
      <c r="M9" s="42">
        <f>73528</f>
        <v>73528</v>
      </c>
      <c r="N9" s="43">
        <v>55258</v>
      </c>
      <c r="P9" s="49">
        <f t="shared" si="0"/>
        <v>136059</v>
      </c>
      <c r="Q9" s="45">
        <f t="shared" ref="Q9:Q16" si="1">P9-F9</f>
        <v>0</v>
      </c>
      <c r="R9" s="46">
        <v>0</v>
      </c>
      <c r="S9" s="459"/>
      <c r="T9" s="233"/>
      <c r="U9" s="233"/>
      <c r="V9" s="233"/>
    </row>
    <row r="10" spans="1:22" ht="18" thickBot="1" x14ac:dyDescent="0.35">
      <c r="A10" s="504" t="s">
        <v>655</v>
      </c>
      <c r="B10" s="32">
        <v>45177</v>
      </c>
      <c r="C10" s="33">
        <v>6148</v>
      </c>
      <c r="D10" s="50" t="s">
        <v>88</v>
      </c>
      <c r="E10" s="35">
        <v>45177</v>
      </c>
      <c r="F10" s="36">
        <v>245361</v>
      </c>
      <c r="G10" s="37"/>
      <c r="H10" s="38">
        <v>45177</v>
      </c>
      <c r="I10" s="39">
        <v>2471</v>
      </c>
      <c r="J10" s="40"/>
      <c r="K10" s="54"/>
      <c r="L10" s="55"/>
      <c r="M10" s="42">
        <f>165287+4814</f>
        <v>170101</v>
      </c>
      <c r="N10" s="43">
        <v>66642</v>
      </c>
      <c r="P10" s="49">
        <f t="shared" si="0"/>
        <v>245362</v>
      </c>
      <c r="Q10" s="45">
        <f t="shared" si="1"/>
        <v>1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656</v>
      </c>
      <c r="B11" s="32">
        <v>45178</v>
      </c>
      <c r="C11" s="33">
        <v>16994</v>
      </c>
      <c r="D11" s="47" t="s">
        <v>1115</v>
      </c>
      <c r="E11" s="35">
        <v>45178</v>
      </c>
      <c r="F11" s="36">
        <v>184673</v>
      </c>
      <c r="G11" s="37"/>
      <c r="H11" s="38">
        <v>45178</v>
      </c>
      <c r="I11" s="39">
        <v>4974</v>
      </c>
      <c r="J11" s="52">
        <v>45178</v>
      </c>
      <c r="K11" s="58" t="s">
        <v>1116</v>
      </c>
      <c r="L11" s="49">
        <v>22355</v>
      </c>
      <c r="M11" s="42">
        <f>60473+3531</f>
        <v>64004</v>
      </c>
      <c r="N11" s="43">
        <v>76346</v>
      </c>
      <c r="P11" s="49">
        <f t="shared" si="0"/>
        <v>184673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18" thickBot="1" x14ac:dyDescent="0.35">
      <c r="A12" s="504" t="s">
        <v>650</v>
      </c>
      <c r="B12" s="32">
        <v>45179</v>
      </c>
      <c r="C12" s="33"/>
      <c r="D12" s="47"/>
      <c r="E12" s="35">
        <v>45179</v>
      </c>
      <c r="F12" s="36"/>
      <c r="G12" s="37"/>
      <c r="H12" s="38">
        <v>45179</v>
      </c>
      <c r="I12" s="39"/>
      <c r="J12" s="40"/>
      <c r="K12" s="342"/>
      <c r="L12" s="49"/>
      <c r="M12" s="42">
        <v>0</v>
      </c>
      <c r="N12" s="43">
        <v>0</v>
      </c>
      <c r="O12" s="192"/>
      <c r="P12" s="49">
        <f t="shared" si="0"/>
        <v>0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651</v>
      </c>
      <c r="B13" s="32">
        <v>45180</v>
      </c>
      <c r="C13" s="33"/>
      <c r="D13" s="51"/>
      <c r="E13" s="35">
        <v>45180</v>
      </c>
      <c r="F13" s="36"/>
      <c r="G13" s="37"/>
      <c r="H13" s="38">
        <v>45180</v>
      </c>
      <c r="I13" s="39"/>
      <c r="J13" s="40"/>
      <c r="K13" s="343"/>
      <c r="L13" s="49"/>
      <c r="M13" s="42">
        <v>0</v>
      </c>
      <c r="N13" s="43">
        <v>0</v>
      </c>
      <c r="O13" s="192"/>
      <c r="P13" s="49">
        <f>N13+M13+L13+I13+C13</f>
        <v>0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652</v>
      </c>
      <c r="B14" s="32">
        <v>45181</v>
      </c>
      <c r="C14" s="33"/>
      <c r="D14" s="50"/>
      <c r="E14" s="35">
        <v>45181</v>
      </c>
      <c r="F14" s="36"/>
      <c r="G14" s="37"/>
      <c r="H14" s="38">
        <v>45181</v>
      </c>
      <c r="I14" s="39"/>
      <c r="J14" s="40"/>
      <c r="K14" s="65"/>
      <c r="L14" s="49"/>
      <c r="M14" s="42">
        <v>0</v>
      </c>
      <c r="N14" s="43">
        <v>0</v>
      </c>
      <c r="O14" s="193"/>
      <c r="P14" s="49">
        <f t="shared" si="0"/>
        <v>0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653</v>
      </c>
      <c r="B15" s="32">
        <v>45182</v>
      </c>
      <c r="C15" s="33"/>
      <c r="D15" s="50"/>
      <c r="E15" s="35">
        <v>45182</v>
      </c>
      <c r="F15" s="36"/>
      <c r="G15" s="37"/>
      <c r="H15" s="38">
        <v>45182</v>
      </c>
      <c r="I15" s="39"/>
      <c r="J15" s="40"/>
      <c r="K15" s="65"/>
      <c r="L15" s="49"/>
      <c r="M15" s="42">
        <v>0</v>
      </c>
      <c r="N15" s="43">
        <v>0</v>
      </c>
      <c r="P15" s="49">
        <f t="shared" si="0"/>
        <v>0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654</v>
      </c>
      <c r="B16" s="32">
        <v>45183</v>
      </c>
      <c r="C16" s="33"/>
      <c r="D16" s="50"/>
      <c r="E16" s="35">
        <v>45183</v>
      </c>
      <c r="F16" s="36"/>
      <c r="G16" s="37"/>
      <c r="H16" s="38">
        <v>45183</v>
      </c>
      <c r="I16" s="39"/>
      <c r="J16" s="40"/>
      <c r="K16" s="342"/>
      <c r="L16" s="13"/>
      <c r="M16" s="42">
        <v>0</v>
      </c>
      <c r="N16" s="43">
        <v>0</v>
      </c>
      <c r="P16" s="49">
        <f t="shared" si="0"/>
        <v>0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655</v>
      </c>
      <c r="B17" s="32">
        <v>45184</v>
      </c>
      <c r="C17" s="33"/>
      <c r="D17" s="47"/>
      <c r="E17" s="35">
        <v>45184</v>
      </c>
      <c r="F17" s="36"/>
      <c r="G17" s="37"/>
      <c r="H17" s="38">
        <v>45184</v>
      </c>
      <c r="I17" s="39"/>
      <c r="J17" s="40"/>
      <c r="K17" s="65"/>
      <c r="L17" s="55"/>
      <c r="M17" s="42">
        <v>0</v>
      </c>
      <c r="N17" s="43">
        <v>0</v>
      </c>
      <c r="O17" s="499"/>
      <c r="P17" s="49">
        <f t="shared" si="0"/>
        <v>0</v>
      </c>
      <c r="Q17" s="45">
        <f t="shared" ref="Q17:Q47" si="2">P17-F17</f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656</v>
      </c>
      <c r="B18" s="32">
        <v>45185</v>
      </c>
      <c r="C18" s="33"/>
      <c r="D18" s="51"/>
      <c r="E18" s="35">
        <v>45185</v>
      </c>
      <c r="F18" s="36"/>
      <c r="G18" s="37"/>
      <c r="H18" s="38">
        <v>45185</v>
      </c>
      <c r="I18" s="39"/>
      <c r="J18" s="40"/>
      <c r="K18" s="58"/>
      <c r="L18" s="49"/>
      <c r="M18" s="42">
        <v>0</v>
      </c>
      <c r="N18" s="43">
        <v>0</v>
      </c>
      <c r="P18" s="49">
        <f t="shared" si="0"/>
        <v>0</v>
      </c>
      <c r="Q18" s="45">
        <f t="shared" si="2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650</v>
      </c>
      <c r="B19" s="32">
        <v>45186</v>
      </c>
      <c r="C19" s="33"/>
      <c r="D19" s="47"/>
      <c r="E19" s="35">
        <v>45186</v>
      </c>
      <c r="F19" s="36"/>
      <c r="G19" s="37"/>
      <c r="H19" s="38">
        <v>45186</v>
      </c>
      <c r="I19" s="39"/>
      <c r="J19" s="40"/>
      <c r="K19" s="344"/>
      <c r="L19" s="59"/>
      <c r="M19" s="42">
        <v>0</v>
      </c>
      <c r="N19" s="43">
        <v>0</v>
      </c>
      <c r="O19" s="499"/>
      <c r="P19" s="49">
        <f t="shared" si="0"/>
        <v>0</v>
      </c>
      <c r="Q19" s="45">
        <f t="shared" si="2"/>
        <v>0</v>
      </c>
      <c r="R19" s="46">
        <v>0</v>
      </c>
      <c r="S19" s="233"/>
      <c r="T19" s="233"/>
      <c r="U19" s="233"/>
      <c r="V19" s="233"/>
    </row>
    <row r="20" spans="1:22" ht="18" customHeight="1" thickBot="1" x14ac:dyDescent="0.35">
      <c r="A20" s="504" t="s">
        <v>651</v>
      </c>
      <c r="B20" s="32">
        <v>45187</v>
      </c>
      <c r="C20" s="33"/>
      <c r="D20" s="47"/>
      <c r="E20" s="35">
        <v>45187</v>
      </c>
      <c r="F20" s="36"/>
      <c r="G20" s="37"/>
      <c r="H20" s="38">
        <v>45187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2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652</v>
      </c>
      <c r="B21" s="32">
        <v>45188</v>
      </c>
      <c r="C21" s="33"/>
      <c r="D21" s="47"/>
      <c r="E21" s="35">
        <v>45188</v>
      </c>
      <c r="F21" s="36"/>
      <c r="G21" s="37"/>
      <c r="H21" s="38">
        <v>45188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2"/>
        <v>0</v>
      </c>
      <c r="R21" s="46">
        <v>0</v>
      </c>
      <c r="S21" s="233"/>
    </row>
    <row r="22" spans="1:22" ht="19.5" customHeight="1" thickBot="1" x14ac:dyDescent="0.35">
      <c r="A22" s="504" t="s">
        <v>653</v>
      </c>
      <c r="B22" s="32">
        <v>45189</v>
      </c>
      <c r="C22" s="33"/>
      <c r="D22" s="47"/>
      <c r="E22" s="35">
        <v>45189</v>
      </c>
      <c r="F22" s="36"/>
      <c r="G22" s="37"/>
      <c r="H22" s="38">
        <v>45189</v>
      </c>
      <c r="I22" s="359"/>
      <c r="J22" s="40"/>
      <c r="K22" s="506"/>
      <c r="L22" s="62"/>
      <c r="M22" s="42">
        <v>0</v>
      </c>
      <c r="N22" s="43">
        <v>0</v>
      </c>
      <c r="P22" s="49">
        <f t="shared" si="0"/>
        <v>0</v>
      </c>
      <c r="Q22" s="45">
        <f t="shared" si="2"/>
        <v>0</v>
      </c>
      <c r="R22" s="46">
        <v>0</v>
      </c>
      <c r="S22" s="500"/>
    </row>
    <row r="23" spans="1:22" ht="18" customHeight="1" thickBot="1" x14ac:dyDescent="0.35">
      <c r="A23" s="504" t="s">
        <v>654</v>
      </c>
      <c r="B23" s="32">
        <v>45190</v>
      </c>
      <c r="C23" s="33"/>
      <c r="D23" s="47"/>
      <c r="E23" s="35">
        <v>45190</v>
      </c>
      <c r="F23" s="36"/>
      <c r="G23" s="37"/>
      <c r="H23" s="38">
        <v>45190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2"/>
        <v>0</v>
      </c>
      <c r="R23" s="46">
        <v>0</v>
      </c>
      <c r="S23" s="233"/>
    </row>
    <row r="24" spans="1:22" ht="18" customHeight="1" thickBot="1" x14ac:dyDescent="0.35">
      <c r="A24" s="504" t="s">
        <v>655</v>
      </c>
      <c r="B24" s="32">
        <v>45191</v>
      </c>
      <c r="C24" s="33"/>
      <c r="D24" s="51"/>
      <c r="E24" s="35">
        <v>45191</v>
      </c>
      <c r="F24" s="36"/>
      <c r="G24" s="37"/>
      <c r="H24" s="38">
        <v>45191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2"/>
        <v>0</v>
      </c>
      <c r="R24" s="46">
        <v>0</v>
      </c>
      <c r="S24" s="233"/>
    </row>
    <row r="25" spans="1:22" ht="18" thickBot="1" x14ac:dyDescent="0.35">
      <c r="A25" s="504" t="s">
        <v>656</v>
      </c>
      <c r="B25" s="32">
        <v>45192</v>
      </c>
      <c r="C25" s="33"/>
      <c r="D25" s="47"/>
      <c r="E25" s="35">
        <v>45192</v>
      </c>
      <c r="F25" s="36"/>
      <c r="G25" s="37"/>
      <c r="H25" s="38">
        <v>45192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2"/>
        <v>0</v>
      </c>
      <c r="R25" s="46" t="s">
        <v>10</v>
      </c>
      <c r="S25" s="233"/>
    </row>
    <row r="26" spans="1:22" ht="18" thickBot="1" x14ac:dyDescent="0.35">
      <c r="A26" s="504" t="s">
        <v>650</v>
      </c>
      <c r="B26" s="32">
        <v>45193</v>
      </c>
      <c r="C26" s="33"/>
      <c r="D26" s="47"/>
      <c r="E26" s="35">
        <v>45193</v>
      </c>
      <c r="F26" s="36"/>
      <c r="G26" s="37"/>
      <c r="H26" s="38">
        <v>45193</v>
      </c>
      <c r="I26" s="39"/>
      <c r="J26" s="40"/>
      <c r="K26" s="537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2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651</v>
      </c>
      <c r="B27" s="32">
        <v>45194</v>
      </c>
      <c r="C27" s="33"/>
      <c r="D27" s="51"/>
      <c r="E27" s="35">
        <v>45194</v>
      </c>
      <c r="F27" s="36"/>
      <c r="G27" s="37"/>
      <c r="H27" s="38">
        <v>45194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2"/>
        <v>0</v>
      </c>
      <c r="R27" s="46">
        <v>0</v>
      </c>
      <c r="S27" s="233"/>
    </row>
    <row r="28" spans="1:22" ht="18" customHeight="1" thickBot="1" x14ac:dyDescent="0.35">
      <c r="A28" s="504" t="s">
        <v>652</v>
      </c>
      <c r="B28" s="32">
        <v>45195</v>
      </c>
      <c r="C28" s="33"/>
      <c r="D28" s="51"/>
      <c r="E28" s="35">
        <v>45195</v>
      </c>
      <c r="F28" s="36"/>
      <c r="G28" s="37"/>
      <c r="H28" s="38">
        <v>45195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2"/>
        <v>0</v>
      </c>
      <c r="R28" s="46">
        <v>0</v>
      </c>
      <c r="S28" s="233"/>
    </row>
    <row r="29" spans="1:22" ht="18" thickBot="1" x14ac:dyDescent="0.35">
      <c r="A29" s="504" t="s">
        <v>653</v>
      </c>
      <c r="B29" s="32">
        <v>45196</v>
      </c>
      <c r="C29" s="33"/>
      <c r="D29" s="76"/>
      <c r="E29" s="35">
        <v>45196</v>
      </c>
      <c r="F29" s="36"/>
      <c r="G29" s="37"/>
      <c r="H29" s="38">
        <v>45196</v>
      </c>
      <c r="I29" s="39"/>
      <c r="J29" s="339"/>
      <c r="K29" s="539"/>
      <c r="L29" s="68"/>
      <c r="M29" s="42">
        <v>0</v>
      </c>
      <c r="N29" s="43">
        <v>0</v>
      </c>
      <c r="P29" s="69">
        <f t="shared" si="0"/>
        <v>0</v>
      </c>
      <c r="Q29" s="45">
        <f t="shared" si="2"/>
        <v>0</v>
      </c>
      <c r="R29" s="46">
        <v>0</v>
      </c>
      <c r="S29" s="233"/>
    </row>
    <row r="30" spans="1:22" ht="18" thickBot="1" x14ac:dyDescent="0.35">
      <c r="A30" s="504" t="s">
        <v>654</v>
      </c>
      <c r="B30" s="32">
        <v>45197</v>
      </c>
      <c r="C30" s="33"/>
      <c r="D30" s="76"/>
      <c r="E30" s="35">
        <v>45197</v>
      </c>
      <c r="F30" s="36"/>
      <c r="G30" s="37"/>
      <c r="H30" s="38">
        <v>45197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2"/>
        <v>0</v>
      </c>
      <c r="R30" s="46">
        <v>0</v>
      </c>
      <c r="S30" s="501"/>
    </row>
    <row r="31" spans="1:22" ht="18" thickBot="1" x14ac:dyDescent="0.35">
      <c r="A31" s="504" t="s">
        <v>655</v>
      </c>
      <c r="B31" s="32">
        <v>45198</v>
      </c>
      <c r="C31" s="33"/>
      <c r="D31" s="79"/>
      <c r="E31" s="35">
        <v>45198</v>
      </c>
      <c r="F31" s="36"/>
      <c r="G31" s="37"/>
      <c r="H31" s="38">
        <v>45198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2"/>
        <v>0</v>
      </c>
      <c r="R31" s="46">
        <v>0</v>
      </c>
      <c r="S31" s="233"/>
    </row>
    <row r="32" spans="1:22" ht="18" thickBot="1" x14ac:dyDescent="0.35">
      <c r="A32" s="504"/>
      <c r="B32" s="32"/>
      <c r="C32" s="33"/>
      <c r="D32" s="305"/>
      <c r="E32" s="35"/>
      <c r="F32" s="36"/>
      <c r="G32" s="37"/>
      <c r="H32" s="38"/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2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38"/>
      <c r="K33" s="61"/>
      <c r="L33" s="101"/>
      <c r="M33" s="42">
        <v>0</v>
      </c>
      <c r="N33" s="43">
        <v>0</v>
      </c>
      <c r="P33" s="69">
        <f t="shared" si="0"/>
        <v>0</v>
      </c>
      <c r="Q33" s="45">
        <f t="shared" si="2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>
        <v>45178</v>
      </c>
      <c r="K34" s="373" t="s">
        <v>1116</v>
      </c>
      <c r="L34" s="369">
        <v>21173.34</v>
      </c>
      <c r="M34" s="42">
        <v>0</v>
      </c>
      <c r="N34" s="43">
        <v>0</v>
      </c>
      <c r="P34" s="69">
        <v>0</v>
      </c>
      <c r="Q34" s="45">
        <f t="shared" si="2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45174</v>
      </c>
      <c r="C35" s="86">
        <v>21963.3</v>
      </c>
      <c r="D35" s="79" t="s">
        <v>1083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2"/>
        <v>0</v>
      </c>
      <c r="R35" s="46">
        <v>0</v>
      </c>
    </row>
    <row r="36" spans="1:19" ht="18" customHeight="1" thickTop="1" thickBot="1" x14ac:dyDescent="0.35">
      <c r="A36" s="504"/>
      <c r="B36" s="32">
        <v>45176</v>
      </c>
      <c r="C36" s="90">
        <v>67950</v>
      </c>
      <c r="D36" s="94" t="s">
        <v>1087</v>
      </c>
      <c r="E36" s="35"/>
      <c r="F36" s="36"/>
      <c r="G36" s="92"/>
      <c r="H36" s="38"/>
      <c r="I36" s="39"/>
      <c r="J36" s="370"/>
      <c r="K36" s="373"/>
      <c r="L36" s="369"/>
      <c r="M36" s="42">
        <v>0</v>
      </c>
      <c r="N36" s="43">
        <v>0</v>
      </c>
      <c r="P36" s="69">
        <v>0</v>
      </c>
      <c r="Q36" s="45">
        <f t="shared" si="2"/>
        <v>0</v>
      </c>
      <c r="R36" s="46">
        <v>0</v>
      </c>
    </row>
    <row r="37" spans="1:19" ht="18" customHeight="1" thickBot="1" x14ac:dyDescent="0.35">
      <c r="A37" s="504"/>
      <c r="B37" s="32">
        <v>45180</v>
      </c>
      <c r="C37" s="93">
        <v>100000</v>
      </c>
      <c r="D37" s="94" t="s">
        <v>1083</v>
      </c>
      <c r="E37" s="35"/>
      <c r="F37" s="36"/>
      <c r="G37" s="92"/>
      <c r="H37" s="38"/>
      <c r="I37" s="39"/>
      <c r="J37" s="370"/>
      <c r="K37" s="589"/>
      <c r="L37" s="369"/>
      <c r="M37" s="42">
        <v>0</v>
      </c>
      <c r="N37" s="43">
        <v>0</v>
      </c>
      <c r="P37" s="69">
        <v>0</v>
      </c>
      <c r="Q37" s="45">
        <f t="shared" si="2"/>
        <v>0</v>
      </c>
      <c r="R37" s="46">
        <v>0</v>
      </c>
    </row>
    <row r="38" spans="1:19" ht="18" thickBot="1" x14ac:dyDescent="0.35">
      <c r="A38" s="504"/>
      <c r="B38" s="32">
        <v>45180</v>
      </c>
      <c r="C38" s="93">
        <v>12424</v>
      </c>
      <c r="D38" s="94" t="s">
        <v>1089</v>
      </c>
      <c r="E38" s="35"/>
      <c r="F38" s="36"/>
      <c r="G38" s="92"/>
      <c r="H38" s="38"/>
      <c r="I38" s="39"/>
      <c r="J38" s="370"/>
      <c r="K38" s="590"/>
      <c r="L38" s="369"/>
      <c r="M38" s="42">
        <v>0</v>
      </c>
      <c r="N38" s="43">
        <v>0</v>
      </c>
      <c r="P38" s="69">
        <v>0</v>
      </c>
      <c r="Q38" s="45">
        <f t="shared" si="2"/>
        <v>0</v>
      </c>
      <c r="R38" s="46">
        <v>0</v>
      </c>
    </row>
    <row r="39" spans="1:19" ht="18" thickBot="1" x14ac:dyDescent="0.35">
      <c r="A39" s="504"/>
      <c r="B39" s="32">
        <v>45181</v>
      </c>
      <c r="C39" s="93">
        <v>117470.55</v>
      </c>
      <c r="D39" s="94" t="s">
        <v>1090</v>
      </c>
      <c r="E39" s="35"/>
      <c r="F39" s="97"/>
      <c r="G39" s="92"/>
      <c r="H39" s="38"/>
      <c r="I39" s="98"/>
      <c r="J39" s="370"/>
      <c r="K39" s="590"/>
      <c r="L39" s="369"/>
      <c r="M39" s="42">
        <v>0</v>
      </c>
      <c r="N39" s="43">
        <v>0</v>
      </c>
      <c r="P39" s="69">
        <v>0</v>
      </c>
      <c r="Q39" s="45">
        <f t="shared" si="2"/>
        <v>0</v>
      </c>
      <c r="R39" s="46">
        <v>0</v>
      </c>
    </row>
    <row r="40" spans="1:19" ht="18" thickBot="1" x14ac:dyDescent="0.35">
      <c r="A40" s="504"/>
      <c r="B40" s="32">
        <v>45181</v>
      </c>
      <c r="C40" s="93">
        <v>37120</v>
      </c>
      <c r="D40" s="94" t="s">
        <v>1091</v>
      </c>
      <c r="E40" s="35"/>
      <c r="F40" s="97"/>
      <c r="G40" s="37"/>
      <c r="H40" s="38"/>
      <c r="I40" s="98"/>
      <c r="J40" s="374">
        <v>45174</v>
      </c>
      <c r="K40" s="373" t="s">
        <v>214</v>
      </c>
      <c r="L40" s="375">
        <v>14500</v>
      </c>
      <c r="M40" s="42">
        <v>0</v>
      </c>
      <c r="N40" s="43">
        <v>0</v>
      </c>
      <c r="P40" s="69">
        <v>0</v>
      </c>
      <c r="Q40" s="45">
        <f t="shared" si="2"/>
        <v>0</v>
      </c>
      <c r="R40" s="46">
        <v>0</v>
      </c>
    </row>
    <row r="41" spans="1:19" ht="18" thickBot="1" x14ac:dyDescent="0.35">
      <c r="A41" s="31"/>
      <c r="B41" s="32">
        <v>45182</v>
      </c>
      <c r="C41" s="93">
        <v>28000</v>
      </c>
      <c r="D41" s="102" t="s">
        <v>1093</v>
      </c>
      <c r="E41" s="35"/>
      <c r="F41" s="97"/>
      <c r="G41" s="37"/>
      <c r="H41" s="38"/>
      <c r="I41" s="103"/>
      <c r="J41" s="370">
        <v>45175</v>
      </c>
      <c r="K41" s="373" t="s">
        <v>1084</v>
      </c>
      <c r="L41" s="369">
        <v>850</v>
      </c>
      <c r="M41" s="42">
        <v>0</v>
      </c>
      <c r="N41" s="43">
        <v>0</v>
      </c>
      <c r="O41" s="541"/>
      <c r="P41" s="69">
        <v>0</v>
      </c>
      <c r="Q41" s="45">
        <f t="shared" si="2"/>
        <v>0</v>
      </c>
      <c r="R41" s="46">
        <v>0</v>
      </c>
    </row>
    <row r="42" spans="1:19" ht="18" thickBot="1" x14ac:dyDescent="0.35">
      <c r="A42" s="31"/>
      <c r="B42" s="32">
        <v>45184</v>
      </c>
      <c r="C42" s="93">
        <v>100000</v>
      </c>
      <c r="D42" s="102" t="s">
        <v>1098</v>
      </c>
      <c r="E42" s="35"/>
      <c r="F42" s="97"/>
      <c r="G42" s="37"/>
      <c r="H42" s="38"/>
      <c r="I42" s="103"/>
      <c r="J42" s="370">
        <v>45175</v>
      </c>
      <c r="K42" s="589" t="s">
        <v>1085</v>
      </c>
      <c r="L42" s="369">
        <v>7189.18</v>
      </c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>
        <v>45187</v>
      </c>
      <c r="C43" s="93">
        <v>16933.400000000001</v>
      </c>
      <c r="D43" s="474" t="s">
        <v>1094</v>
      </c>
      <c r="E43" s="35"/>
      <c r="F43" s="97"/>
      <c r="G43" s="37"/>
      <c r="H43" s="38"/>
      <c r="I43" s="103"/>
      <c r="J43" s="370">
        <v>45176</v>
      </c>
      <c r="K43" s="590" t="s">
        <v>1086</v>
      </c>
      <c r="L43" s="369">
        <v>4908.49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>
        <v>45187</v>
      </c>
      <c r="C44" s="93">
        <v>14543.6</v>
      </c>
      <c r="D44" s="102" t="s">
        <v>1094</v>
      </c>
      <c r="E44" s="35"/>
      <c r="F44" s="97"/>
      <c r="G44" s="37"/>
      <c r="H44" s="38"/>
      <c r="I44" s="103"/>
      <c r="J44" s="370">
        <v>45180</v>
      </c>
      <c r="K44" s="590" t="s">
        <v>1088</v>
      </c>
      <c r="L44" s="369">
        <v>12062.52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>
        <v>45187</v>
      </c>
      <c r="C45" s="93">
        <v>736805</v>
      </c>
      <c r="D45" s="114" t="s">
        <v>1095</v>
      </c>
      <c r="E45" s="35"/>
      <c r="F45" s="97"/>
      <c r="G45" s="37"/>
      <c r="H45" s="38"/>
      <c r="I45" s="103"/>
      <c r="J45" s="370">
        <v>45182</v>
      </c>
      <c r="K45" s="590" t="s">
        <v>1092</v>
      </c>
      <c r="L45" s="369">
        <v>25895.52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>
        <v>45188</v>
      </c>
      <c r="C46" s="93">
        <v>146335.29999999999</v>
      </c>
      <c r="D46" s="114" t="s">
        <v>1083</v>
      </c>
      <c r="E46" s="35"/>
      <c r="F46" s="97"/>
      <c r="G46" s="37"/>
      <c r="H46" s="38"/>
      <c r="I46" s="103"/>
      <c r="J46" s="370">
        <v>45183</v>
      </c>
      <c r="K46" s="591" t="s">
        <v>1085</v>
      </c>
      <c r="L46" s="369">
        <v>9973.0499999999993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>
        <v>45191</v>
      </c>
      <c r="C47" s="93">
        <v>150000</v>
      </c>
      <c r="D47" s="114" t="s">
        <v>1097</v>
      </c>
      <c r="E47" s="104"/>
      <c r="F47" s="105"/>
      <c r="G47" s="37"/>
      <c r="H47" s="106"/>
      <c r="I47" s="103"/>
      <c r="J47" s="367">
        <v>45187</v>
      </c>
      <c r="K47" s="594" t="s">
        <v>1096</v>
      </c>
      <c r="L47" s="369">
        <v>2552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>
        <v>45194</v>
      </c>
      <c r="C48" s="93">
        <v>3344.9</v>
      </c>
      <c r="D48" s="588" t="s">
        <v>613</v>
      </c>
      <c r="E48" s="104"/>
      <c r="F48" s="105"/>
      <c r="G48" s="37"/>
      <c r="H48" s="106"/>
      <c r="I48" s="103"/>
      <c r="J48" s="370">
        <v>45187</v>
      </c>
      <c r="K48" s="590" t="s">
        <v>225</v>
      </c>
      <c r="L48" s="369">
        <v>550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45194</v>
      </c>
      <c r="C49" s="93">
        <v>11424</v>
      </c>
      <c r="D49" s="114" t="s">
        <v>1099</v>
      </c>
      <c r="E49" s="104"/>
      <c r="F49" s="110"/>
      <c r="G49" s="37"/>
      <c r="H49" s="106"/>
      <c r="I49" s="103"/>
      <c r="J49" s="370">
        <v>45188</v>
      </c>
      <c r="K49" s="592" t="s">
        <v>1085</v>
      </c>
      <c r="L49" s="369">
        <v>8488</v>
      </c>
      <c r="M49" s="619">
        <f>SUM(M5:M40)</f>
        <v>641635</v>
      </c>
      <c r="N49" s="619">
        <f>SUM(N5:N40)</f>
        <v>432744</v>
      </c>
      <c r="P49" s="111">
        <f>SUM(P5:P40)</f>
        <v>1249716.5</v>
      </c>
      <c r="Q49" s="631">
        <f>SUM(Q5:Q40)</f>
        <v>1.5</v>
      </c>
      <c r="R49" s="46">
        <v>0</v>
      </c>
    </row>
    <row r="50" spans="1:18" ht="18" thickBot="1" x14ac:dyDescent="0.35">
      <c r="A50" s="31"/>
      <c r="B50" s="32">
        <v>45195</v>
      </c>
      <c r="C50" s="93">
        <v>37120</v>
      </c>
      <c r="D50" s="114" t="s">
        <v>1100</v>
      </c>
      <c r="E50" s="104"/>
      <c r="F50" s="110"/>
      <c r="G50" s="37"/>
      <c r="H50" s="106"/>
      <c r="I50" s="103"/>
      <c r="J50" s="370">
        <v>45194</v>
      </c>
      <c r="K50" s="590" t="s">
        <v>331</v>
      </c>
      <c r="L50" s="369">
        <v>1856</v>
      </c>
      <c r="M50" s="620"/>
      <c r="N50" s="620"/>
      <c r="P50" s="44"/>
      <c r="Q50" s="632"/>
      <c r="R50" s="112">
        <f>SUM(R5:R49)</f>
        <v>36564</v>
      </c>
    </row>
    <row r="51" spans="1:18" ht="18" thickBot="1" x14ac:dyDescent="0.35">
      <c r="A51" s="31"/>
      <c r="B51" s="32">
        <v>45195</v>
      </c>
      <c r="C51" s="93">
        <v>61787.9</v>
      </c>
      <c r="D51" s="114" t="s">
        <v>232</v>
      </c>
      <c r="E51" s="104"/>
      <c r="F51" s="110"/>
      <c r="G51" s="37"/>
      <c r="H51" s="106"/>
      <c r="I51" s="103"/>
      <c r="J51" s="370">
        <v>45194</v>
      </c>
      <c r="K51" s="590" t="s">
        <v>704</v>
      </c>
      <c r="L51" s="369">
        <v>12760</v>
      </c>
      <c r="M51" s="113"/>
      <c r="N51" s="113"/>
      <c r="P51" s="44"/>
      <c r="Q51" s="19"/>
    </row>
    <row r="52" spans="1:18" ht="18" thickBot="1" x14ac:dyDescent="0.35">
      <c r="A52" s="31"/>
      <c r="B52" s="32">
        <v>45197</v>
      </c>
      <c r="C52" s="93">
        <v>28000</v>
      </c>
      <c r="D52" s="114" t="s">
        <v>1101</v>
      </c>
      <c r="E52" s="104"/>
      <c r="F52" s="110"/>
      <c r="G52" s="37"/>
      <c r="H52" s="106"/>
      <c r="I52" s="103"/>
      <c r="J52" s="370">
        <v>45196</v>
      </c>
      <c r="K52" s="593" t="s">
        <v>228</v>
      </c>
      <c r="L52" s="369">
        <v>1298.04</v>
      </c>
      <c r="M52" s="113"/>
      <c r="N52" s="113"/>
      <c r="P52" s="44"/>
      <c r="Q52" s="19"/>
    </row>
    <row r="53" spans="1:18" ht="18" thickBot="1" x14ac:dyDescent="0.35">
      <c r="A53" s="31"/>
      <c r="B53" s="32">
        <v>45198</v>
      </c>
      <c r="C53" s="93">
        <v>100000</v>
      </c>
      <c r="D53" s="114" t="s">
        <v>1097</v>
      </c>
      <c r="E53" s="104"/>
      <c r="F53" s="110"/>
      <c r="G53" s="37"/>
      <c r="H53" s="106"/>
      <c r="I53" s="103"/>
      <c r="J53" s="338"/>
      <c r="K53" s="343"/>
      <c r="L53" s="49"/>
      <c r="M53" s="633">
        <f>M49+N49</f>
        <v>1074379</v>
      </c>
      <c r="N53" s="634"/>
      <c r="P53" s="44"/>
      <c r="Q53" s="19"/>
    </row>
    <row r="54" spans="1:18" ht="18" thickBot="1" x14ac:dyDescent="0.35">
      <c r="A54" s="31"/>
      <c r="B54" s="32">
        <v>45198</v>
      </c>
      <c r="C54" s="93">
        <v>123116.24</v>
      </c>
      <c r="D54" s="114" t="s">
        <v>1102</v>
      </c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26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26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26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02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403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403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02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thickBot="1" x14ac:dyDescent="0.3">
      <c r="A62" s="31"/>
      <c r="B62" s="130"/>
      <c r="C62" s="131"/>
      <c r="D62" s="102"/>
      <c r="E62" s="132"/>
      <c r="F62" s="44"/>
      <c r="G62" s="37"/>
      <c r="H62" s="106"/>
      <c r="I62" s="44"/>
      <c r="J62" s="133"/>
      <c r="K62" s="125"/>
      <c r="L62" s="84"/>
      <c r="M62" s="44"/>
      <c r="N62" s="44"/>
      <c r="P62" s="44"/>
      <c r="Q62" s="19"/>
    </row>
    <row r="63" spans="1:18" ht="16.5" thickBot="1" x14ac:dyDescent="0.3">
      <c r="A63" s="31"/>
      <c r="B63" s="130"/>
      <c r="C63" s="131"/>
      <c r="D63" s="403"/>
      <c r="E63" s="132"/>
      <c r="F63" s="44"/>
      <c r="G63" s="37"/>
      <c r="H63" s="106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0"/>
      <c r="C64" s="131"/>
      <c r="D64" s="403"/>
      <c r="E64" s="132"/>
      <c r="F64" s="44"/>
      <c r="G64" s="37"/>
      <c r="H64" s="106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0"/>
      <c r="C65" s="131"/>
      <c r="D65" s="126"/>
      <c r="E65" s="132"/>
      <c r="F65" s="44"/>
      <c r="G65" s="37"/>
      <c r="H65" s="106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130"/>
      <c r="C66" s="131"/>
      <c r="D66" s="126"/>
      <c r="E66" s="132"/>
      <c r="F66" s="44"/>
      <c r="G66" s="37"/>
      <c r="H66" s="106"/>
      <c r="I66" s="44"/>
      <c r="J66" s="133"/>
      <c r="K66" s="125"/>
      <c r="L66" s="84"/>
      <c r="M66" s="44"/>
      <c r="N66" s="44"/>
      <c r="P66" s="44"/>
      <c r="Q66" s="19"/>
    </row>
    <row r="67" spans="1:17" ht="16.5" thickBot="1" x14ac:dyDescent="0.3">
      <c r="A67" s="31"/>
      <c r="B67" s="130"/>
      <c r="C67" s="131"/>
      <c r="D67" s="126"/>
      <c r="E67" s="132"/>
      <c r="F67" s="44"/>
      <c r="G67" s="37"/>
      <c r="H67" s="106"/>
      <c r="I67" s="44"/>
      <c r="J67" s="133"/>
      <c r="K67" s="568"/>
      <c r="L67" s="84"/>
      <c r="M67" s="44"/>
      <c r="N67" s="44"/>
      <c r="P67" s="44"/>
      <c r="Q67" s="19"/>
    </row>
    <row r="68" spans="1:17" ht="16.5" thickBot="1" x14ac:dyDescent="0.3">
      <c r="A68" s="31"/>
      <c r="B68" s="130"/>
      <c r="C68" s="131"/>
      <c r="D68" s="126"/>
      <c r="E68" s="132"/>
      <c r="F68" s="44"/>
      <c r="G68" s="37"/>
      <c r="H68" s="106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0"/>
      <c r="C70" s="131"/>
      <c r="D70" s="126"/>
      <c r="E70" s="132"/>
      <c r="F70" s="44"/>
      <c r="G70" s="37"/>
      <c r="H70" s="106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0"/>
      <c r="C71" s="131"/>
      <c r="D71" s="126"/>
      <c r="E71" s="132"/>
      <c r="F71" s="44"/>
      <c r="G71" s="37"/>
      <c r="H71" s="106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0"/>
      <c r="C72" s="131"/>
      <c r="D72" s="126"/>
      <c r="E72" s="132"/>
      <c r="F72" s="44"/>
      <c r="G72" s="37"/>
      <c r="H72" s="106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0"/>
      <c r="C73" s="131"/>
      <c r="D73" s="126"/>
      <c r="E73" s="132"/>
      <c r="F73" s="44"/>
      <c r="G73" s="37"/>
      <c r="H73" s="106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0"/>
      <c r="C74" s="131"/>
      <c r="D74" s="126"/>
      <c r="E74" s="132"/>
      <c r="F74" s="44"/>
      <c r="G74" s="37"/>
      <c r="H74" s="106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0"/>
      <c r="C75" s="131"/>
      <c r="D75" s="126"/>
      <c r="E75" s="132"/>
      <c r="F75" s="44"/>
      <c r="G75" s="37"/>
      <c r="H75" s="106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0"/>
      <c r="C76" s="131"/>
      <c r="D76" s="126"/>
      <c r="E76" s="132"/>
      <c r="F76" s="44"/>
      <c r="G76" s="37"/>
      <c r="H76" s="106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0"/>
      <c r="C77" s="131"/>
      <c r="D77" s="126"/>
      <c r="E77" s="132"/>
      <c r="F77" s="44"/>
      <c r="G77" s="37"/>
      <c r="H77" s="106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SUM(C4:C78)</f>
        <v>5179231.8500000006</v>
      </c>
      <c r="D79" s="520"/>
      <c r="E79" s="521" t="s">
        <v>12</v>
      </c>
      <c r="F79" s="522">
        <f>SUM(F5:F61)</f>
        <v>1213151</v>
      </c>
      <c r="G79" s="523"/>
      <c r="H79" s="521" t="s">
        <v>13</v>
      </c>
      <c r="I79" s="524">
        <f>SUM(I5:I61)</f>
        <v>24285.5</v>
      </c>
      <c r="J79" s="525"/>
      <c r="K79" s="526" t="s">
        <v>14</v>
      </c>
      <c r="L79" s="527">
        <f>SUM(L5:L77)-L26</f>
        <v>156675.14000000001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27" t="s">
        <v>15</v>
      </c>
      <c r="I81" s="628"/>
      <c r="J81" s="154"/>
      <c r="K81" s="629">
        <f>I79+L79</f>
        <v>180960.64000000001</v>
      </c>
      <c r="L81" s="630"/>
      <c r="M81" s="155"/>
      <c r="N81" s="155"/>
      <c r="P81" s="44"/>
      <c r="Q81" s="19"/>
    </row>
    <row r="82" spans="1:17" x14ac:dyDescent="0.25">
      <c r="D82" s="621" t="s">
        <v>16</v>
      </c>
      <c r="E82" s="621"/>
      <c r="F82" s="156">
        <f>F79-K81-C79</f>
        <v>-4147041.4900000007</v>
      </c>
      <c r="I82" s="157"/>
      <c r="J82" s="158"/>
    </row>
    <row r="83" spans="1:17" ht="18.75" x14ac:dyDescent="0.3">
      <c r="D83" s="622" t="s">
        <v>17</v>
      </c>
      <c r="E83" s="622"/>
      <c r="F83" s="101">
        <v>0</v>
      </c>
      <c r="I83" s="623" t="s">
        <v>18</v>
      </c>
      <c r="J83" s="624"/>
      <c r="K83" s="625">
        <f>F85+F86+F87</f>
        <v>-4147041.4900000007</v>
      </c>
      <c r="L83" s="625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0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-4147041.4900000007</v>
      </c>
      <c r="H85" s="168"/>
      <c r="I85" s="169" t="s">
        <v>21</v>
      </c>
      <c r="J85" s="170"/>
      <c r="K85" s="626">
        <f>-C4</f>
        <v>-3146460.66</v>
      </c>
      <c r="L85" s="625"/>
      <c r="O85" s="536"/>
    </row>
    <row r="86" spans="1:17" ht="16.5" thickBot="1" x14ac:dyDescent="0.3">
      <c r="D86" s="171" t="s">
        <v>22</v>
      </c>
      <c r="E86" s="152" t="s">
        <v>23</v>
      </c>
      <c r="F86" s="101">
        <v>0</v>
      </c>
    </row>
    <row r="87" spans="1:17" ht="20.25" thickTop="1" thickBot="1" x14ac:dyDescent="0.35">
      <c r="C87" s="172"/>
      <c r="D87" s="614" t="s">
        <v>24</v>
      </c>
      <c r="E87" s="615"/>
      <c r="F87" s="173">
        <v>0</v>
      </c>
      <c r="I87" s="616" t="s">
        <v>764</v>
      </c>
      <c r="J87" s="617"/>
      <c r="K87" s="618">
        <f>K83+K85</f>
        <v>-7293502.1500000004</v>
      </c>
      <c r="L87" s="618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N121"/>
  <sheetViews>
    <sheetView workbookViewId="0">
      <selection activeCell="D27" sqref="D27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/>
      <c r="J3" s="236"/>
      <c r="K3" s="237"/>
      <c r="L3" s="218"/>
      <c r="M3" s="237"/>
      <c r="N3" s="221">
        <f>K3-M3</f>
        <v>0</v>
      </c>
    </row>
    <row r="4" spans="2:14" ht="18.75" x14ac:dyDescent="0.3">
      <c r="B4" s="235"/>
      <c r="C4" s="461"/>
      <c r="D4" s="237"/>
      <c r="E4" s="224"/>
      <c r="F4" s="101"/>
      <c r="G4" s="225">
        <f t="shared" ref="G4:G67" si="0">D4-F4</f>
        <v>0</v>
      </c>
      <c r="H4" s="226"/>
      <c r="I4" s="235"/>
      <c r="J4" s="236"/>
      <c r="K4" s="237"/>
      <c r="L4" s="218"/>
      <c r="M4" s="237"/>
      <c r="N4" s="227">
        <f>N3+K4-M4</f>
        <v>0</v>
      </c>
    </row>
    <row r="5" spans="2:14" x14ac:dyDescent="0.25">
      <c r="B5" s="235"/>
      <c r="C5" s="461"/>
      <c r="D5" s="237"/>
      <c r="E5" s="224"/>
      <c r="F5" s="101"/>
      <c r="G5" s="225">
        <f t="shared" si="0"/>
        <v>0</v>
      </c>
      <c r="I5" s="235"/>
      <c r="J5" s="236"/>
      <c r="K5" s="237"/>
      <c r="L5" s="218"/>
      <c r="M5" s="237"/>
      <c r="N5" s="227">
        <f t="shared" ref="N5:N63" si="1">N4+K5-M5</f>
        <v>0</v>
      </c>
    </row>
    <row r="6" spans="2:14" x14ac:dyDescent="0.25">
      <c r="B6" s="235"/>
      <c r="C6" s="461"/>
      <c r="D6" s="237"/>
      <c r="E6" s="224"/>
      <c r="F6" s="101"/>
      <c r="G6" s="225">
        <f t="shared" si="0"/>
        <v>0</v>
      </c>
      <c r="I6" s="235"/>
      <c r="J6" s="236"/>
      <c r="K6" s="237"/>
      <c r="L6" s="218"/>
      <c r="M6" s="237"/>
      <c r="N6" s="227">
        <f t="shared" si="1"/>
        <v>0</v>
      </c>
    </row>
    <row r="7" spans="2:14" x14ac:dyDescent="0.25">
      <c r="B7" s="235"/>
      <c r="C7" s="461"/>
      <c r="D7" s="237"/>
      <c r="E7" s="224"/>
      <c r="F7" s="101"/>
      <c r="G7" s="225">
        <f t="shared" si="0"/>
        <v>0</v>
      </c>
      <c r="I7" s="235"/>
      <c r="J7" s="236"/>
      <c r="K7" s="237"/>
      <c r="L7" s="218"/>
      <c r="M7" s="237"/>
      <c r="N7" s="227">
        <f t="shared" si="1"/>
        <v>0</v>
      </c>
    </row>
    <row r="8" spans="2:14" ht="18.75" x14ac:dyDescent="0.3">
      <c r="B8" s="235"/>
      <c r="C8" s="461"/>
      <c r="D8" s="237"/>
      <c r="E8" s="224"/>
      <c r="F8" s="101"/>
      <c r="G8" s="225">
        <f t="shared" si="0"/>
        <v>0</v>
      </c>
      <c r="H8" s="226"/>
      <c r="I8" s="235"/>
      <c r="J8" s="236"/>
      <c r="K8" s="237"/>
      <c r="L8" s="218"/>
      <c r="M8" s="237"/>
      <c r="N8" s="227">
        <f t="shared" si="1"/>
        <v>0</v>
      </c>
    </row>
    <row r="9" spans="2:14" x14ac:dyDescent="0.25">
      <c r="B9" s="235"/>
      <c r="C9" s="461"/>
      <c r="D9" s="237"/>
      <c r="E9" s="224"/>
      <c r="F9" s="101"/>
      <c r="G9" s="225">
        <f t="shared" si="0"/>
        <v>0</v>
      </c>
      <c r="I9" s="235"/>
      <c r="J9" s="236"/>
      <c r="K9" s="237"/>
      <c r="L9" s="218"/>
      <c r="M9" s="237"/>
      <c r="N9" s="227">
        <f t="shared" si="1"/>
        <v>0</v>
      </c>
    </row>
    <row r="10" spans="2:14" x14ac:dyDescent="0.25">
      <c r="B10" s="235"/>
      <c r="C10" s="461"/>
      <c r="D10" s="237"/>
      <c r="E10" s="224"/>
      <c r="F10" s="101"/>
      <c r="G10" s="225">
        <f t="shared" si="0"/>
        <v>0</v>
      </c>
      <c r="I10" s="235"/>
      <c r="J10" s="236"/>
      <c r="K10" s="237"/>
      <c r="L10" s="218"/>
      <c r="M10" s="237"/>
      <c r="N10" s="227">
        <f t="shared" si="1"/>
        <v>0</v>
      </c>
    </row>
    <row r="11" spans="2:14" x14ac:dyDescent="0.25">
      <c r="B11" s="235"/>
      <c r="C11" s="461"/>
      <c r="D11" s="237"/>
      <c r="E11" s="224"/>
      <c r="F11" s="101"/>
      <c r="G11" s="225">
        <f t="shared" si="0"/>
        <v>0</v>
      </c>
      <c r="I11" s="235"/>
      <c r="J11" s="236"/>
      <c r="K11" s="237"/>
      <c r="L11" s="218"/>
      <c r="M11" s="237"/>
      <c r="N11" s="227">
        <f t="shared" si="1"/>
        <v>0</v>
      </c>
    </row>
    <row r="12" spans="2:14" x14ac:dyDescent="0.25">
      <c r="B12" s="235"/>
      <c r="C12" s="461"/>
      <c r="D12" s="237"/>
      <c r="E12" s="224"/>
      <c r="F12" s="101"/>
      <c r="G12" s="225">
        <f t="shared" si="0"/>
        <v>0</v>
      </c>
      <c r="I12" s="235"/>
      <c r="J12" s="236"/>
      <c r="K12" s="237"/>
      <c r="L12" s="218"/>
      <c r="M12" s="237"/>
      <c r="N12" s="227">
        <f t="shared" si="1"/>
        <v>0</v>
      </c>
    </row>
    <row r="13" spans="2:14" x14ac:dyDescent="0.25">
      <c r="B13" s="235"/>
      <c r="C13" s="461"/>
      <c r="D13" s="237"/>
      <c r="E13" s="224"/>
      <c r="F13" s="101"/>
      <c r="G13" s="225">
        <f t="shared" si="0"/>
        <v>0</v>
      </c>
      <c r="I13" s="235"/>
      <c r="J13" s="236"/>
      <c r="K13" s="237"/>
      <c r="L13" s="218"/>
      <c r="M13" s="237"/>
      <c r="N13" s="227">
        <f t="shared" si="1"/>
        <v>0</v>
      </c>
    </row>
    <row r="14" spans="2:14" x14ac:dyDescent="0.25">
      <c r="B14" s="235"/>
      <c r="C14" s="461"/>
      <c r="D14" s="237"/>
      <c r="E14" s="224"/>
      <c r="F14" s="101"/>
      <c r="G14" s="225">
        <f t="shared" si="0"/>
        <v>0</v>
      </c>
      <c r="I14" s="235"/>
      <c r="J14" s="236"/>
      <c r="K14" s="237"/>
      <c r="L14" s="218"/>
      <c r="M14" s="237"/>
      <c r="N14" s="227">
        <f t="shared" si="1"/>
        <v>0</v>
      </c>
    </row>
    <row r="15" spans="2:14" x14ac:dyDescent="0.25">
      <c r="B15" s="235"/>
      <c r="C15" s="461"/>
      <c r="D15" s="237"/>
      <c r="E15" s="224"/>
      <c r="F15" s="101"/>
      <c r="G15" s="225">
        <f t="shared" si="0"/>
        <v>0</v>
      </c>
      <c r="I15" s="235"/>
      <c r="J15" s="236"/>
      <c r="K15" s="237"/>
      <c r="L15" s="218"/>
      <c r="M15" s="237"/>
      <c r="N15" s="227">
        <f t="shared" si="1"/>
        <v>0</v>
      </c>
    </row>
    <row r="16" spans="2:14" x14ac:dyDescent="0.25">
      <c r="B16" s="235"/>
      <c r="C16" s="461"/>
      <c r="D16" s="237"/>
      <c r="E16" s="224"/>
      <c r="F16" s="101"/>
      <c r="G16" s="225">
        <f t="shared" si="0"/>
        <v>0</v>
      </c>
      <c r="I16" s="235"/>
      <c r="J16" s="236"/>
      <c r="K16" s="237"/>
      <c r="L16" s="218"/>
      <c r="M16" s="237"/>
      <c r="N16" s="227">
        <f t="shared" si="1"/>
        <v>0</v>
      </c>
    </row>
    <row r="17" spans="1:14" x14ac:dyDescent="0.25">
      <c r="B17" s="235"/>
      <c r="C17" s="461"/>
      <c r="D17" s="237"/>
      <c r="E17" s="224"/>
      <c r="F17" s="101"/>
      <c r="G17" s="225">
        <f t="shared" si="0"/>
        <v>0</v>
      </c>
      <c r="I17" s="235"/>
      <c r="J17" s="236"/>
      <c r="K17" s="237"/>
      <c r="L17" s="218"/>
      <c r="M17" s="237"/>
      <c r="N17" s="227">
        <f t="shared" si="1"/>
        <v>0</v>
      </c>
    </row>
    <row r="18" spans="1:14" x14ac:dyDescent="0.25">
      <c r="B18" s="235"/>
      <c r="C18" s="461"/>
      <c r="D18" s="237"/>
      <c r="E18" s="224"/>
      <c r="F18" s="101"/>
      <c r="G18" s="225">
        <f t="shared" si="0"/>
        <v>0</v>
      </c>
      <c r="I18" s="235"/>
      <c r="J18" s="236"/>
      <c r="K18" s="237"/>
      <c r="L18" s="218"/>
      <c r="M18" s="237"/>
      <c r="N18" s="227">
        <f t="shared" si="1"/>
        <v>0</v>
      </c>
    </row>
    <row r="19" spans="1:14" x14ac:dyDescent="0.25">
      <c r="B19" s="235"/>
      <c r="C19" s="461"/>
      <c r="D19" s="237"/>
      <c r="E19" s="224"/>
      <c r="F19" s="101"/>
      <c r="G19" s="225">
        <f t="shared" si="0"/>
        <v>0</v>
      </c>
      <c r="I19" s="235"/>
      <c r="J19" s="236"/>
      <c r="K19" s="237"/>
      <c r="L19" s="218"/>
      <c r="M19" s="237"/>
      <c r="N19" s="227">
        <f t="shared" si="1"/>
        <v>0</v>
      </c>
    </row>
    <row r="20" spans="1:14" ht="18.75" x14ac:dyDescent="0.3">
      <c r="B20" s="235"/>
      <c r="C20" s="461"/>
      <c r="D20" s="237"/>
      <c r="E20" s="224"/>
      <c r="F20" s="101"/>
      <c r="G20" s="225">
        <f t="shared" si="0"/>
        <v>0</v>
      </c>
      <c r="H20" s="232"/>
      <c r="I20" s="235"/>
      <c r="J20" s="236"/>
      <c r="K20" s="237"/>
      <c r="L20" s="218"/>
      <c r="M20" s="237"/>
      <c r="N20" s="227">
        <f t="shared" si="1"/>
        <v>0</v>
      </c>
    </row>
    <row r="21" spans="1:14" x14ac:dyDescent="0.25">
      <c r="B21" s="235"/>
      <c r="C21" s="461"/>
      <c r="D21" s="237"/>
      <c r="E21" s="224"/>
      <c r="F21" s="101"/>
      <c r="G21" s="225">
        <f t="shared" si="0"/>
        <v>0</v>
      </c>
      <c r="H21" s="233"/>
      <c r="I21" s="235"/>
      <c r="J21" s="236"/>
      <c r="K21" s="237"/>
      <c r="L21" s="218"/>
      <c r="M21" s="237"/>
      <c r="N21" s="227">
        <f t="shared" si="1"/>
        <v>0</v>
      </c>
    </row>
    <row r="22" spans="1:14" ht="21" customHeight="1" x14ac:dyDescent="0.25">
      <c r="B22" s="235"/>
      <c r="C22" s="461"/>
      <c r="D22" s="237"/>
      <c r="E22" s="224"/>
      <c r="F22" s="101"/>
      <c r="G22" s="225">
        <f t="shared" si="0"/>
        <v>0</v>
      </c>
      <c r="H22" s="233"/>
      <c r="I22" s="235"/>
      <c r="J22" s="236"/>
      <c r="K22" s="237"/>
      <c r="L22" s="218"/>
      <c r="M22" s="237"/>
      <c r="N22" s="227">
        <f t="shared" si="1"/>
        <v>0</v>
      </c>
    </row>
    <row r="23" spans="1:14" x14ac:dyDescent="0.25">
      <c r="B23" s="235"/>
      <c r="C23" s="461"/>
      <c r="D23" s="237"/>
      <c r="E23" s="224"/>
      <c r="F23" s="101"/>
      <c r="G23" s="225">
        <f t="shared" si="0"/>
        <v>0</v>
      </c>
      <c r="H23" s="234"/>
      <c r="I23" s="235"/>
      <c r="J23" s="236"/>
      <c r="K23" s="237"/>
      <c r="L23" s="218"/>
      <c r="M23" s="237"/>
      <c r="N23" s="227">
        <f t="shared" si="1"/>
        <v>0</v>
      </c>
    </row>
    <row r="24" spans="1:14" x14ac:dyDescent="0.25">
      <c r="B24" s="235"/>
      <c r="C24" s="461"/>
      <c r="D24" s="237"/>
      <c r="E24" s="224"/>
      <c r="F24" s="101"/>
      <c r="G24" s="225">
        <f t="shared" si="0"/>
        <v>0</v>
      </c>
      <c r="H24" s="234"/>
      <c r="I24" s="235"/>
      <c r="J24" s="236"/>
      <c r="K24" s="237"/>
      <c r="L24" s="218"/>
      <c r="M24" s="237"/>
      <c r="N24" s="227">
        <f t="shared" si="1"/>
        <v>0</v>
      </c>
    </row>
    <row r="25" spans="1:14" x14ac:dyDescent="0.25">
      <c r="B25" s="235"/>
      <c r="C25" s="461"/>
      <c r="D25" s="237"/>
      <c r="E25" s="224"/>
      <c r="F25" s="101"/>
      <c r="G25" s="225">
        <f t="shared" si="0"/>
        <v>0</v>
      </c>
      <c r="H25" s="234"/>
      <c r="I25" s="235"/>
      <c r="J25" s="236"/>
      <c r="K25" s="237"/>
      <c r="L25" s="218"/>
      <c r="M25" s="237"/>
      <c r="N25" s="227">
        <f t="shared" si="1"/>
        <v>0</v>
      </c>
    </row>
    <row r="26" spans="1:14" x14ac:dyDescent="0.25">
      <c r="B26" s="235"/>
      <c r="C26" s="461"/>
      <c r="D26" s="237"/>
      <c r="E26" s="224"/>
      <c r="F26" s="101"/>
      <c r="G26" s="225">
        <f t="shared" si="0"/>
        <v>0</v>
      </c>
      <c r="H26" s="234"/>
      <c r="I26" s="235"/>
      <c r="J26" s="236"/>
      <c r="K26" s="237"/>
      <c r="L26" s="218"/>
      <c r="M26" s="237"/>
      <c r="N26" s="227">
        <f t="shared" si="1"/>
        <v>0</v>
      </c>
    </row>
    <row r="27" spans="1:14" x14ac:dyDescent="0.25">
      <c r="B27" s="235"/>
      <c r="C27" s="461"/>
      <c r="D27" s="237"/>
      <c r="E27" s="224"/>
      <c r="F27" s="101"/>
      <c r="G27" s="225">
        <f t="shared" si="0"/>
        <v>0</v>
      </c>
      <c r="H27" s="234"/>
      <c r="I27" s="235"/>
      <c r="J27" s="236"/>
      <c r="K27" s="237"/>
      <c r="L27" s="218"/>
      <c r="M27" s="237"/>
      <c r="N27" s="227">
        <f t="shared" si="1"/>
        <v>0</v>
      </c>
    </row>
    <row r="28" spans="1:14" x14ac:dyDescent="0.25">
      <c r="A28" s="31"/>
      <c r="B28" s="235"/>
      <c r="C28" s="461"/>
      <c r="D28" s="237"/>
      <c r="E28" s="224"/>
      <c r="F28" s="101"/>
      <c r="G28" s="225">
        <f t="shared" si="0"/>
        <v>0</v>
      </c>
      <c r="H28" s="234"/>
      <c r="I28" s="235"/>
      <c r="J28" s="236"/>
      <c r="K28" s="237"/>
      <c r="L28" s="224"/>
      <c r="M28" s="101"/>
      <c r="N28" s="227">
        <f t="shared" si="1"/>
        <v>0</v>
      </c>
    </row>
    <row r="29" spans="1:14" x14ac:dyDescent="0.25">
      <c r="B29" s="235"/>
      <c r="C29" s="461"/>
      <c r="D29" s="237"/>
      <c r="E29" s="224"/>
      <c r="F29" s="101"/>
      <c r="G29" s="225">
        <f t="shared" si="0"/>
        <v>0</v>
      </c>
      <c r="H29" s="233"/>
      <c r="I29" s="235"/>
      <c r="J29" s="236"/>
      <c r="K29" s="237"/>
      <c r="L29" s="224"/>
      <c r="M29" s="101"/>
      <c r="N29" s="227">
        <f t="shared" si="1"/>
        <v>0</v>
      </c>
    </row>
    <row r="30" spans="1:14" x14ac:dyDescent="0.25">
      <c r="B30" s="235"/>
      <c r="C30" s="461"/>
      <c r="D30" s="237"/>
      <c r="E30" s="224"/>
      <c r="F30" s="101"/>
      <c r="G30" s="225">
        <f t="shared" si="0"/>
        <v>0</v>
      </c>
      <c r="H30" s="233"/>
      <c r="I30" s="235"/>
      <c r="J30" s="236"/>
      <c r="K30" s="237"/>
      <c r="L30" s="224"/>
      <c r="M30" s="101"/>
      <c r="N30" s="227">
        <f t="shared" si="1"/>
        <v>0</v>
      </c>
    </row>
    <row r="31" spans="1:14" x14ac:dyDescent="0.25">
      <c r="B31" s="235"/>
      <c r="C31" s="461"/>
      <c r="D31" s="237"/>
      <c r="E31" s="224"/>
      <c r="F31" s="101"/>
      <c r="G31" s="225">
        <f t="shared" si="0"/>
        <v>0</v>
      </c>
      <c r="I31" s="235"/>
      <c r="J31" s="236"/>
      <c r="K31" s="237"/>
      <c r="L31" s="224"/>
      <c r="M31" s="101"/>
      <c r="N31" s="227">
        <f t="shared" si="1"/>
        <v>0</v>
      </c>
    </row>
    <row r="32" spans="1:14" x14ac:dyDescent="0.25">
      <c r="B32" s="235"/>
      <c r="C32" s="461"/>
      <c r="D32" s="237"/>
      <c r="E32" s="224"/>
      <c r="F32" s="101"/>
      <c r="G32" s="225">
        <f t="shared" si="0"/>
        <v>0</v>
      </c>
      <c r="I32" s="235"/>
      <c r="J32" s="236"/>
      <c r="K32" s="237"/>
      <c r="L32" s="224"/>
      <c r="M32" s="101"/>
      <c r="N32" s="227">
        <f t="shared" si="1"/>
        <v>0</v>
      </c>
    </row>
    <row r="33" spans="2:14" x14ac:dyDescent="0.25">
      <c r="B33" s="235"/>
      <c r="C33" s="461"/>
      <c r="D33" s="237"/>
      <c r="E33" s="224"/>
      <c r="F33" s="101"/>
      <c r="G33" s="225">
        <f t="shared" si="0"/>
        <v>0</v>
      </c>
      <c r="I33" s="235"/>
      <c r="J33" s="236"/>
      <c r="K33" s="237"/>
      <c r="L33" s="489"/>
      <c r="M33" s="101"/>
      <c r="N33" s="227">
        <f t="shared" si="1"/>
        <v>0</v>
      </c>
    </row>
    <row r="34" spans="2:14" ht="15.75" customHeight="1" x14ac:dyDescent="0.25">
      <c r="B34" s="235"/>
      <c r="C34" s="461"/>
      <c r="D34" s="237"/>
      <c r="E34" s="224"/>
      <c r="F34" s="101"/>
      <c r="G34" s="225">
        <f t="shared" si="0"/>
        <v>0</v>
      </c>
      <c r="I34" s="235"/>
      <c r="J34" s="236"/>
      <c r="K34" s="237"/>
      <c r="L34" s="491"/>
      <c r="M34" s="101"/>
      <c r="N34" s="227">
        <f t="shared" si="1"/>
        <v>0</v>
      </c>
    </row>
    <row r="35" spans="2:14" ht="15.75" customHeight="1" x14ac:dyDescent="0.25">
      <c r="B35" s="235"/>
      <c r="C35" s="461"/>
      <c r="D35" s="237"/>
      <c r="E35" s="224"/>
      <c r="F35" s="101"/>
      <c r="G35" s="225">
        <f t="shared" si="0"/>
        <v>0</v>
      </c>
      <c r="I35" s="235"/>
      <c r="J35" s="236"/>
      <c r="K35" s="237"/>
      <c r="L35" s="491"/>
      <c r="M35" s="101"/>
      <c r="N35" s="227">
        <f t="shared" si="1"/>
        <v>0</v>
      </c>
    </row>
    <row r="36" spans="2:14" ht="15.75" customHeight="1" x14ac:dyDescent="0.25">
      <c r="B36" s="235"/>
      <c r="C36" s="461"/>
      <c r="D36" s="237"/>
      <c r="E36" s="224"/>
      <c r="F36" s="101"/>
      <c r="G36" s="225">
        <f t="shared" si="0"/>
        <v>0</v>
      </c>
      <c r="I36" s="235"/>
      <c r="J36" s="236"/>
      <c r="K36" s="237"/>
      <c r="L36" s="218"/>
      <c r="M36" s="101"/>
      <c r="N36" s="227">
        <f t="shared" si="1"/>
        <v>0</v>
      </c>
    </row>
    <row r="37" spans="2:14" ht="15.75" customHeight="1" x14ac:dyDescent="0.25">
      <c r="B37" s="235"/>
      <c r="C37" s="461"/>
      <c r="D37" s="237"/>
      <c r="E37" s="238"/>
      <c r="F37" s="84"/>
      <c r="G37" s="101">
        <f t="shared" si="0"/>
        <v>0</v>
      </c>
      <c r="I37" s="235"/>
      <c r="J37" s="236"/>
      <c r="K37" s="237"/>
      <c r="L37" s="238"/>
      <c r="M37" s="84"/>
      <c r="N37" s="227">
        <f t="shared" si="1"/>
        <v>0</v>
      </c>
    </row>
    <row r="38" spans="2:14" x14ac:dyDescent="0.25">
      <c r="B38" s="235"/>
      <c r="C38" s="461"/>
      <c r="D38" s="237"/>
      <c r="E38" s="238"/>
      <c r="F38" s="84"/>
      <c r="G38" s="101">
        <f t="shared" si="0"/>
        <v>0</v>
      </c>
      <c r="I38" s="235"/>
      <c r="J38" s="236"/>
      <c r="K38" s="237"/>
      <c r="L38" s="238"/>
      <c r="M38" s="84"/>
      <c r="N38" s="227">
        <f t="shared" si="1"/>
        <v>0</v>
      </c>
    </row>
    <row r="39" spans="2:14" x14ac:dyDescent="0.25">
      <c r="B39" s="235"/>
      <c r="C39" s="461"/>
      <c r="D39" s="237"/>
      <c r="E39" s="238"/>
      <c r="F39" s="84"/>
      <c r="G39" s="101">
        <f t="shared" si="0"/>
        <v>0</v>
      </c>
      <c r="I39" s="235"/>
      <c r="J39" s="236"/>
      <c r="K39" s="237"/>
      <c r="L39" s="238"/>
      <c r="M39" s="84"/>
      <c r="N39" s="227">
        <f t="shared" si="1"/>
        <v>0</v>
      </c>
    </row>
    <row r="40" spans="2:14" x14ac:dyDescent="0.25">
      <c r="B40" s="235"/>
      <c r="C40" s="461"/>
      <c r="D40" s="237"/>
      <c r="E40" s="238"/>
      <c r="F40" s="84"/>
      <c r="G40" s="101">
        <f t="shared" si="0"/>
        <v>0</v>
      </c>
      <c r="I40" s="235"/>
      <c r="J40" s="236"/>
      <c r="K40" s="237"/>
      <c r="L40" s="238"/>
      <c r="M40" s="84"/>
      <c r="N40" s="227">
        <f t="shared" si="1"/>
        <v>0</v>
      </c>
    </row>
    <row r="41" spans="2:14" x14ac:dyDescent="0.25">
      <c r="B41" s="235"/>
      <c r="C41" s="461"/>
      <c r="D41" s="237"/>
      <c r="E41" s="238"/>
      <c r="F41" s="84"/>
      <c r="G41" s="101">
        <f t="shared" si="0"/>
        <v>0</v>
      </c>
      <c r="I41" s="235"/>
      <c r="J41" s="236"/>
      <c r="K41" s="237"/>
      <c r="L41" s="238"/>
      <c r="M41" s="84"/>
      <c r="N41" s="227">
        <f t="shared" si="1"/>
        <v>0</v>
      </c>
    </row>
    <row r="42" spans="2:14" x14ac:dyDescent="0.25">
      <c r="B42" s="235"/>
      <c r="C42" s="461"/>
      <c r="D42" s="237"/>
      <c r="E42" s="238"/>
      <c r="F42" s="84"/>
      <c r="G42" s="101">
        <f t="shared" si="0"/>
        <v>0</v>
      </c>
      <c r="I42" s="235"/>
      <c r="J42" s="236"/>
      <c r="K42" s="237"/>
      <c r="L42" s="238"/>
      <c r="M42" s="84"/>
      <c r="N42" s="227">
        <f t="shared" si="1"/>
        <v>0</v>
      </c>
    </row>
    <row r="43" spans="2:14" x14ac:dyDescent="0.25">
      <c r="B43" s="235"/>
      <c r="C43" s="461"/>
      <c r="D43" s="237"/>
      <c r="E43" s="238"/>
      <c r="F43" s="84"/>
      <c r="G43" s="101">
        <f t="shared" si="0"/>
        <v>0</v>
      </c>
      <c r="I43" s="235"/>
      <c r="J43" s="236"/>
      <c r="K43" s="237"/>
      <c r="L43" s="238"/>
      <c r="M43" s="84"/>
      <c r="N43" s="227">
        <f t="shared" si="1"/>
        <v>0</v>
      </c>
    </row>
    <row r="44" spans="2:14" x14ac:dyDescent="0.25">
      <c r="B44" s="235"/>
      <c r="C44" s="461"/>
      <c r="D44" s="237"/>
      <c r="E44" s="238"/>
      <c r="F44" s="84"/>
      <c r="G44" s="101">
        <f t="shared" si="0"/>
        <v>0</v>
      </c>
      <c r="I44" s="235"/>
      <c r="J44" s="236"/>
      <c r="K44" s="237"/>
      <c r="L44" s="238"/>
      <c r="M44" s="84"/>
      <c r="N44" s="227">
        <f t="shared" si="1"/>
        <v>0</v>
      </c>
    </row>
    <row r="45" spans="2:14" x14ac:dyDescent="0.25">
      <c r="B45" s="235"/>
      <c r="C45" s="461"/>
      <c r="D45" s="237"/>
      <c r="E45" s="238"/>
      <c r="F45" s="84"/>
      <c r="G45" s="101">
        <f t="shared" si="0"/>
        <v>0</v>
      </c>
      <c r="I45" s="235"/>
      <c r="J45" s="236"/>
      <c r="K45" s="237"/>
      <c r="L45" s="238"/>
      <c r="M45" s="84"/>
      <c r="N45" s="227">
        <f t="shared" si="1"/>
        <v>0</v>
      </c>
    </row>
    <row r="46" spans="2:14" x14ac:dyDescent="0.25">
      <c r="B46" s="235"/>
      <c r="C46" s="461"/>
      <c r="D46" s="237"/>
      <c r="E46" s="238"/>
      <c r="F46" s="84"/>
      <c r="G46" s="101">
        <f t="shared" si="0"/>
        <v>0</v>
      </c>
      <c r="I46" s="406"/>
      <c r="J46" s="544"/>
      <c r="K46" s="101"/>
      <c r="L46" s="238"/>
      <c r="M46" s="84"/>
      <c r="N46" s="227">
        <f t="shared" si="1"/>
        <v>0</v>
      </c>
    </row>
    <row r="47" spans="2:14" x14ac:dyDescent="0.25">
      <c r="B47" s="235"/>
      <c r="C47" s="461"/>
      <c r="D47" s="237"/>
      <c r="E47" s="238"/>
      <c r="F47" s="84"/>
      <c r="G47" s="101">
        <f t="shared" si="0"/>
        <v>0</v>
      </c>
      <c r="I47" s="239"/>
      <c r="J47" s="544"/>
      <c r="K47" s="101"/>
      <c r="L47" s="238"/>
      <c r="M47" s="84"/>
      <c r="N47" s="227">
        <f t="shared" si="1"/>
        <v>0</v>
      </c>
    </row>
    <row r="48" spans="2:14" x14ac:dyDescent="0.25">
      <c r="B48" s="235"/>
      <c r="C48" s="461"/>
      <c r="D48" s="237"/>
      <c r="E48" s="250"/>
      <c r="F48" s="84"/>
      <c r="G48" s="101">
        <f t="shared" si="0"/>
        <v>0</v>
      </c>
      <c r="I48" s="251"/>
      <c r="J48" s="545"/>
      <c r="K48" s="108"/>
      <c r="L48" s="177"/>
      <c r="M48" s="44"/>
      <c r="N48" s="227">
        <f t="shared" si="1"/>
        <v>0</v>
      </c>
    </row>
    <row r="49" spans="2:14" x14ac:dyDescent="0.25">
      <c r="B49" s="235"/>
      <c r="C49" s="461"/>
      <c r="D49" s="237"/>
      <c r="E49" s="250"/>
      <c r="F49" s="84"/>
      <c r="G49" s="101">
        <f t="shared" si="0"/>
        <v>0</v>
      </c>
      <c r="I49" s="647" t="s">
        <v>35</v>
      </c>
      <c r="J49" s="648"/>
      <c r="K49" s="108"/>
      <c r="L49" s="177"/>
      <c r="M49" s="44"/>
      <c r="N49" s="227">
        <f t="shared" si="1"/>
        <v>0</v>
      </c>
    </row>
    <row r="50" spans="2:14" x14ac:dyDescent="0.25">
      <c r="B50" s="235"/>
      <c r="C50" s="461"/>
      <c r="D50" s="237"/>
      <c r="E50" s="250"/>
      <c r="F50" s="84"/>
      <c r="G50" s="101">
        <f t="shared" si="0"/>
        <v>0</v>
      </c>
      <c r="I50" s="649"/>
      <c r="J50" s="650"/>
      <c r="K50" s="108"/>
      <c r="L50" s="177"/>
      <c r="M50" s="44"/>
      <c r="N50" s="227">
        <f t="shared" si="1"/>
        <v>0</v>
      </c>
    </row>
    <row r="51" spans="2:14" x14ac:dyDescent="0.25">
      <c r="B51" s="235"/>
      <c r="C51" s="461"/>
      <c r="D51" s="237"/>
      <c r="E51" s="250"/>
      <c r="F51" s="84"/>
      <c r="G51" s="101">
        <f t="shared" si="0"/>
        <v>0</v>
      </c>
      <c r="I51" s="651"/>
      <c r="J51" s="652"/>
      <c r="K51" s="108"/>
      <c r="L51" s="177"/>
      <c r="M51" s="44"/>
      <c r="N51" s="227">
        <f t="shared" si="1"/>
        <v>0</v>
      </c>
    </row>
    <row r="52" spans="2:14" x14ac:dyDescent="0.25">
      <c r="B52" s="235"/>
      <c r="C52" s="461"/>
      <c r="D52" s="237"/>
      <c r="E52" s="250"/>
      <c r="F52" s="84"/>
      <c r="G52" s="101">
        <f t="shared" si="0"/>
        <v>0</v>
      </c>
      <c r="I52" s="251"/>
      <c r="J52" s="545"/>
      <c r="K52" s="108"/>
      <c r="L52" s="177"/>
      <c r="M52" s="44"/>
      <c r="N52" s="227">
        <f t="shared" si="1"/>
        <v>0</v>
      </c>
    </row>
    <row r="53" spans="2:14" x14ac:dyDescent="0.25">
      <c r="B53" s="235"/>
      <c r="C53" s="461"/>
      <c r="D53" s="237"/>
      <c r="E53" s="177"/>
      <c r="F53" s="44"/>
      <c r="G53" s="101">
        <f t="shared" si="0"/>
        <v>0</v>
      </c>
      <c r="I53" s="251"/>
      <c r="J53" s="545"/>
      <c r="K53" s="108"/>
      <c r="L53" s="177"/>
      <c r="M53" s="44"/>
      <c r="N53" s="227">
        <f t="shared" si="1"/>
        <v>0</v>
      </c>
    </row>
    <row r="54" spans="2:14" x14ac:dyDescent="0.25">
      <c r="B54" s="235"/>
      <c r="C54" s="461"/>
      <c r="D54" s="237"/>
      <c r="E54" s="250"/>
      <c r="F54" s="84"/>
      <c r="G54" s="101">
        <f t="shared" si="0"/>
        <v>0</v>
      </c>
      <c r="I54" s="239"/>
      <c r="J54" s="544"/>
      <c r="K54" s="101"/>
      <c r="L54" s="250"/>
      <c r="M54" s="84"/>
      <c r="N54" s="227">
        <f t="shared" si="1"/>
        <v>0</v>
      </c>
    </row>
    <row r="55" spans="2:14" x14ac:dyDescent="0.25">
      <c r="B55" s="235"/>
      <c r="C55" s="461"/>
      <c r="D55" s="237"/>
      <c r="E55" s="250"/>
      <c r="F55" s="84"/>
      <c r="G55" s="101">
        <f t="shared" si="0"/>
        <v>0</v>
      </c>
      <c r="I55" s="239"/>
      <c r="J55" s="544"/>
      <c r="K55" s="101"/>
      <c r="L55" s="250"/>
      <c r="M55" s="84"/>
      <c r="N55" s="227">
        <f t="shared" si="1"/>
        <v>0</v>
      </c>
    </row>
    <row r="56" spans="2:14" x14ac:dyDescent="0.25">
      <c r="B56" s="235"/>
      <c r="C56" s="461"/>
      <c r="D56" s="237"/>
      <c r="E56" s="250"/>
      <c r="F56" s="84"/>
      <c r="G56" s="101">
        <f t="shared" si="0"/>
        <v>0</v>
      </c>
      <c r="I56" s="239"/>
      <c r="J56" s="544"/>
      <c r="K56" s="101"/>
      <c r="L56" s="250"/>
      <c r="M56" s="84"/>
      <c r="N56" s="227">
        <f t="shared" si="1"/>
        <v>0</v>
      </c>
    </row>
    <row r="57" spans="2:14" x14ac:dyDescent="0.25">
      <c r="B57" s="235"/>
      <c r="C57" s="461"/>
      <c r="D57" s="237"/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0</v>
      </c>
    </row>
    <row r="58" spans="2:14" x14ac:dyDescent="0.25">
      <c r="B58" s="235"/>
      <c r="C58" s="461"/>
      <c r="D58" s="237"/>
      <c r="E58" s="250"/>
      <c r="F58" s="84"/>
      <c r="G58" s="101">
        <f t="shared" si="0"/>
        <v>0</v>
      </c>
      <c r="I58" s="239"/>
      <c r="J58" s="544"/>
      <c r="K58" s="101"/>
      <c r="L58" s="250"/>
      <c r="M58" s="84"/>
      <c r="N58" s="227">
        <f t="shared" si="1"/>
        <v>0</v>
      </c>
    </row>
    <row r="59" spans="2:14" x14ac:dyDescent="0.25">
      <c r="B59" s="235"/>
      <c r="C59" s="461"/>
      <c r="D59" s="237"/>
      <c r="E59" s="250"/>
      <c r="F59" s="84"/>
      <c r="G59" s="101">
        <f t="shared" si="0"/>
        <v>0</v>
      </c>
      <c r="I59" s="239"/>
      <c r="J59" s="544"/>
      <c r="K59" s="101"/>
      <c r="L59" s="250"/>
      <c r="M59" s="84"/>
      <c r="N59" s="227">
        <f t="shared" si="1"/>
        <v>0</v>
      </c>
    </row>
    <row r="60" spans="2:14" x14ac:dyDescent="0.25">
      <c r="B60" s="235"/>
      <c r="C60" s="461"/>
      <c r="D60" s="237"/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0</v>
      </c>
    </row>
    <row r="61" spans="2:14" x14ac:dyDescent="0.25">
      <c r="B61" s="235"/>
      <c r="C61" s="461"/>
      <c r="D61" s="237"/>
      <c r="E61" s="250"/>
      <c r="F61" s="84"/>
      <c r="G61" s="101">
        <f t="shared" si="0"/>
        <v>0</v>
      </c>
      <c r="I61" s="239"/>
      <c r="J61" s="544"/>
      <c r="K61" s="101"/>
      <c r="L61" s="250"/>
      <c r="M61" s="84"/>
      <c r="N61" s="227">
        <f t="shared" si="1"/>
        <v>0</v>
      </c>
    </row>
    <row r="62" spans="2:14" x14ac:dyDescent="0.25">
      <c r="B62" s="235"/>
      <c r="C62" s="461"/>
      <c r="D62" s="237"/>
      <c r="E62" s="250"/>
      <c r="F62" s="84"/>
      <c r="G62" s="101">
        <f t="shared" si="0"/>
        <v>0</v>
      </c>
      <c r="I62" s="239"/>
      <c r="J62" s="544"/>
      <c r="K62" s="101"/>
      <c r="L62" s="250"/>
      <c r="M62" s="84"/>
      <c r="N62" s="227">
        <f t="shared" si="1"/>
        <v>0</v>
      </c>
    </row>
    <row r="63" spans="2:14" x14ac:dyDescent="0.25">
      <c r="B63" s="235"/>
      <c r="C63" s="461"/>
      <c r="D63" s="237"/>
      <c r="E63" s="250"/>
      <c r="F63" s="84"/>
      <c r="G63" s="101">
        <f t="shared" si="0"/>
        <v>0</v>
      </c>
      <c r="I63" s="239"/>
      <c r="J63" s="544"/>
      <c r="K63" s="101"/>
      <c r="L63" s="250"/>
      <c r="M63" s="84"/>
      <c r="N63" s="227">
        <f t="shared" si="1"/>
        <v>0</v>
      </c>
    </row>
    <row r="64" spans="2:14" ht="16.5" thickBot="1" x14ac:dyDescent="0.3">
      <c r="B64" s="235"/>
      <c r="C64" s="461"/>
      <c r="D64" s="237"/>
      <c r="E64" s="255"/>
      <c r="F64" s="256"/>
      <c r="G64" s="101">
        <f t="shared" si="0"/>
        <v>0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/>
      <c r="C65" s="461"/>
      <c r="D65" s="237"/>
      <c r="G65" s="101">
        <f t="shared" si="0"/>
        <v>0</v>
      </c>
      <c r="I65" s="653" t="s">
        <v>35</v>
      </c>
      <c r="J65" s="654"/>
      <c r="K65" s="560">
        <f>SUM(K3:K64)</f>
        <v>0</v>
      </c>
      <c r="L65" s="265"/>
      <c r="M65" s="266">
        <f>SUM(M3:M64)</f>
        <v>0</v>
      </c>
      <c r="N65" s="263">
        <f>N64</f>
        <v>0</v>
      </c>
    </row>
    <row r="66" spans="2:14" x14ac:dyDescent="0.25">
      <c r="B66" s="235"/>
      <c r="C66" s="461"/>
      <c r="D66" s="237"/>
      <c r="G66" s="101">
        <f t="shared" si="0"/>
        <v>0</v>
      </c>
      <c r="I66" s="662"/>
      <c r="J66" s="663"/>
      <c r="K66" s="150"/>
      <c r="L66" s="269"/>
      <c r="M66" s="5"/>
      <c r="N66" s="1"/>
    </row>
    <row r="67" spans="2:14" x14ac:dyDescent="0.25">
      <c r="B67" s="563"/>
      <c r="C67" s="562"/>
      <c r="D67" s="150"/>
      <c r="G67" s="101">
        <f t="shared" si="0"/>
        <v>0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/>
      <c r="C68" s="561"/>
      <c r="D68" s="108"/>
      <c r="F68"/>
      <c r="G68" s="101">
        <f t="shared" ref="G68" si="2">D68-F68</f>
        <v>0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0</v>
      </c>
      <c r="E69" s="261"/>
      <c r="F69" s="262">
        <f>SUM(F7:F68)</f>
        <v>0</v>
      </c>
      <c r="G69" s="263">
        <f>SUM(G7:G68)</f>
        <v>0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57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58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49:J51"/>
    <mergeCell ref="I65:J66"/>
    <mergeCell ref="G70:G7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644"/>
      <c r="J36" s="645"/>
      <c r="K36" s="645"/>
      <c r="L36" s="646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644"/>
      <c r="J37" s="645"/>
      <c r="K37" s="645"/>
      <c r="L37" s="64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47" t="s">
        <v>35</v>
      </c>
      <c r="J40" s="64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49"/>
      <c r="J41" s="65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51"/>
      <c r="J42" s="65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653" t="s">
        <v>35</v>
      </c>
      <c r="J67" s="654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57" t="s">
        <v>36</v>
      </c>
      <c r="I68" s="655"/>
      <c r="J68" s="656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58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37"/>
      <c r="C1" s="639" t="s">
        <v>120</v>
      </c>
      <c r="D1" s="640"/>
      <c r="E1" s="640"/>
      <c r="F1" s="640"/>
      <c r="G1" s="640"/>
      <c r="H1" s="640"/>
      <c r="I1" s="640"/>
      <c r="J1" s="640"/>
      <c r="K1" s="640"/>
      <c r="L1" s="640"/>
      <c r="M1" s="640"/>
    </row>
    <row r="2" spans="1:18" ht="16.5" thickBot="1" x14ac:dyDescent="0.3">
      <c r="B2" s="63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41" t="s">
        <v>0</v>
      </c>
      <c r="C3" s="642"/>
      <c r="D3" s="14"/>
      <c r="E3" s="15"/>
      <c r="F3" s="16"/>
      <c r="H3" s="643" t="s">
        <v>1</v>
      </c>
      <c r="I3" s="643"/>
      <c r="K3" s="18"/>
      <c r="L3" s="19"/>
      <c r="M3" s="20"/>
      <c r="P3" s="635" t="s">
        <v>2</v>
      </c>
      <c r="R3" s="608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10" t="s">
        <v>5</v>
      </c>
      <c r="F4" s="611"/>
      <c r="H4" s="612" t="s">
        <v>6</v>
      </c>
      <c r="I4" s="613"/>
      <c r="J4" s="25"/>
      <c r="K4" s="26"/>
      <c r="L4" s="27"/>
      <c r="M4" s="28" t="s">
        <v>7</v>
      </c>
      <c r="N4" s="29" t="s">
        <v>8</v>
      </c>
      <c r="P4" s="636"/>
      <c r="Q4" s="30" t="s">
        <v>9</v>
      </c>
      <c r="R4" s="609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619">
        <f>SUM(M5:M40)</f>
        <v>1964337.8699999999</v>
      </c>
      <c r="N49" s="619">
        <f>SUM(N5:N40)</f>
        <v>1314937</v>
      </c>
      <c r="P49" s="111">
        <f>SUM(P5:P40)</f>
        <v>3956557.8699999996</v>
      </c>
      <c r="Q49" s="631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620"/>
      <c r="N50" s="620"/>
      <c r="P50" s="44"/>
      <c r="Q50" s="632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633">
        <f>M49+N49</f>
        <v>3279274.87</v>
      </c>
      <c r="N53" s="634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27" t="s">
        <v>15</v>
      </c>
      <c r="I77" s="628"/>
      <c r="J77" s="154"/>
      <c r="K77" s="629">
        <f>I75+L75</f>
        <v>526980.64000000013</v>
      </c>
      <c r="L77" s="630"/>
      <c r="M77" s="155"/>
      <c r="N77" s="155"/>
      <c r="P77" s="44"/>
      <c r="Q77" s="19"/>
    </row>
    <row r="78" spans="1:17" x14ac:dyDescent="0.25">
      <c r="D78" s="621" t="s">
        <v>16</v>
      </c>
      <c r="E78" s="621"/>
      <c r="F78" s="156">
        <f>F75-K77-C75</f>
        <v>1939381.5999999999</v>
      </c>
      <c r="I78" s="157"/>
      <c r="J78" s="158"/>
    </row>
    <row r="79" spans="1:17" ht="18.75" x14ac:dyDescent="0.3">
      <c r="D79" s="622" t="s">
        <v>17</v>
      </c>
      <c r="E79" s="622"/>
      <c r="F79" s="101">
        <v>-1830849.67</v>
      </c>
      <c r="I79" s="623" t="s">
        <v>18</v>
      </c>
      <c r="J79" s="624"/>
      <c r="K79" s="625">
        <f>F81+F82+F83</f>
        <v>3946521.55</v>
      </c>
      <c r="L79" s="62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626">
        <f>-C4</f>
        <v>-3504178.07</v>
      </c>
      <c r="L81" s="625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614" t="s">
        <v>24</v>
      </c>
      <c r="E83" s="615"/>
      <c r="F83" s="173">
        <v>3720574.62</v>
      </c>
      <c r="I83" s="659" t="s">
        <v>25</v>
      </c>
      <c r="J83" s="660"/>
      <c r="K83" s="661">
        <f>K79+K81</f>
        <v>442343.48</v>
      </c>
      <c r="L83" s="66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644"/>
      <c r="J36" s="645"/>
      <c r="K36" s="645"/>
      <c r="L36" s="646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644"/>
      <c r="J37" s="645"/>
      <c r="K37" s="645"/>
      <c r="L37" s="646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47" t="s">
        <v>35</v>
      </c>
      <c r="J40" s="64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49"/>
      <c r="J41" s="65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51"/>
      <c r="J42" s="65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653" t="s">
        <v>35</v>
      </c>
      <c r="J67" s="654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57" t="s">
        <v>36</v>
      </c>
      <c r="I68" s="662"/>
      <c r="J68" s="66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5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37"/>
      <c r="C1" s="639" t="s">
        <v>238</v>
      </c>
      <c r="D1" s="640"/>
      <c r="E1" s="640"/>
      <c r="F1" s="640"/>
      <c r="G1" s="640"/>
      <c r="H1" s="640"/>
      <c r="I1" s="640"/>
      <c r="J1" s="640"/>
      <c r="K1" s="640"/>
      <c r="L1" s="640"/>
      <c r="M1" s="640"/>
    </row>
    <row r="2" spans="1:18" ht="16.5" thickBot="1" x14ac:dyDescent="0.3">
      <c r="B2" s="63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41" t="s">
        <v>0</v>
      </c>
      <c r="C3" s="642"/>
      <c r="D3" s="14"/>
      <c r="E3" s="15"/>
      <c r="F3" s="16"/>
      <c r="H3" s="643" t="s">
        <v>1</v>
      </c>
      <c r="I3" s="643"/>
      <c r="K3" s="18"/>
      <c r="L3" s="19"/>
      <c r="M3" s="20"/>
      <c r="P3" s="635" t="s">
        <v>2</v>
      </c>
      <c r="R3" s="664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10" t="s">
        <v>5</v>
      </c>
      <c r="F4" s="611"/>
      <c r="H4" s="612" t="s">
        <v>6</v>
      </c>
      <c r="I4" s="613"/>
      <c r="J4" s="25"/>
      <c r="K4" s="26"/>
      <c r="L4" s="27"/>
      <c r="M4" s="28" t="s">
        <v>7</v>
      </c>
      <c r="N4" s="29" t="s">
        <v>8</v>
      </c>
      <c r="P4" s="636"/>
      <c r="Q4" s="30" t="s">
        <v>9</v>
      </c>
      <c r="R4" s="665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619">
        <f>SUM(M5:M40)</f>
        <v>1803019.98</v>
      </c>
      <c r="N49" s="619">
        <f>SUM(N5:N40)</f>
        <v>1138524</v>
      </c>
      <c r="P49" s="111">
        <f>SUM(P5:P40)</f>
        <v>3684795.48</v>
      </c>
      <c r="Q49" s="631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620"/>
      <c r="N50" s="620"/>
      <c r="P50" s="44"/>
      <c r="Q50" s="632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633">
        <f>M49+N49</f>
        <v>2941543.98</v>
      </c>
      <c r="N53" s="634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27" t="s">
        <v>15</v>
      </c>
      <c r="I77" s="628"/>
      <c r="J77" s="154"/>
      <c r="K77" s="629">
        <f>I75+L75</f>
        <v>646140.08000000031</v>
      </c>
      <c r="L77" s="630"/>
      <c r="M77" s="155"/>
      <c r="N77" s="155"/>
      <c r="P77" s="44"/>
      <c r="Q77" s="19"/>
    </row>
    <row r="78" spans="1:17" x14ac:dyDescent="0.25">
      <c r="D78" s="621" t="s">
        <v>16</v>
      </c>
      <c r="E78" s="621"/>
      <c r="F78" s="156">
        <f>F75-K77-C75</f>
        <v>1113109.92</v>
      </c>
      <c r="I78" s="157"/>
      <c r="J78" s="158"/>
    </row>
    <row r="79" spans="1:17" ht="18.75" x14ac:dyDescent="0.3">
      <c r="D79" s="622" t="s">
        <v>17</v>
      </c>
      <c r="E79" s="622"/>
      <c r="F79" s="101">
        <v>-1405309.97</v>
      </c>
      <c r="I79" s="623" t="s">
        <v>18</v>
      </c>
      <c r="J79" s="624"/>
      <c r="K79" s="625">
        <f>F81+F82+F83</f>
        <v>3400888.74</v>
      </c>
      <c r="L79" s="62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626">
        <f>-C4</f>
        <v>-3504178.07</v>
      </c>
      <c r="L81" s="625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614" t="s">
        <v>24</v>
      </c>
      <c r="E83" s="615"/>
      <c r="F83" s="173">
        <v>3567993.62</v>
      </c>
      <c r="I83" s="616" t="s">
        <v>220</v>
      </c>
      <c r="J83" s="617"/>
      <c r="K83" s="618">
        <f>K79+K81</f>
        <v>-103289.32999999961</v>
      </c>
      <c r="L83" s="61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644"/>
      <c r="J36" s="645"/>
      <c r="K36" s="645"/>
      <c r="L36" s="646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644"/>
      <c r="J37" s="645"/>
      <c r="K37" s="645"/>
      <c r="L37" s="64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47" t="s">
        <v>35</v>
      </c>
      <c r="J40" s="64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49"/>
      <c r="J41" s="65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51"/>
      <c r="J42" s="65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653" t="s">
        <v>35</v>
      </c>
      <c r="J67" s="654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57" t="s">
        <v>36</v>
      </c>
      <c r="I68" s="662"/>
      <c r="J68" s="66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5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37"/>
      <c r="C1" s="639" t="s">
        <v>368</v>
      </c>
      <c r="D1" s="640"/>
      <c r="E1" s="640"/>
      <c r="F1" s="640"/>
      <c r="G1" s="640"/>
      <c r="H1" s="640"/>
      <c r="I1" s="640"/>
      <c r="J1" s="640"/>
      <c r="K1" s="640"/>
      <c r="L1" s="640"/>
      <c r="M1" s="640"/>
    </row>
    <row r="2" spans="1:18" ht="16.5" thickBot="1" x14ac:dyDescent="0.3">
      <c r="B2" s="63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41" t="s">
        <v>0</v>
      </c>
      <c r="C3" s="642"/>
      <c r="D3" s="14"/>
      <c r="E3" s="15"/>
      <c r="F3" s="16"/>
      <c r="H3" s="643" t="s">
        <v>1</v>
      </c>
      <c r="I3" s="643"/>
      <c r="K3" s="18"/>
      <c r="L3" s="19"/>
      <c r="M3" s="20"/>
      <c r="P3" s="635" t="s">
        <v>2</v>
      </c>
      <c r="R3" s="664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610" t="s">
        <v>5</v>
      </c>
      <c r="F4" s="611"/>
      <c r="H4" s="612" t="s">
        <v>6</v>
      </c>
      <c r="I4" s="613"/>
      <c r="J4" s="25"/>
      <c r="K4" s="26"/>
      <c r="L4" s="27"/>
      <c r="M4" s="28" t="s">
        <v>7</v>
      </c>
      <c r="N4" s="29" t="s">
        <v>8</v>
      </c>
      <c r="P4" s="636"/>
      <c r="Q4" s="30" t="s">
        <v>9</v>
      </c>
      <c r="R4" s="665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619">
        <f>SUM(M5:M40)</f>
        <v>2051765.3</v>
      </c>
      <c r="N49" s="619">
        <f>SUM(N5:N40)</f>
        <v>1741324</v>
      </c>
      <c r="P49" s="111">
        <f>SUM(P5:P40)</f>
        <v>4831473.13</v>
      </c>
      <c r="Q49" s="631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620"/>
      <c r="N50" s="620"/>
      <c r="P50" s="44"/>
      <c r="Q50" s="632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633">
        <f>M49+N49</f>
        <v>3793089.3</v>
      </c>
      <c r="N53" s="634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627" t="s">
        <v>15</v>
      </c>
      <c r="I79" s="628"/>
      <c r="J79" s="154"/>
      <c r="K79" s="629">
        <f>I77+L77</f>
        <v>739761.38</v>
      </c>
      <c r="L79" s="630"/>
      <c r="M79" s="155"/>
      <c r="N79" s="155"/>
      <c r="P79" s="44"/>
      <c r="Q79" s="19"/>
    </row>
    <row r="80" spans="1:17" x14ac:dyDescent="0.25">
      <c r="D80" s="621" t="s">
        <v>16</v>
      </c>
      <c r="E80" s="621"/>
      <c r="F80" s="156">
        <f>F77-K79-C77</f>
        <v>2011425.4899999998</v>
      </c>
      <c r="I80" s="157"/>
      <c r="J80" s="158"/>
    </row>
    <row r="81" spans="2:17" ht="18.75" x14ac:dyDescent="0.3">
      <c r="D81" s="622" t="s">
        <v>17</v>
      </c>
      <c r="E81" s="622"/>
      <c r="F81" s="101">
        <v>-2021696.34</v>
      </c>
      <c r="I81" s="623" t="s">
        <v>18</v>
      </c>
      <c r="J81" s="624"/>
      <c r="K81" s="625">
        <f>F83+F84+F85</f>
        <v>2945239.9399999995</v>
      </c>
      <c r="L81" s="625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626">
        <f>-C4</f>
        <v>-3567993.62</v>
      </c>
      <c r="L83" s="625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614" t="s">
        <v>24</v>
      </c>
      <c r="E85" s="615"/>
      <c r="F85" s="173">
        <v>3065283.79</v>
      </c>
      <c r="I85" s="616" t="s">
        <v>220</v>
      </c>
      <c r="J85" s="617"/>
      <c r="K85" s="618">
        <f>K81+K83</f>
        <v>-622753.68000000063</v>
      </c>
      <c r="L85" s="618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K34" sqref="K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644"/>
      <c r="J36" s="645"/>
      <c r="K36" s="645"/>
      <c r="L36" s="646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644"/>
      <c r="J37" s="645"/>
      <c r="K37" s="645"/>
      <c r="L37" s="646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647" t="s">
        <v>35</v>
      </c>
      <c r="J40" s="648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649"/>
      <c r="J41" s="650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651"/>
      <c r="J42" s="652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653" t="s">
        <v>35</v>
      </c>
      <c r="J67" s="654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57" t="s">
        <v>36</v>
      </c>
      <c r="I68" s="662"/>
      <c r="J68" s="663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5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F31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37"/>
      <c r="C1" s="639" t="s">
        <v>502</v>
      </c>
      <c r="D1" s="640"/>
      <c r="E1" s="640"/>
      <c r="F1" s="640"/>
      <c r="G1" s="640"/>
      <c r="H1" s="640"/>
      <c r="I1" s="640"/>
      <c r="J1" s="640"/>
      <c r="K1" s="640"/>
      <c r="L1" s="640"/>
      <c r="M1" s="640"/>
    </row>
    <row r="2" spans="1:18" ht="16.5" thickBot="1" x14ac:dyDescent="0.3">
      <c r="B2" s="63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41" t="s">
        <v>0</v>
      </c>
      <c r="C3" s="642"/>
      <c r="D3" s="14"/>
      <c r="E3" s="15"/>
      <c r="F3" s="16"/>
      <c r="H3" s="643" t="s">
        <v>1</v>
      </c>
      <c r="I3" s="643"/>
      <c r="K3" s="18"/>
      <c r="L3" s="19"/>
      <c r="M3" s="20"/>
      <c r="P3" s="635" t="s">
        <v>2</v>
      </c>
      <c r="Q3" s="467" t="s">
        <v>509</v>
      </c>
      <c r="R3" s="664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610" t="s">
        <v>5</v>
      </c>
      <c r="F4" s="611"/>
      <c r="H4" s="612" t="s">
        <v>6</v>
      </c>
      <c r="I4" s="613"/>
      <c r="J4" s="25"/>
      <c r="K4" s="26"/>
      <c r="L4" s="27"/>
      <c r="M4" s="28" t="s">
        <v>7</v>
      </c>
      <c r="N4" s="29" t="s">
        <v>8</v>
      </c>
      <c r="P4" s="636"/>
      <c r="Q4" s="30" t="s">
        <v>9</v>
      </c>
      <c r="R4" s="665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619">
        <f>SUM(M5:M40)</f>
        <v>1683911.56</v>
      </c>
      <c r="N49" s="619">
        <f>SUM(N5:N40)</f>
        <v>1355406.15</v>
      </c>
      <c r="P49" s="111">
        <f>SUM(P5:P40)</f>
        <v>3685318.7</v>
      </c>
      <c r="Q49" s="631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620"/>
      <c r="N50" s="620"/>
      <c r="P50" s="44"/>
      <c r="Q50" s="632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633">
        <f>M49+N49</f>
        <v>3039317.71</v>
      </c>
      <c r="N53" s="63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27" t="s">
        <v>15</v>
      </c>
      <c r="I77" s="628"/>
      <c r="J77" s="154"/>
      <c r="K77" s="629">
        <f>I75+L75</f>
        <v>484126.00999999989</v>
      </c>
      <c r="L77" s="630"/>
      <c r="M77" s="155"/>
      <c r="N77" s="155"/>
      <c r="P77" s="44"/>
      <c r="Q77" s="19"/>
    </row>
    <row r="78" spans="1:17" x14ac:dyDescent="0.25">
      <c r="D78" s="621" t="s">
        <v>16</v>
      </c>
      <c r="E78" s="621"/>
      <c r="F78" s="156">
        <f>F75-K77-C75</f>
        <v>1743477.6000000003</v>
      </c>
      <c r="I78" s="157"/>
      <c r="J78" s="158"/>
    </row>
    <row r="79" spans="1:17" ht="18.75" x14ac:dyDescent="0.3">
      <c r="D79" s="622" t="s">
        <v>17</v>
      </c>
      <c r="E79" s="622"/>
      <c r="F79" s="101">
        <v>-1542483.8</v>
      </c>
      <c r="I79" s="623" t="s">
        <v>18</v>
      </c>
      <c r="J79" s="624"/>
      <c r="K79" s="625">
        <f>F81+F82+F83</f>
        <v>4235033.33</v>
      </c>
      <c r="L79" s="62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626">
        <f>-C4</f>
        <v>-3065283.79</v>
      </c>
      <c r="L81" s="625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614" t="s">
        <v>24</v>
      </c>
      <c r="E83" s="615"/>
      <c r="F83" s="173">
        <v>3897967.53</v>
      </c>
      <c r="I83" s="659" t="s">
        <v>25</v>
      </c>
      <c r="J83" s="660"/>
      <c r="K83" s="661">
        <f>K79+K81</f>
        <v>1169749.54</v>
      </c>
      <c r="L83" s="66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    S E P T I E M B R E    2023</vt:lpstr>
      <vt:lpstr>COMPRAS SEPTIEMBRE 2023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2023-10-06T14:28:50Z</cp:lastPrinted>
  <dcterms:created xsi:type="dcterms:W3CDTF">2023-01-31T18:18:42Z</dcterms:created>
  <dcterms:modified xsi:type="dcterms:W3CDTF">2023-10-11T21:55:57Z</dcterms:modified>
</cp:coreProperties>
</file>